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enel\Documents\Travail\CIRAIG\Maitrise Recherche\11. Rédaction\GitHub Data\"/>
    </mc:Choice>
  </mc:AlternateContent>
  <xr:revisionPtr revIDLastSave="0" documentId="13_ncr:1_{A1D16DAA-0216-4B5D-9826-096DA7597B86}" xr6:coauthVersionLast="47" xr6:coauthVersionMax="47" xr10:uidLastSave="{00000000-0000-0000-0000-000000000000}"/>
  <bookViews>
    <workbookView xWindow="-28920" yWindow="-90" windowWidth="29040" windowHeight="15720" activeTab="12" xr2:uid="{00000000-000D-0000-FFFF-FFFF00000000}"/>
  </bookViews>
  <sheets>
    <sheet name="MI" sheetId="11" r:id="rId1"/>
    <sheet name="MI reduction scenario" sheetId="17" r:id="rId2"/>
    <sheet name="Aggregated MI 2010" sheetId="18" r:id="rId3"/>
    <sheet name="Metal categorisation" sheetId="19" r:id="rId4"/>
    <sheet name="Legend" sheetId="3" r:id="rId5"/>
    <sheet name="Solar PV - CSP" sheetId="1" r:id="rId6"/>
    <sheet name="Wind" sheetId="6" r:id="rId7"/>
    <sheet name="Nuclear" sheetId="4" r:id="rId8"/>
    <sheet name="Hydro" sheetId="9" r:id="rId9"/>
    <sheet name="Biomass" sheetId="7" r:id="rId10"/>
    <sheet name="Geothermal" sheetId="8" r:id="rId11"/>
    <sheet name="Fossil energy" sheetId="5" r:id="rId12"/>
    <sheet name="Ref" sheetId="2" r:id="rId13"/>
  </sheets>
  <externalReferences>
    <externalReference r:id="rId14"/>
    <externalReference r:id="rId1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6" i="18" l="1"/>
  <c r="A36" i="18"/>
  <c r="B35" i="18"/>
  <c r="A35" i="18"/>
  <c r="B34" i="18"/>
  <c r="A34" i="18"/>
  <c r="B33" i="18"/>
  <c r="A33" i="18"/>
  <c r="B32" i="18"/>
  <c r="A32" i="18"/>
  <c r="B31" i="18"/>
  <c r="A31" i="18"/>
  <c r="B30" i="18"/>
  <c r="A30" i="18"/>
  <c r="B29" i="18"/>
  <c r="A29" i="18"/>
  <c r="B28" i="18"/>
  <c r="A28" i="18"/>
  <c r="B27" i="18"/>
  <c r="A27" i="18"/>
  <c r="B26" i="18"/>
  <c r="A26" i="18"/>
  <c r="B25" i="18"/>
  <c r="A25" i="18"/>
  <c r="B24" i="18"/>
  <c r="A24" i="18"/>
  <c r="B23" i="18"/>
  <c r="A23" i="18"/>
  <c r="B22" i="18"/>
  <c r="A22" i="18"/>
  <c r="B21" i="18"/>
  <c r="A21" i="18"/>
  <c r="B20" i="18"/>
  <c r="A20" i="18"/>
  <c r="B19" i="18"/>
  <c r="A19" i="18"/>
  <c r="B18" i="18"/>
  <c r="A18" i="18"/>
  <c r="B17" i="18"/>
  <c r="A17" i="18"/>
  <c r="B16" i="18"/>
  <c r="A16" i="18"/>
  <c r="B15" i="18"/>
  <c r="A15" i="18"/>
  <c r="B14" i="18"/>
  <c r="A14" i="18"/>
  <c r="B13" i="18"/>
  <c r="A13" i="18"/>
  <c r="B12" i="18"/>
  <c r="A12" i="18"/>
  <c r="B11" i="18"/>
  <c r="A11" i="18"/>
  <c r="B10" i="18"/>
  <c r="A10" i="18"/>
  <c r="B9" i="18"/>
  <c r="A9" i="18"/>
  <c r="B8" i="18"/>
  <c r="A8" i="18"/>
  <c r="B7" i="18"/>
  <c r="A7" i="18"/>
  <c r="B6" i="18"/>
  <c r="A6" i="18"/>
  <c r="B5" i="18"/>
  <c r="A5" i="18"/>
  <c r="B4" i="18"/>
  <c r="A4" i="18"/>
  <c r="B3" i="18"/>
  <c r="A3" i="18"/>
  <c r="B2" i="18"/>
  <c r="A2" i="18"/>
  <c r="J25" i="6" l="1"/>
  <c r="C9" i="6"/>
  <c r="K37" i="4"/>
  <c r="J37" i="4"/>
  <c r="I37" i="4"/>
  <c r="J9" i="6"/>
  <c r="G9" i="6"/>
  <c r="I3" i="11" a="1"/>
  <c r="I3" i="11" s="1"/>
  <c r="J3" i="11" a="1"/>
  <c r="J3" i="11" s="1"/>
  <c r="K3" i="11" a="1"/>
  <c r="K3" i="11" s="1"/>
  <c r="I4" i="11" a="1"/>
  <c r="I4" i="11" s="1"/>
  <c r="J4" i="11" a="1"/>
  <c r="J4" i="11" s="1"/>
  <c r="K4" i="11" a="1"/>
  <c r="K4" i="11" s="1"/>
  <c r="I5" i="11" a="1"/>
  <c r="I5" i="11" s="1"/>
  <c r="J5" i="11" a="1"/>
  <c r="J5" i="11" s="1"/>
  <c r="K5" i="11" a="1"/>
  <c r="K5" i="11" s="1"/>
  <c r="I6" i="11" a="1"/>
  <c r="I6" i="11" s="1"/>
  <c r="J6" i="11" a="1"/>
  <c r="J6" i="11" s="1"/>
  <c r="K6" i="11" a="1"/>
  <c r="K6" i="11" s="1"/>
  <c r="I7" i="11" a="1"/>
  <c r="I7" i="11" s="1"/>
  <c r="J7" i="11" a="1"/>
  <c r="J7" i="11" s="1"/>
  <c r="K7" i="11" a="1"/>
  <c r="K7" i="11" s="1"/>
  <c r="I8" i="11" a="1"/>
  <c r="I8" i="11" s="1"/>
  <c r="J8" i="11" a="1"/>
  <c r="J8" i="11" s="1"/>
  <c r="K8" i="11" a="1"/>
  <c r="K8" i="11" s="1"/>
  <c r="I9" i="11" a="1"/>
  <c r="I9" i="11" s="1"/>
  <c r="J9" i="11" a="1"/>
  <c r="J9" i="11" s="1"/>
  <c r="K9" i="11" a="1"/>
  <c r="K9" i="11" s="1"/>
  <c r="I10" i="11" a="1"/>
  <c r="I10" i="11" s="1"/>
  <c r="J10" i="11" a="1"/>
  <c r="J10" i="11" s="1"/>
  <c r="K10" i="11" a="1"/>
  <c r="K10" i="11"/>
  <c r="I11" i="11" a="1"/>
  <c r="I11" i="11" s="1"/>
  <c r="J11" i="11" a="1"/>
  <c r="J11" i="11" s="1"/>
  <c r="K11" i="11" a="1"/>
  <c r="K11" i="11" s="1"/>
  <c r="I12" i="11" a="1"/>
  <c r="I12" i="11" s="1"/>
  <c r="J12" i="11" a="1"/>
  <c r="J12" i="11" s="1"/>
  <c r="K12" i="11" a="1"/>
  <c r="K12" i="11" s="1"/>
  <c r="I13" i="11" a="1"/>
  <c r="I13" i="11" s="1"/>
  <c r="J13" i="11" a="1"/>
  <c r="J13" i="11" s="1"/>
  <c r="K13" i="11" a="1"/>
  <c r="K13" i="11" s="1"/>
  <c r="I14" i="11" a="1"/>
  <c r="I14" i="11" s="1"/>
  <c r="J14" i="11" a="1"/>
  <c r="J14" i="11" s="1"/>
  <c r="K14" i="11" a="1"/>
  <c r="K14" i="11" s="1"/>
  <c r="I15" i="11" a="1"/>
  <c r="I15" i="11" s="1"/>
  <c r="J15" i="11" a="1"/>
  <c r="J15" i="11" s="1"/>
  <c r="K15" i="11" a="1"/>
  <c r="K15" i="11"/>
  <c r="I16" i="11" a="1"/>
  <c r="I16" i="11" s="1"/>
  <c r="J16" i="11" a="1"/>
  <c r="J16" i="11" s="1"/>
  <c r="K16" i="11" a="1"/>
  <c r="K16" i="11" s="1"/>
  <c r="I17" i="11" a="1"/>
  <c r="I17" i="11" s="1"/>
  <c r="J17" i="11" a="1"/>
  <c r="J17" i="11" s="1"/>
  <c r="K17" i="11" a="1"/>
  <c r="K17" i="11" s="1"/>
  <c r="I18" i="11" a="1"/>
  <c r="I18" i="11"/>
  <c r="J18" i="11" a="1"/>
  <c r="J18" i="11" s="1"/>
  <c r="K18" i="11" a="1"/>
  <c r="K18" i="11" s="1"/>
  <c r="I19" i="11" a="1"/>
  <c r="I19" i="11" s="1"/>
  <c r="J19" i="11" a="1"/>
  <c r="J19" i="11" s="1"/>
  <c r="K19" i="11" a="1"/>
  <c r="K19" i="11" s="1"/>
  <c r="I20" i="11" a="1"/>
  <c r="I20" i="11" s="1"/>
  <c r="J20" i="11" a="1"/>
  <c r="J20" i="11" s="1"/>
  <c r="K20" i="11" a="1"/>
  <c r="K20" i="11" s="1"/>
  <c r="I21" i="11" a="1"/>
  <c r="I21" i="11" s="1"/>
  <c r="J21" i="11" a="1"/>
  <c r="J21" i="11" s="1"/>
  <c r="K21" i="11" a="1"/>
  <c r="K21" i="11" s="1"/>
  <c r="I22" i="11" a="1"/>
  <c r="I22" i="11" s="1"/>
  <c r="J22" i="11" a="1"/>
  <c r="J22" i="11" s="1"/>
  <c r="K22" i="11" a="1"/>
  <c r="K22" i="11" s="1"/>
  <c r="I23" i="11" a="1"/>
  <c r="I23" i="11" s="1"/>
  <c r="J23" i="11" a="1"/>
  <c r="J23" i="11" s="1"/>
  <c r="K23" i="11" a="1"/>
  <c r="K23" i="11" s="1"/>
  <c r="I24" i="11" a="1"/>
  <c r="I24" i="11" s="1"/>
  <c r="J24" i="11" a="1"/>
  <c r="J24" i="11" s="1"/>
  <c r="K24" i="11" a="1"/>
  <c r="K24" i="11" s="1"/>
  <c r="I25" i="11" a="1"/>
  <c r="I25" i="11" s="1"/>
  <c r="J25" i="11" a="1"/>
  <c r="J25" i="11" s="1"/>
  <c r="K25" i="11" a="1"/>
  <c r="K25" i="11" s="1"/>
  <c r="I26" i="11" a="1"/>
  <c r="I26" i="11" s="1"/>
  <c r="J26" i="11" a="1"/>
  <c r="J26" i="11" s="1"/>
  <c r="K26" i="11" a="1"/>
  <c r="K26" i="11" s="1"/>
  <c r="I27" i="11" a="1"/>
  <c r="I27" i="11" s="1"/>
  <c r="J27" i="11" a="1"/>
  <c r="J27" i="11" s="1"/>
  <c r="K27" i="11" a="1"/>
  <c r="K27" i="11" s="1"/>
  <c r="I28" i="11" a="1"/>
  <c r="I28" i="11" s="1"/>
  <c r="J28" i="11" a="1"/>
  <c r="J28" i="11" s="1"/>
  <c r="K28" i="11" a="1"/>
  <c r="K28" i="11" s="1"/>
  <c r="I29" i="11" a="1"/>
  <c r="I29" i="11" s="1"/>
  <c r="J29" i="11" a="1"/>
  <c r="J29" i="11" s="1"/>
  <c r="K29" i="11" a="1"/>
  <c r="K29" i="11" s="1"/>
  <c r="I30" i="11" a="1"/>
  <c r="I30" i="11" s="1"/>
  <c r="J30" i="11" a="1"/>
  <c r="J30" i="11" s="1"/>
  <c r="K30" i="11" a="1"/>
  <c r="K30" i="11" s="1"/>
  <c r="I31" i="11" a="1"/>
  <c r="I31" i="11" s="1"/>
  <c r="J31" i="11" a="1"/>
  <c r="J31" i="11" s="1"/>
  <c r="K31" i="11" a="1"/>
  <c r="K31" i="11" s="1"/>
  <c r="I32" i="11" a="1"/>
  <c r="I32" i="11" s="1"/>
  <c r="J32" i="11" a="1"/>
  <c r="J32" i="11" s="1"/>
  <c r="K32" i="11" a="1"/>
  <c r="K32" i="11" s="1"/>
  <c r="I33" i="11" a="1"/>
  <c r="I33" i="11" s="1"/>
  <c r="J33" i="11" a="1"/>
  <c r="J33" i="11" s="1"/>
  <c r="K33" i="11" a="1"/>
  <c r="K33" i="11" s="1"/>
  <c r="I34" i="11" a="1"/>
  <c r="I34" i="11" s="1"/>
  <c r="J34" i="11" a="1"/>
  <c r="J34" i="11" s="1"/>
  <c r="K34" i="11" a="1"/>
  <c r="K34" i="11" s="1"/>
  <c r="I35" i="11" a="1"/>
  <c r="I35" i="11" s="1"/>
  <c r="J35" i="11" a="1"/>
  <c r="J35" i="11" s="1"/>
  <c r="K35" i="11" a="1"/>
  <c r="K35" i="11" s="1"/>
  <c r="I36" i="11" a="1"/>
  <c r="I36" i="11" s="1"/>
  <c r="J36" i="11" a="1"/>
  <c r="J36" i="11" s="1"/>
  <c r="K36" i="11" a="1"/>
  <c r="K36" i="11" s="1"/>
  <c r="H3" i="11" a="1"/>
  <c r="H3" i="11" s="1"/>
  <c r="H4" i="11" a="1"/>
  <c r="H4" i="11" s="1"/>
  <c r="H5" i="11" a="1"/>
  <c r="H5" i="11" s="1"/>
  <c r="H6" i="11" a="1"/>
  <c r="H6" i="11" s="1"/>
  <c r="H7" i="11" a="1"/>
  <c r="H7" i="11" s="1"/>
  <c r="H8" i="11" a="1"/>
  <c r="H8" i="11" s="1"/>
  <c r="H9" i="11" a="1"/>
  <c r="H9" i="11" s="1"/>
  <c r="H10" i="11" a="1"/>
  <c r="H10" i="11" s="1"/>
  <c r="H11" i="11" a="1"/>
  <c r="H11" i="11" s="1"/>
  <c r="H12" i="11" a="1"/>
  <c r="H12" i="11" s="1"/>
  <c r="H13" i="11" a="1"/>
  <c r="H13" i="11" s="1"/>
  <c r="H14" i="11" a="1"/>
  <c r="H14" i="11" s="1"/>
  <c r="H15" i="11" a="1"/>
  <c r="H15" i="11" s="1"/>
  <c r="H16" i="11" a="1"/>
  <c r="H16" i="11" s="1"/>
  <c r="H17" i="11" a="1"/>
  <c r="H17" i="11" s="1"/>
  <c r="H18" i="11" a="1"/>
  <c r="H18" i="11" s="1"/>
  <c r="H19" i="11" a="1"/>
  <c r="H19" i="11" s="1"/>
  <c r="H20" i="11" a="1"/>
  <c r="H20" i="11" s="1"/>
  <c r="H21" i="11" a="1"/>
  <c r="H21" i="11" s="1"/>
  <c r="H22" i="11" a="1"/>
  <c r="H22" i="11" s="1"/>
  <c r="H23" i="11" a="1"/>
  <c r="H23" i="11" s="1"/>
  <c r="H24" i="11" a="1"/>
  <c r="H24" i="11" s="1"/>
  <c r="H25" i="11" a="1"/>
  <c r="H25" i="11" s="1"/>
  <c r="H26" i="11" a="1"/>
  <c r="H26" i="11" s="1"/>
  <c r="H27" i="11" a="1"/>
  <c r="H27" i="11" s="1"/>
  <c r="H28" i="11" a="1"/>
  <c r="H28" i="11" s="1"/>
  <c r="H29" i="11" a="1"/>
  <c r="H29" i="11" s="1"/>
  <c r="H30" i="11" a="1"/>
  <c r="H30" i="11" s="1"/>
  <c r="H31" i="11" a="1"/>
  <c r="H31" i="11" s="1"/>
  <c r="H32" i="11" a="1"/>
  <c r="H32" i="11"/>
  <c r="H33" i="11" a="1"/>
  <c r="H33" i="11" s="1"/>
  <c r="H34" i="11" a="1"/>
  <c r="H34" i="11" s="1"/>
  <c r="H35" i="11" a="1"/>
  <c r="H35" i="11" s="1"/>
  <c r="H36" i="11" a="1"/>
  <c r="H36" i="11" s="1"/>
  <c r="H2" i="11" a="1"/>
  <c r="H2" i="11" s="1"/>
  <c r="I16" i="6" l="1"/>
  <c r="F16" i="6"/>
  <c r="C16" i="6"/>
  <c r="F37" i="6"/>
  <c r="G37" i="6"/>
  <c r="J37" i="6"/>
  <c r="I37" i="6"/>
  <c r="C37" i="6"/>
  <c r="D37" i="6"/>
  <c r="C32" i="6" l="1"/>
  <c r="D32" i="6"/>
  <c r="I24" i="6"/>
  <c r="J24" i="6"/>
  <c r="I25" i="6"/>
  <c r="G25" i="6"/>
  <c r="F25" i="6"/>
  <c r="I20" i="6"/>
  <c r="J20" i="6"/>
  <c r="I21" i="6"/>
  <c r="J21" i="6"/>
  <c r="I22" i="6"/>
  <c r="J22" i="6"/>
  <c r="F20" i="6"/>
  <c r="G20" i="6"/>
  <c r="F21" i="6"/>
  <c r="G21" i="6"/>
  <c r="F22" i="6"/>
  <c r="G22" i="6"/>
  <c r="J19" i="6"/>
  <c r="I17" i="6"/>
  <c r="I19" i="6"/>
  <c r="G17" i="6"/>
  <c r="G19" i="6"/>
  <c r="F17" i="6"/>
  <c r="F19" i="6"/>
  <c r="D17" i="6"/>
  <c r="D19" i="6"/>
  <c r="D25" i="6"/>
  <c r="C25" i="6"/>
  <c r="D21" i="6"/>
  <c r="D22" i="6"/>
  <c r="C21" i="6"/>
  <c r="D20" i="6"/>
  <c r="C20" i="6"/>
  <c r="C22" i="6"/>
  <c r="C19" i="6"/>
  <c r="D16" i="6"/>
  <c r="C17" i="6"/>
  <c r="N15" i="11"/>
  <c r="G16" i="6" l="1"/>
  <c r="J10" i="6"/>
  <c r="G10" i="6"/>
  <c r="D10" i="6"/>
  <c r="F6" i="6"/>
  <c r="C6" i="6"/>
  <c r="J6" i="6"/>
  <c r="I6" i="6"/>
  <c r="G6" i="6"/>
  <c r="D6" i="6"/>
  <c r="I4" i="6"/>
  <c r="J4" i="6"/>
  <c r="G4" i="6"/>
  <c r="D4" i="6"/>
  <c r="L3" i="11" a="1"/>
  <c r="L3" i="11" s="1"/>
  <c r="M3" i="11" a="1"/>
  <c r="M3" i="11"/>
  <c r="N3" i="11" a="1"/>
  <c r="N3" i="11" s="1"/>
  <c r="O3" i="11" a="1"/>
  <c r="O3" i="11" s="1"/>
  <c r="L4" i="11" a="1"/>
  <c r="L4" i="11" s="1"/>
  <c r="M4" i="11" a="1"/>
  <c r="M4" i="11"/>
  <c r="N4" i="11" a="1"/>
  <c r="N4" i="11" s="1"/>
  <c r="O4" i="11" a="1"/>
  <c r="O4" i="11"/>
  <c r="L5" i="11" a="1"/>
  <c r="L5" i="11" s="1"/>
  <c r="M5" i="11" a="1"/>
  <c r="M5" i="11"/>
  <c r="N5" i="11" a="1"/>
  <c r="N5" i="11"/>
  <c r="O5" i="11" a="1"/>
  <c r="O5" i="11" s="1"/>
  <c r="L6" i="11" a="1"/>
  <c r="L6" i="11" s="1"/>
  <c r="M6" i="11" a="1"/>
  <c r="M6" i="11"/>
  <c r="N6" i="11" a="1"/>
  <c r="N6" i="11"/>
  <c r="O6" i="11" a="1"/>
  <c r="O6" i="11" s="1"/>
  <c r="L7" i="11" a="1"/>
  <c r="L7" i="11" s="1"/>
  <c r="M7" i="11" a="1"/>
  <c r="M7" i="11" s="1"/>
  <c r="N7" i="11" a="1"/>
  <c r="N7" i="11"/>
  <c r="O7" i="11" a="1"/>
  <c r="O7" i="11"/>
  <c r="L8" i="11" a="1"/>
  <c r="L8" i="11" s="1"/>
  <c r="M8" i="11" a="1"/>
  <c r="M8" i="11" s="1"/>
  <c r="N8" i="11" a="1"/>
  <c r="N8" i="11"/>
  <c r="O8" i="11" a="1"/>
  <c r="O8" i="11"/>
  <c r="L9" i="11" a="1"/>
  <c r="L9" i="11" s="1"/>
  <c r="M9" i="11" a="1"/>
  <c r="M9" i="11" s="1"/>
  <c r="N9" i="11" a="1"/>
  <c r="N9" i="11" s="1"/>
  <c r="O9" i="11" a="1"/>
  <c r="O9" i="11"/>
  <c r="L10" i="11" a="1"/>
  <c r="L10" i="11" s="1"/>
  <c r="M10" i="11" a="1"/>
  <c r="M10" i="11" s="1"/>
  <c r="N10" i="11" a="1"/>
  <c r="N10" i="11"/>
  <c r="O10" i="11" a="1"/>
  <c r="O10" i="11"/>
  <c r="L11" i="11" a="1"/>
  <c r="L11" i="11" s="1"/>
  <c r="M11" i="11" a="1"/>
  <c r="M11" i="11"/>
  <c r="N11" i="11" a="1"/>
  <c r="N11" i="11" s="1"/>
  <c r="O11" i="11" a="1"/>
  <c r="O11" i="11"/>
  <c r="L12" i="11" a="1"/>
  <c r="L12" i="11" s="1"/>
  <c r="M12" i="11" a="1"/>
  <c r="M12" i="11"/>
  <c r="N12" i="11" a="1"/>
  <c r="N12" i="11" s="1"/>
  <c r="O12" i="11" a="1"/>
  <c r="O12" i="11" s="1"/>
  <c r="L13" i="11" a="1"/>
  <c r="L13" i="11" s="1"/>
  <c r="M13" i="11" a="1"/>
  <c r="M13" i="11"/>
  <c r="N13" i="11" a="1"/>
  <c r="N13" i="11"/>
  <c r="O13" i="11" a="1"/>
  <c r="O13" i="11" s="1"/>
  <c r="L14" i="11" a="1"/>
  <c r="L14" i="11" s="1"/>
  <c r="M14" i="11" a="1"/>
  <c r="M14" i="11"/>
  <c r="N14" i="11" a="1"/>
  <c r="N14" i="11"/>
  <c r="O14" i="11" a="1"/>
  <c r="O14" i="11" s="1"/>
  <c r="L16" i="11" a="1"/>
  <c r="L16" i="11" s="1"/>
  <c r="M16" i="11" a="1"/>
  <c r="M16" i="11" s="1"/>
  <c r="N16" i="11" a="1"/>
  <c r="N16" i="11"/>
  <c r="O16" i="11" a="1"/>
  <c r="O16" i="11"/>
  <c r="L17" i="11" a="1"/>
  <c r="L17" i="11" s="1"/>
  <c r="M17" i="11" a="1"/>
  <c r="M17" i="11"/>
  <c r="N17" i="11" a="1"/>
  <c r="N17" i="11"/>
  <c r="O17" i="11" a="1"/>
  <c r="O17" i="11"/>
  <c r="L18" i="11" a="1"/>
  <c r="L18" i="11" s="1"/>
  <c r="M18" i="11" a="1"/>
  <c r="M18" i="11" s="1"/>
  <c r="N18" i="11" a="1"/>
  <c r="N18" i="11"/>
  <c r="O18" i="11" a="1"/>
  <c r="O18" i="11"/>
  <c r="L19" i="11" a="1"/>
  <c r="L19" i="11" s="1"/>
  <c r="M19" i="11" a="1"/>
  <c r="M19" i="11" s="1"/>
  <c r="N19" i="11" a="1"/>
  <c r="N19" i="11"/>
  <c r="O19" i="11" a="1"/>
  <c r="O19" i="11"/>
  <c r="L20" i="11" a="1"/>
  <c r="L20" i="11" s="1"/>
  <c r="M20" i="11" a="1"/>
  <c r="M20" i="11"/>
  <c r="N20" i="11" a="1"/>
  <c r="N20" i="11" s="1"/>
  <c r="O20" i="11" a="1"/>
  <c r="O20" i="11" s="1"/>
  <c r="L21" i="11" a="1"/>
  <c r="L21" i="11" s="1"/>
  <c r="M21" i="11" a="1"/>
  <c r="M21" i="11"/>
  <c r="N21" i="11" a="1"/>
  <c r="N21" i="11" s="1"/>
  <c r="O21" i="11" a="1"/>
  <c r="O21" i="11"/>
  <c r="L22" i="11" a="1"/>
  <c r="L22" i="11" s="1"/>
  <c r="M22" i="11" a="1"/>
  <c r="M22" i="11"/>
  <c r="N22" i="11" a="1"/>
  <c r="N22" i="11"/>
  <c r="O22" i="11" a="1"/>
  <c r="O22" i="11" s="1"/>
  <c r="L23" i="11" a="1"/>
  <c r="L23" i="11" s="1"/>
  <c r="M23" i="11" a="1"/>
  <c r="M23" i="11"/>
  <c r="N23" i="11" a="1"/>
  <c r="N23" i="11"/>
  <c r="O23" i="11" a="1"/>
  <c r="O23" i="11" s="1"/>
  <c r="L24" i="11" a="1"/>
  <c r="L24" i="11" s="1"/>
  <c r="M24" i="11" a="1"/>
  <c r="M24" i="11" s="1"/>
  <c r="N24" i="11" a="1"/>
  <c r="N24" i="11"/>
  <c r="O24" i="11" a="1"/>
  <c r="O24" i="11"/>
  <c r="L25" i="11" a="1"/>
  <c r="L25" i="11" s="1"/>
  <c r="M25" i="11" a="1"/>
  <c r="M25" i="11" s="1"/>
  <c r="N25" i="11" a="1"/>
  <c r="N25" i="11"/>
  <c r="O25" i="11" a="1"/>
  <c r="O25" i="11"/>
  <c r="L26" i="11" a="1"/>
  <c r="L26" i="11" s="1"/>
  <c r="M26" i="11" a="1"/>
  <c r="M26" i="11" s="1"/>
  <c r="N26" i="11" a="1"/>
  <c r="N26" i="11" s="1"/>
  <c r="O26" i="11" a="1"/>
  <c r="O26" i="11"/>
  <c r="L27" i="11" a="1"/>
  <c r="L27" i="11" s="1"/>
  <c r="M27" i="11" a="1"/>
  <c r="M27" i="11" s="1"/>
  <c r="N27" i="11" a="1"/>
  <c r="N27" i="11"/>
  <c r="O27" i="11" a="1"/>
  <c r="O27" i="11"/>
  <c r="L28" i="11" a="1"/>
  <c r="L28" i="11" s="1"/>
  <c r="M28" i="11" a="1"/>
  <c r="M28" i="11"/>
  <c r="N28" i="11" a="1"/>
  <c r="N28" i="11" s="1"/>
  <c r="O28" i="11" a="1"/>
  <c r="O28" i="11" s="1"/>
  <c r="L29" i="11" a="1"/>
  <c r="L29" i="11" s="1"/>
  <c r="M29" i="11" a="1"/>
  <c r="M29" i="11"/>
  <c r="N29" i="11" a="1"/>
  <c r="N29" i="11" s="1"/>
  <c r="O29" i="11" a="1"/>
  <c r="O29" i="11" s="1"/>
  <c r="L30" i="11" a="1"/>
  <c r="L30" i="11" s="1"/>
  <c r="M30" i="11" a="1"/>
  <c r="M30" i="11"/>
  <c r="N30" i="11" a="1"/>
  <c r="N30" i="11"/>
  <c r="O30" i="11" a="1"/>
  <c r="O30" i="11" s="1"/>
  <c r="L31" i="11" a="1"/>
  <c r="L31" i="11" s="1"/>
  <c r="M31" i="11" a="1"/>
  <c r="M31" i="11"/>
  <c r="N31" i="11" a="1"/>
  <c r="N31" i="11"/>
  <c r="O31" i="11" a="1"/>
  <c r="O31" i="11" s="1"/>
  <c r="L32" i="11" a="1"/>
  <c r="L32" i="11" s="1"/>
  <c r="M32" i="11" a="1"/>
  <c r="M32" i="11" s="1"/>
  <c r="N32" i="11" a="1"/>
  <c r="N32" i="11"/>
  <c r="O32" i="11" a="1"/>
  <c r="O32" i="11"/>
  <c r="L33" i="11" a="1"/>
  <c r="L33" i="11" s="1"/>
  <c r="M33" i="11" a="1"/>
  <c r="M33" i="11" s="1"/>
  <c r="N33" i="11" a="1"/>
  <c r="N33" i="11"/>
  <c r="O33" i="11" a="1"/>
  <c r="O33" i="11"/>
  <c r="L34" i="11" a="1"/>
  <c r="L34" i="11" s="1"/>
  <c r="M34" i="11" a="1"/>
  <c r="M34" i="11" s="1"/>
  <c r="N34" i="11" a="1"/>
  <c r="N34" i="11"/>
  <c r="O34" i="11" a="1"/>
  <c r="O34" i="11"/>
  <c r="L35" i="11" a="1"/>
  <c r="L35" i="11" s="1"/>
  <c r="M35" i="11" a="1"/>
  <c r="M35" i="11" s="1"/>
  <c r="N35" i="11" a="1"/>
  <c r="N35" i="11" s="1"/>
  <c r="O35" i="11" a="1"/>
  <c r="O35" i="11" s="1"/>
  <c r="L36" i="11" a="1"/>
  <c r="L36" i="11" s="1"/>
  <c r="M36" i="11" a="1"/>
  <c r="M36" i="11"/>
  <c r="N36" i="11" a="1"/>
  <c r="N36" i="11" s="1"/>
  <c r="O36" i="11" a="1"/>
  <c r="O36" i="11" s="1"/>
  <c r="O2" i="11" a="1"/>
  <c r="O2" i="11" s="1"/>
  <c r="N2" i="11" a="1"/>
  <c r="N2" i="11" s="1"/>
  <c r="M2" i="11" a="1"/>
  <c r="M2" i="11" s="1"/>
  <c r="L2" i="11" a="1"/>
  <c r="L2" i="11" s="1"/>
  <c r="D3" i="11" a="1"/>
  <c r="D3" i="11" s="1"/>
  <c r="E3" i="11" a="1"/>
  <c r="E3" i="11" s="1"/>
  <c r="D4" i="11" a="1"/>
  <c r="D4" i="11" s="1"/>
  <c r="E4" i="11" a="1"/>
  <c r="E4" i="11" s="1"/>
  <c r="D5" i="11" a="1"/>
  <c r="D5" i="11" s="1"/>
  <c r="E5" i="11" a="1"/>
  <c r="E5" i="11" s="1"/>
  <c r="D6" i="11" a="1"/>
  <c r="D6" i="11" s="1"/>
  <c r="E6" i="11" a="1"/>
  <c r="E6" i="11" s="1"/>
  <c r="D7" i="11" a="1"/>
  <c r="D7" i="11" s="1"/>
  <c r="E7" i="11" a="1"/>
  <c r="E7" i="11" s="1"/>
  <c r="D8" i="11" a="1"/>
  <c r="D8" i="11" s="1"/>
  <c r="E8" i="11" a="1"/>
  <c r="E8" i="11" s="1"/>
  <c r="D9" i="11" a="1"/>
  <c r="D9" i="11" s="1"/>
  <c r="E9" i="11" a="1"/>
  <c r="E9" i="11" s="1"/>
  <c r="D10" i="11" a="1"/>
  <c r="D10" i="11" s="1"/>
  <c r="E10" i="11" a="1"/>
  <c r="E10" i="11" s="1"/>
  <c r="D11" i="11" a="1"/>
  <c r="D11" i="11" s="1"/>
  <c r="E11" i="11" a="1"/>
  <c r="E11" i="11" s="1"/>
  <c r="D12" i="11" a="1"/>
  <c r="D12" i="11" s="1"/>
  <c r="E12" i="11" a="1"/>
  <c r="E12" i="11" s="1"/>
  <c r="D13" i="11" a="1"/>
  <c r="D13" i="11" s="1"/>
  <c r="E13" i="11" a="1"/>
  <c r="E13" i="11" s="1"/>
  <c r="D14" i="11" a="1"/>
  <c r="D14" i="11" s="1"/>
  <c r="E14" i="11" a="1"/>
  <c r="E14" i="11" s="1"/>
  <c r="D16" i="11" a="1"/>
  <c r="D16" i="11" s="1"/>
  <c r="E16" i="11" a="1"/>
  <c r="E16" i="11" s="1"/>
  <c r="D17" i="11" a="1"/>
  <c r="D17" i="11" s="1"/>
  <c r="E17" i="11" a="1"/>
  <c r="E17" i="11" s="1"/>
  <c r="D18" i="11" a="1"/>
  <c r="D18" i="11" s="1"/>
  <c r="E18" i="11" a="1"/>
  <c r="E18" i="11" s="1"/>
  <c r="D19" i="11" a="1"/>
  <c r="D19" i="11" s="1"/>
  <c r="E19" i="11" a="1"/>
  <c r="E19" i="11" s="1"/>
  <c r="D20" i="11" a="1"/>
  <c r="D20" i="11" s="1"/>
  <c r="E20" i="11" a="1"/>
  <c r="E20" i="11" s="1"/>
  <c r="D21" i="11" a="1"/>
  <c r="D21" i="11" s="1"/>
  <c r="E21" i="11" a="1"/>
  <c r="E21" i="11" s="1"/>
  <c r="D22" i="11" a="1"/>
  <c r="D22" i="11" s="1"/>
  <c r="E22" i="11" a="1"/>
  <c r="E22" i="11" s="1"/>
  <c r="D23" i="11" a="1"/>
  <c r="D23" i="11" s="1"/>
  <c r="E23" i="11" a="1"/>
  <c r="E23" i="11" s="1"/>
  <c r="D24" i="11" a="1"/>
  <c r="D24" i="11" s="1"/>
  <c r="E24" i="11" a="1"/>
  <c r="E24" i="11" s="1"/>
  <c r="D25" i="11" a="1"/>
  <c r="D25" i="11" s="1"/>
  <c r="E25" i="11" a="1"/>
  <c r="E25" i="11" s="1"/>
  <c r="D26" i="11" a="1"/>
  <c r="D26" i="11" s="1"/>
  <c r="E26" i="11" a="1"/>
  <c r="E26" i="11" s="1"/>
  <c r="D27" i="11" a="1"/>
  <c r="D27" i="11" s="1"/>
  <c r="E27" i="11" a="1"/>
  <c r="E27" i="11" s="1"/>
  <c r="D28" i="11" a="1"/>
  <c r="D28" i="11" s="1"/>
  <c r="E28" i="11" a="1"/>
  <c r="E28" i="11" s="1"/>
  <c r="D29" i="11" a="1"/>
  <c r="D29" i="11" s="1"/>
  <c r="E29" i="11" a="1"/>
  <c r="E29" i="11" s="1"/>
  <c r="D30" i="11" a="1"/>
  <c r="D30" i="11" s="1"/>
  <c r="E30" i="11" a="1"/>
  <c r="E30" i="11" s="1"/>
  <c r="D31" i="11" a="1"/>
  <c r="D31" i="11" s="1"/>
  <c r="E31" i="11" a="1"/>
  <c r="E31" i="11" s="1"/>
  <c r="D32" i="11" a="1"/>
  <c r="D32" i="11" s="1"/>
  <c r="E32" i="11" a="1"/>
  <c r="E32" i="11" s="1"/>
  <c r="D33" i="11" a="1"/>
  <c r="D33" i="11" s="1"/>
  <c r="E33" i="11" a="1"/>
  <c r="E33" i="11" s="1"/>
  <c r="D34" i="11" a="1"/>
  <c r="D34" i="11" s="1"/>
  <c r="E34" i="11" a="1"/>
  <c r="E34" i="11" s="1"/>
  <c r="D35" i="11" a="1"/>
  <c r="D35" i="11" s="1"/>
  <c r="E35" i="11" a="1"/>
  <c r="E35" i="11" s="1"/>
  <c r="D36" i="11" a="1"/>
  <c r="D36" i="11" s="1"/>
  <c r="E36" i="11" a="1"/>
  <c r="E36" i="11" s="1"/>
  <c r="E2" i="11" a="1"/>
  <c r="E2" i="11" s="1"/>
  <c r="D2" i="11" a="1"/>
  <c r="D2" i="11" s="1"/>
  <c r="BL28" i="1"/>
  <c r="BK28" i="1"/>
  <c r="BI28" i="1"/>
  <c r="BH28" i="1"/>
  <c r="P3" i="11" a="1"/>
  <c r="P3" i="11" s="1"/>
  <c r="Q3" i="11" a="1"/>
  <c r="Q3" i="11" s="1"/>
  <c r="R3" i="11" a="1"/>
  <c r="R3" i="11" s="1"/>
  <c r="S3" i="11" a="1"/>
  <c r="S3" i="11" s="1"/>
  <c r="P4" i="11" a="1"/>
  <c r="P4" i="11" s="1"/>
  <c r="Q4" i="11" a="1"/>
  <c r="Q4" i="11" s="1"/>
  <c r="R4" i="11" a="1"/>
  <c r="R4" i="11" s="1"/>
  <c r="S4" i="11" a="1"/>
  <c r="S4" i="11" s="1"/>
  <c r="P5" i="11" a="1"/>
  <c r="P5" i="11" s="1"/>
  <c r="Q5" i="11" a="1"/>
  <c r="Q5" i="11" s="1"/>
  <c r="R5" i="11" a="1"/>
  <c r="R5" i="11" s="1"/>
  <c r="S5" i="11" a="1"/>
  <c r="S5" i="11" s="1"/>
  <c r="P6" i="11" a="1"/>
  <c r="P6" i="11" s="1"/>
  <c r="Q6" i="11" a="1"/>
  <c r="Q6" i="11" s="1"/>
  <c r="R6" i="11" a="1"/>
  <c r="R6" i="11" s="1"/>
  <c r="S6" i="11" a="1"/>
  <c r="S6" i="11" s="1"/>
  <c r="P7" i="11" a="1"/>
  <c r="P7" i="11" s="1"/>
  <c r="Q7" i="11" a="1"/>
  <c r="Q7" i="11" s="1"/>
  <c r="R7" i="11" a="1"/>
  <c r="R7" i="11"/>
  <c r="S7" i="11" a="1"/>
  <c r="S7" i="11" s="1"/>
  <c r="P8" i="11" a="1"/>
  <c r="P8" i="11" s="1"/>
  <c r="Q8" i="11" a="1"/>
  <c r="Q8" i="11" s="1"/>
  <c r="R8" i="11" a="1"/>
  <c r="R8" i="11" s="1"/>
  <c r="S8" i="11" a="1"/>
  <c r="S8" i="11" s="1"/>
  <c r="P9" i="11" a="1"/>
  <c r="P9" i="11" s="1"/>
  <c r="Q9" i="11" a="1"/>
  <c r="Q9" i="11" s="1"/>
  <c r="R9" i="11" a="1"/>
  <c r="R9" i="11" s="1"/>
  <c r="S9" i="11" a="1"/>
  <c r="S9" i="11" s="1"/>
  <c r="P10" i="11" a="1"/>
  <c r="P10" i="11" s="1"/>
  <c r="Q10" i="11" a="1"/>
  <c r="Q10" i="11" s="1"/>
  <c r="R10" i="11" a="1"/>
  <c r="R10" i="11" s="1"/>
  <c r="S10" i="11" a="1"/>
  <c r="S10" i="11" s="1"/>
  <c r="P11" i="11" a="1"/>
  <c r="P11" i="11" s="1"/>
  <c r="Q11" i="11" a="1"/>
  <c r="Q11" i="11" s="1"/>
  <c r="R11" i="11" a="1"/>
  <c r="R11" i="11" s="1"/>
  <c r="S11" i="11" a="1"/>
  <c r="S11" i="11" s="1"/>
  <c r="P12" i="11" a="1"/>
  <c r="P12" i="11" s="1"/>
  <c r="Q12" i="11" a="1"/>
  <c r="Q12" i="11" s="1"/>
  <c r="R12" i="11" a="1"/>
  <c r="R12" i="11" s="1"/>
  <c r="S12" i="11" a="1"/>
  <c r="S12" i="11" s="1"/>
  <c r="P13" i="11" a="1"/>
  <c r="P13" i="11" s="1"/>
  <c r="Q13" i="11" a="1"/>
  <c r="Q13" i="11" s="1"/>
  <c r="R13" i="11" a="1"/>
  <c r="R13" i="11" s="1"/>
  <c r="S13" i="11" a="1"/>
  <c r="S13" i="11" s="1"/>
  <c r="P14" i="11" a="1"/>
  <c r="P14" i="11" s="1"/>
  <c r="Q14" i="11" a="1"/>
  <c r="Q14" i="11" s="1"/>
  <c r="R14" i="11" a="1"/>
  <c r="R14" i="11" s="1"/>
  <c r="S14" i="11" a="1"/>
  <c r="S14" i="11" s="1"/>
  <c r="P16" i="11" a="1"/>
  <c r="P16" i="11" s="1"/>
  <c r="Q16" i="11" a="1"/>
  <c r="Q16" i="11" s="1"/>
  <c r="R16" i="11" a="1"/>
  <c r="R16" i="11" s="1"/>
  <c r="S16" i="11" a="1"/>
  <c r="S16" i="11" s="1"/>
  <c r="P17" i="11" a="1"/>
  <c r="P17" i="11" s="1"/>
  <c r="Q17" i="11" a="1"/>
  <c r="Q17" i="11" s="1"/>
  <c r="R17" i="11" a="1"/>
  <c r="R17" i="11" s="1"/>
  <c r="S17" i="11" a="1"/>
  <c r="S17" i="11" s="1"/>
  <c r="P18" i="11" a="1"/>
  <c r="P18" i="11" s="1"/>
  <c r="Q18" i="11" a="1"/>
  <c r="Q18" i="11" s="1"/>
  <c r="R18" i="11" a="1"/>
  <c r="R18" i="11" s="1"/>
  <c r="S18" i="11" a="1"/>
  <c r="S18" i="11" s="1"/>
  <c r="P19" i="11" a="1"/>
  <c r="P19" i="11" s="1"/>
  <c r="Q19" i="11" a="1"/>
  <c r="Q19" i="11" s="1"/>
  <c r="R19" i="11" a="1"/>
  <c r="R19" i="11" s="1"/>
  <c r="S19" i="11" a="1"/>
  <c r="S19" i="11" s="1"/>
  <c r="P20" i="11" a="1"/>
  <c r="P20" i="11" s="1"/>
  <c r="Q20" i="11" a="1"/>
  <c r="Q20" i="11" s="1"/>
  <c r="R20" i="11" a="1"/>
  <c r="R20" i="11" s="1"/>
  <c r="S20" i="11" a="1"/>
  <c r="S20" i="11" s="1"/>
  <c r="P21" i="11" a="1"/>
  <c r="P21" i="11" s="1"/>
  <c r="Q21" i="11" a="1"/>
  <c r="Q21" i="11" s="1"/>
  <c r="R21" i="11" a="1"/>
  <c r="R21" i="11" s="1"/>
  <c r="S21" i="11" a="1"/>
  <c r="S21" i="11" s="1"/>
  <c r="P22" i="11" a="1"/>
  <c r="P22" i="11" s="1"/>
  <c r="Q22" i="11" a="1"/>
  <c r="Q22" i="11" s="1"/>
  <c r="R22" i="11" a="1"/>
  <c r="R22" i="11" s="1"/>
  <c r="S22" i="11" a="1"/>
  <c r="S22" i="11" s="1"/>
  <c r="P23" i="11" a="1"/>
  <c r="P23" i="11" s="1"/>
  <c r="Q23" i="11" a="1"/>
  <c r="Q23" i="11" s="1"/>
  <c r="R23" i="11" a="1"/>
  <c r="R23" i="11"/>
  <c r="S23" i="11" a="1"/>
  <c r="S23" i="11" s="1"/>
  <c r="P24" i="11" a="1"/>
  <c r="P24" i="11" s="1"/>
  <c r="Q24" i="11" a="1"/>
  <c r="Q24" i="11" s="1"/>
  <c r="R24" i="11" a="1"/>
  <c r="R24" i="11" s="1"/>
  <c r="S24" i="11" a="1"/>
  <c r="S24" i="11" s="1"/>
  <c r="P25" i="11" a="1"/>
  <c r="P25" i="11" s="1"/>
  <c r="Q25" i="11" a="1"/>
  <c r="Q25" i="11" s="1"/>
  <c r="R25" i="11" a="1"/>
  <c r="R25" i="11" s="1"/>
  <c r="S25" i="11" a="1"/>
  <c r="S25" i="11"/>
  <c r="P26" i="11" a="1"/>
  <c r="P26" i="11" s="1"/>
  <c r="Q26" i="11" a="1"/>
  <c r="Q26" i="11" s="1"/>
  <c r="R26" i="11" a="1"/>
  <c r="R26" i="11"/>
  <c r="S26" i="11" a="1"/>
  <c r="S26" i="11" s="1"/>
  <c r="P27" i="11" a="1"/>
  <c r="P27" i="11" s="1"/>
  <c r="Q27" i="11" a="1"/>
  <c r="Q27" i="11" s="1"/>
  <c r="R27" i="11" a="1"/>
  <c r="R27" i="11" s="1"/>
  <c r="S27" i="11" a="1"/>
  <c r="S27" i="11" s="1"/>
  <c r="P28" i="11" a="1"/>
  <c r="P28" i="11" s="1"/>
  <c r="Q28" i="11" a="1"/>
  <c r="Q28" i="11" s="1"/>
  <c r="R28" i="11" a="1"/>
  <c r="R28" i="11" s="1"/>
  <c r="S28" i="11" a="1"/>
  <c r="S28" i="11" s="1"/>
  <c r="P29" i="11" a="1"/>
  <c r="P29" i="11" s="1"/>
  <c r="Q29" i="11" a="1"/>
  <c r="Q29" i="11" s="1"/>
  <c r="R29" i="11" a="1"/>
  <c r="R29" i="11" s="1"/>
  <c r="S29" i="11" a="1"/>
  <c r="S29" i="11" s="1"/>
  <c r="P30" i="11" a="1"/>
  <c r="P30" i="11"/>
  <c r="Q30" i="11" a="1"/>
  <c r="Q30" i="11" s="1"/>
  <c r="R30" i="11" a="1"/>
  <c r="R30" i="11" s="1"/>
  <c r="S30" i="11" a="1"/>
  <c r="S30" i="11" s="1"/>
  <c r="P31" i="11" a="1"/>
  <c r="P31" i="11"/>
  <c r="Q31" i="11" a="1"/>
  <c r="Q31" i="11" s="1"/>
  <c r="R31" i="11" a="1"/>
  <c r="R31" i="11" s="1"/>
  <c r="S31" i="11" a="1"/>
  <c r="S31" i="11" s="1"/>
  <c r="P32" i="11" a="1"/>
  <c r="P32" i="11" s="1"/>
  <c r="Q32" i="11" a="1"/>
  <c r="Q32" i="11" s="1"/>
  <c r="R32" i="11" a="1"/>
  <c r="R32" i="11" s="1"/>
  <c r="S32" i="11" a="1"/>
  <c r="S32" i="11" s="1"/>
  <c r="P33" i="11" a="1"/>
  <c r="P33" i="11" s="1"/>
  <c r="Q33" i="11" a="1"/>
  <c r="Q33" i="11" s="1"/>
  <c r="R33" i="11" a="1"/>
  <c r="R33" i="11" s="1"/>
  <c r="S33" i="11" a="1"/>
  <c r="S33" i="11"/>
  <c r="P34" i="11" a="1"/>
  <c r="P34" i="11" s="1"/>
  <c r="Q34" i="11" a="1"/>
  <c r="Q34" i="11" s="1"/>
  <c r="R34" i="11" a="1"/>
  <c r="R34" i="11" s="1"/>
  <c r="S34" i="11" a="1"/>
  <c r="S34" i="11" s="1"/>
  <c r="P35" i="11" a="1"/>
  <c r="P35" i="11"/>
  <c r="Q35" i="11" a="1"/>
  <c r="Q35" i="11" s="1"/>
  <c r="R35" i="11" a="1"/>
  <c r="R35" i="11" s="1"/>
  <c r="S35" i="11" a="1"/>
  <c r="S35" i="11"/>
  <c r="P36" i="11" a="1"/>
  <c r="P36" i="11" s="1"/>
  <c r="Q36" i="11" a="1"/>
  <c r="Q36" i="11" s="1"/>
  <c r="R36" i="11" a="1"/>
  <c r="R36" i="11" s="1"/>
  <c r="S36" i="11" a="1"/>
  <c r="S36" i="11" s="1"/>
  <c r="S2" i="11" a="1"/>
  <c r="S2" i="11" s="1"/>
  <c r="R2" i="11" a="1"/>
  <c r="R2" i="11" s="1"/>
  <c r="Q2" i="11" a="1"/>
  <c r="Q2" i="11" s="1"/>
  <c r="P2" i="11" a="1"/>
  <c r="P2" i="11" s="1"/>
  <c r="K2" i="11" a="1"/>
  <c r="K2" i="11" s="1"/>
  <c r="J2" i="11" a="1"/>
  <c r="J2" i="11" s="1"/>
  <c r="I2" i="11" a="1"/>
  <c r="I2" i="11" s="1"/>
  <c r="C3" i="11" a="1"/>
  <c r="C3" i="11" s="1"/>
  <c r="F3" i="11" a="1"/>
  <c r="F3" i="11" s="1"/>
  <c r="G3" i="11" a="1"/>
  <c r="G3" i="11" s="1"/>
  <c r="C4" i="11" a="1"/>
  <c r="C4" i="11" s="1"/>
  <c r="F4" i="11" a="1"/>
  <c r="F4" i="11" s="1"/>
  <c r="G4" i="11" a="1"/>
  <c r="G4" i="11" s="1"/>
  <c r="C5" i="11" a="1"/>
  <c r="C5" i="11" s="1"/>
  <c r="F5" i="11" a="1"/>
  <c r="F5" i="11" s="1"/>
  <c r="G5" i="11" a="1"/>
  <c r="G5" i="11" s="1"/>
  <c r="C6" i="11" a="1"/>
  <c r="C6" i="11" s="1"/>
  <c r="F6" i="11" a="1"/>
  <c r="F6" i="11" s="1"/>
  <c r="G6" i="11" a="1"/>
  <c r="G6" i="11" s="1"/>
  <c r="C7" i="11" a="1"/>
  <c r="C7" i="11" s="1"/>
  <c r="F7" i="11" a="1"/>
  <c r="F7" i="11" s="1"/>
  <c r="G7" i="11" a="1"/>
  <c r="G7" i="11" s="1"/>
  <c r="C8" i="11" a="1"/>
  <c r="C8" i="11" s="1"/>
  <c r="F8" i="11" a="1"/>
  <c r="F8" i="11" s="1"/>
  <c r="G8" i="11" a="1"/>
  <c r="G8" i="11" s="1"/>
  <c r="C9" i="11" a="1"/>
  <c r="C9" i="11" s="1"/>
  <c r="F9" i="11" a="1"/>
  <c r="F9" i="11" s="1"/>
  <c r="G9" i="11" a="1"/>
  <c r="G9" i="11" s="1"/>
  <c r="C10" i="11" a="1"/>
  <c r="C10" i="11" s="1"/>
  <c r="F10" i="11" a="1"/>
  <c r="F10" i="11" s="1"/>
  <c r="G10" i="11" a="1"/>
  <c r="G10" i="11" s="1"/>
  <c r="C11" i="11" a="1"/>
  <c r="C11" i="11" s="1"/>
  <c r="F11" i="11" a="1"/>
  <c r="F11" i="11" s="1"/>
  <c r="G11" i="11" a="1"/>
  <c r="G11" i="11" s="1"/>
  <c r="C12" i="11" a="1"/>
  <c r="C12" i="11" s="1"/>
  <c r="F12" i="11" a="1"/>
  <c r="F12" i="11" s="1"/>
  <c r="G12" i="11" a="1"/>
  <c r="G12" i="11" s="1"/>
  <c r="C13" i="11" a="1"/>
  <c r="C13" i="11" s="1"/>
  <c r="F13" i="11" a="1"/>
  <c r="F13" i="11" s="1"/>
  <c r="G13" i="11" a="1"/>
  <c r="G13" i="11" s="1"/>
  <c r="C14" i="11" a="1"/>
  <c r="C14" i="11" s="1"/>
  <c r="F14" i="11" a="1"/>
  <c r="F14" i="11" s="1"/>
  <c r="G14" i="11" a="1"/>
  <c r="G14" i="11" s="1"/>
  <c r="C16" i="11" a="1"/>
  <c r="C16" i="11" s="1"/>
  <c r="F16" i="11" a="1"/>
  <c r="F16" i="11" s="1"/>
  <c r="G16" i="11" a="1"/>
  <c r="G16" i="11" s="1"/>
  <c r="C17" i="11" a="1"/>
  <c r="C17" i="11" s="1"/>
  <c r="F17" i="11" a="1"/>
  <c r="F17" i="11" s="1"/>
  <c r="G17" i="11" a="1"/>
  <c r="G17" i="11" s="1"/>
  <c r="C18" i="11" a="1"/>
  <c r="C18" i="11" s="1"/>
  <c r="F18" i="11" a="1"/>
  <c r="F18" i="11" s="1"/>
  <c r="G18" i="11" a="1"/>
  <c r="G18" i="11" s="1"/>
  <c r="C19" i="11" a="1"/>
  <c r="C19" i="11" s="1"/>
  <c r="F19" i="11" a="1"/>
  <c r="F19" i="11" s="1"/>
  <c r="G19" i="11" a="1"/>
  <c r="G19" i="11" s="1"/>
  <c r="C20" i="11" a="1"/>
  <c r="C20" i="11" s="1"/>
  <c r="F20" i="11" a="1"/>
  <c r="F20" i="11" s="1"/>
  <c r="G20" i="11" a="1"/>
  <c r="G20" i="11" s="1"/>
  <c r="C21" i="11" a="1"/>
  <c r="C21" i="11" s="1"/>
  <c r="F21" i="11" a="1"/>
  <c r="F21" i="11" s="1"/>
  <c r="G21" i="11" a="1"/>
  <c r="G21" i="11" s="1"/>
  <c r="C22" i="11" a="1"/>
  <c r="C22" i="11" s="1"/>
  <c r="F22" i="11" a="1"/>
  <c r="F22" i="11" s="1"/>
  <c r="G22" i="11" a="1"/>
  <c r="G22" i="11" s="1"/>
  <c r="C23" i="11" a="1"/>
  <c r="C23" i="11" s="1"/>
  <c r="F23" i="11" a="1"/>
  <c r="F23" i="11" s="1"/>
  <c r="G23" i="11" a="1"/>
  <c r="G23" i="11" s="1"/>
  <c r="C24" i="11" a="1"/>
  <c r="C24" i="11" s="1"/>
  <c r="F24" i="11" a="1"/>
  <c r="F24" i="11" s="1"/>
  <c r="G24" i="11" a="1"/>
  <c r="G24" i="11" s="1"/>
  <c r="C25" i="11" a="1"/>
  <c r="C25" i="11" s="1"/>
  <c r="F25" i="11" a="1"/>
  <c r="F25" i="11" s="1"/>
  <c r="G25" i="11" a="1"/>
  <c r="G25" i="11" s="1"/>
  <c r="C26" i="11" a="1"/>
  <c r="C26" i="11" s="1"/>
  <c r="F26" i="11" a="1"/>
  <c r="F26" i="11" s="1"/>
  <c r="G26" i="11" a="1"/>
  <c r="G26" i="11" s="1"/>
  <c r="C27" i="11" a="1"/>
  <c r="C27" i="11" s="1"/>
  <c r="F27" i="11" a="1"/>
  <c r="F27" i="11" s="1"/>
  <c r="G27" i="11" a="1"/>
  <c r="G27" i="11" s="1"/>
  <c r="C28" i="11" a="1"/>
  <c r="C28" i="11" s="1"/>
  <c r="F28" i="11" a="1"/>
  <c r="F28" i="11" s="1"/>
  <c r="G28" i="11" a="1"/>
  <c r="G28" i="11" s="1"/>
  <c r="C29" i="11" a="1"/>
  <c r="C29" i="11" s="1"/>
  <c r="F29" i="11" a="1"/>
  <c r="F29" i="11" s="1"/>
  <c r="G29" i="11" a="1"/>
  <c r="G29" i="11" s="1"/>
  <c r="C30" i="11" a="1"/>
  <c r="C30" i="11" s="1"/>
  <c r="F30" i="11" a="1"/>
  <c r="F30" i="11" s="1"/>
  <c r="G30" i="11" a="1"/>
  <c r="G30" i="11" s="1"/>
  <c r="C31" i="11" a="1"/>
  <c r="C31" i="11" s="1"/>
  <c r="F31" i="11" a="1"/>
  <c r="F31" i="11" s="1"/>
  <c r="G31" i="11" a="1"/>
  <c r="G31" i="11" s="1"/>
  <c r="C32" i="11" a="1"/>
  <c r="C32" i="11" s="1"/>
  <c r="F32" i="11" a="1"/>
  <c r="F32" i="11" s="1"/>
  <c r="G32" i="11" a="1"/>
  <c r="G32" i="11" s="1"/>
  <c r="C33" i="11" a="1"/>
  <c r="C33" i="11" s="1"/>
  <c r="F33" i="11" a="1"/>
  <c r="F33" i="11" s="1"/>
  <c r="G33" i="11" a="1"/>
  <c r="G33" i="11" s="1"/>
  <c r="C34" i="11" a="1"/>
  <c r="C34" i="11" s="1"/>
  <c r="F34" i="11" a="1"/>
  <c r="F34" i="11" s="1"/>
  <c r="G34" i="11" a="1"/>
  <c r="G34" i="11" s="1"/>
  <c r="C35" i="11" a="1"/>
  <c r="C35" i="11" s="1"/>
  <c r="F35" i="11" a="1"/>
  <c r="F35" i="11" s="1"/>
  <c r="G35" i="11" a="1"/>
  <c r="G35" i="11" s="1"/>
  <c r="C36" i="11" a="1"/>
  <c r="C36" i="11" s="1"/>
  <c r="F36" i="11" a="1"/>
  <c r="F36" i="11" s="1"/>
  <c r="G36" i="11" a="1"/>
  <c r="G36" i="11" s="1"/>
  <c r="G2" i="11" a="1"/>
  <c r="G2" i="11" s="1"/>
  <c r="F2" i="11" a="1"/>
  <c r="F2" i="11" s="1"/>
  <c r="C2" i="11" a="1"/>
  <c r="C2" i="11" s="1"/>
  <c r="B3" i="11" a="1"/>
  <c r="B3" i="11" s="1"/>
  <c r="B4" i="11" a="1"/>
  <c r="B4" i="11" s="1"/>
  <c r="B5" i="11" a="1"/>
  <c r="B5" i="11" s="1"/>
  <c r="B6" i="11" a="1"/>
  <c r="B6" i="11" s="1"/>
  <c r="B7" i="11" a="1"/>
  <c r="B7" i="11" s="1"/>
  <c r="B8" i="11" a="1"/>
  <c r="B8" i="11" s="1"/>
  <c r="B9" i="11" a="1"/>
  <c r="B9" i="11" s="1"/>
  <c r="B10" i="11" a="1"/>
  <c r="B10" i="11" s="1"/>
  <c r="B11" i="11" a="1"/>
  <c r="B11" i="11" s="1"/>
  <c r="B12" i="11" a="1"/>
  <c r="B12" i="11" s="1"/>
  <c r="B13" i="11" a="1"/>
  <c r="B13" i="11" s="1"/>
  <c r="B14" i="11" a="1"/>
  <c r="B14" i="11" s="1"/>
  <c r="B16" i="11" a="1"/>
  <c r="B16" i="11" s="1"/>
  <c r="B17" i="11" a="1"/>
  <c r="B17" i="11" s="1"/>
  <c r="B18" i="11" a="1"/>
  <c r="B18" i="11" s="1"/>
  <c r="B19" i="11" a="1"/>
  <c r="B19" i="11" s="1"/>
  <c r="B20" i="11" a="1"/>
  <c r="B20" i="11" s="1"/>
  <c r="B21" i="11" a="1"/>
  <c r="B21" i="11" s="1"/>
  <c r="B22" i="11" a="1"/>
  <c r="B22" i="11" s="1"/>
  <c r="B23" i="11" a="1"/>
  <c r="B23" i="11" s="1"/>
  <c r="B24" i="11" a="1"/>
  <c r="B24" i="11" s="1"/>
  <c r="B25" i="11" a="1"/>
  <c r="B25" i="11" s="1"/>
  <c r="B26" i="11" a="1"/>
  <c r="B26" i="11" s="1"/>
  <c r="B27" i="11" a="1"/>
  <c r="B27" i="11" s="1"/>
  <c r="B28" i="11" a="1"/>
  <c r="B28" i="11" s="1"/>
  <c r="B29" i="11" a="1"/>
  <c r="B29" i="11" s="1"/>
  <c r="B30" i="11" a="1"/>
  <c r="B30" i="11" s="1"/>
  <c r="B31" i="11" a="1"/>
  <c r="B31" i="11" s="1"/>
  <c r="B32" i="11" a="1"/>
  <c r="B32" i="11" s="1"/>
  <c r="B33" i="11" a="1"/>
  <c r="B33" i="11" s="1"/>
  <c r="B34" i="11" a="1"/>
  <c r="B34" i="11" s="1"/>
  <c r="B35" i="11" a="1"/>
  <c r="B35" i="11" s="1"/>
  <c r="B36" i="11" a="1"/>
  <c r="B36" i="11" s="1"/>
  <c r="B2" i="11" a="1"/>
  <c r="B2" i="11" s="1"/>
  <c r="R6" i="1"/>
  <c r="BL22" i="1" l="1"/>
  <c r="BK22" i="1"/>
  <c r="BG19" i="1"/>
  <c r="BL19" i="1"/>
  <c r="BH18" i="1"/>
  <c r="BG9" i="1"/>
  <c r="BH8" i="1"/>
  <c r="BI8" i="1"/>
  <c r="BJ8" i="1"/>
  <c r="BK8" i="1"/>
  <c r="BL8" i="1"/>
  <c r="BH6" i="1"/>
  <c r="BG3" i="1"/>
  <c r="BJ3" i="1"/>
  <c r="AV9" i="1"/>
  <c r="AO26" i="1"/>
  <c r="AN26" i="1"/>
  <c r="AM26" i="1"/>
  <c r="AO15" i="1"/>
  <c r="AN15" i="1"/>
  <c r="AM11" i="1"/>
  <c r="AO9" i="1"/>
  <c r="AE37" i="1"/>
  <c r="T37" i="1"/>
  <c r="AD37" i="1"/>
  <c r="AC37" i="1"/>
  <c r="R37" i="1"/>
  <c r="AE31" i="1"/>
  <c r="AD31" i="1"/>
  <c r="AC31" i="1"/>
  <c r="AE20" i="1"/>
  <c r="AC20" i="1"/>
  <c r="AE5" i="1"/>
  <c r="AD5" i="1"/>
  <c r="AU3" i="1"/>
  <c r="AN3" i="1"/>
  <c r="AD3" i="1"/>
  <c r="S37" i="1"/>
  <c r="T33" i="1"/>
  <c r="R33" i="1"/>
  <c r="S29" i="1"/>
  <c r="T29" i="1"/>
  <c r="T27" i="1"/>
  <c r="S27" i="1"/>
  <c r="T22" i="1"/>
  <c r="T13" i="1"/>
  <c r="AC6" i="1"/>
  <c r="S3" i="1"/>
  <c r="AE3" i="1" s="1"/>
  <c r="AO3" i="1" s="1"/>
  <c r="T3" i="1"/>
  <c r="AC9" i="1"/>
  <c r="S9" i="1"/>
  <c r="K9" i="4"/>
  <c r="J9" i="4"/>
  <c r="AV3" i="1" l="1"/>
  <c r="I30" i="8"/>
  <c r="J29" i="8"/>
  <c r="I29" i="8"/>
  <c r="H29" i="8"/>
  <c r="I22" i="8"/>
  <c r="F37" i="9"/>
  <c r="G6" i="9"/>
  <c r="G9" i="9"/>
  <c r="G16" i="9"/>
  <c r="G19" i="9"/>
  <c r="F9" i="9"/>
  <c r="H3" i="7"/>
  <c r="G3" i="7"/>
  <c r="H7" i="7"/>
  <c r="H17" i="7"/>
  <c r="I22" i="7"/>
  <c r="I6" i="7"/>
  <c r="I29" i="7"/>
  <c r="H29" i="7"/>
  <c r="H22" i="7"/>
  <c r="I17" i="7"/>
  <c r="I9" i="7"/>
  <c r="H9" i="7"/>
  <c r="I7" i="7"/>
  <c r="H6" i="7"/>
  <c r="I3" i="7"/>
  <c r="I29" i="4"/>
  <c r="K23" i="4"/>
  <c r="J23" i="4"/>
  <c r="J35" i="4"/>
  <c r="K38" i="4"/>
  <c r="J38" i="4"/>
  <c r="J34" i="4"/>
  <c r="K34" i="4"/>
  <c r="K35" i="4"/>
  <c r="J36" i="4"/>
  <c r="K36" i="4"/>
  <c r="K33" i="4"/>
  <c r="J33" i="4"/>
  <c r="K28" i="4"/>
  <c r="J28" i="4"/>
  <c r="K22" i="4"/>
  <c r="J22" i="4"/>
  <c r="I22" i="4"/>
  <c r="K19" i="4"/>
  <c r="K17" i="4"/>
  <c r="J17" i="4"/>
  <c r="K15" i="4"/>
  <c r="J15" i="4"/>
  <c r="K14" i="4"/>
  <c r="J14" i="4"/>
  <c r="K3" i="4"/>
  <c r="J3" i="4"/>
  <c r="K6" i="4"/>
  <c r="J6" i="4"/>
  <c r="AF29" i="5"/>
  <c r="AG29" i="5"/>
  <c r="AF3" i="5"/>
  <c r="AG3" i="5"/>
  <c r="Z9" i="5"/>
  <c r="Y9" i="5"/>
  <c r="S22" i="5"/>
  <c r="R22" i="5"/>
  <c r="Q22" i="5"/>
  <c r="S6" i="5"/>
  <c r="R6" i="5"/>
  <c r="I29" i="5"/>
  <c r="J3" i="5"/>
  <c r="B29" i="8" l="1"/>
  <c r="B29" i="7"/>
  <c r="D9" i="7"/>
  <c r="B9" i="7"/>
  <c r="B3" i="7"/>
  <c r="Y19" i="6"/>
  <c r="X19" i="6"/>
  <c r="AF18" i="6"/>
  <c r="AE18" i="6"/>
  <c r="AD18" i="6"/>
  <c r="AC18" i="6"/>
  <c r="AB18" i="6"/>
  <c r="AA18" i="6"/>
  <c r="Z18" i="6"/>
  <c r="Y18" i="6"/>
  <c r="X18" i="6"/>
  <c r="U18" i="6"/>
  <c r="T18" i="6"/>
  <c r="S18" i="6"/>
  <c r="R18" i="6"/>
  <c r="Q18" i="6"/>
  <c r="Y7" i="6"/>
  <c r="X7" i="6"/>
  <c r="AI5" i="6"/>
  <c r="Y3" i="6"/>
  <c r="X3" i="6"/>
  <c r="I3" i="6" l="1"/>
  <c r="J3" i="6"/>
  <c r="D9" i="6"/>
  <c r="F9" i="6"/>
  <c r="I9" i="6"/>
  <c r="G3" i="6"/>
  <c r="F3" i="6"/>
  <c r="D3" i="6"/>
  <c r="C3" i="6"/>
  <c r="AE29" i="5"/>
  <c r="AD29" i="5"/>
  <c r="N29" i="5"/>
  <c r="E29" i="5"/>
  <c r="AD9" i="5"/>
  <c r="X9" i="5"/>
  <c r="N9" i="5"/>
  <c r="Q9" i="5" s="1"/>
  <c r="E9" i="5"/>
  <c r="Q6" i="5"/>
  <c r="AE3" i="5"/>
  <c r="AD3" i="5"/>
  <c r="N3" i="5"/>
  <c r="E3" i="5"/>
  <c r="J9" i="5" l="1"/>
  <c r="H9" i="5"/>
  <c r="AE9" i="5"/>
  <c r="AG9" i="5"/>
  <c r="AF9" i="5"/>
  <c r="Q3" i="5"/>
  <c r="R3" i="5"/>
  <c r="S3" i="5"/>
  <c r="R9" i="5"/>
  <c r="S9" i="5"/>
  <c r="J29" i="5"/>
  <c r="H29" i="5"/>
  <c r="C29" i="4"/>
  <c r="C9" i="4"/>
  <c r="C3" i="4"/>
  <c r="J29" i="4" l="1"/>
  <c r="K29" i="4"/>
  <c r="BJ37" i="1"/>
  <c r="BG37" i="1"/>
  <c r="M29" i="1"/>
  <c r="C29" i="1"/>
  <c r="BJ28" i="1"/>
  <c r="BG28" i="1"/>
  <c r="R28" i="1"/>
  <c r="R27" i="1"/>
  <c r="BJ22" i="1"/>
  <c r="BG22" i="1"/>
  <c r="BG20" i="1"/>
  <c r="BI20" i="1" s="1"/>
  <c r="BJ19" i="1"/>
  <c r="BJ18" i="1"/>
  <c r="BG18" i="1"/>
  <c r="BG16" i="1"/>
  <c r="AM15" i="1"/>
  <c r="BG13" i="1"/>
  <c r="BJ9" i="1"/>
  <c r="C9" i="1"/>
  <c r="BG8" i="1"/>
  <c r="BG6" i="1"/>
  <c r="BI6" i="1" s="1"/>
  <c r="BG5" i="1"/>
  <c r="AC5" i="1"/>
  <c r="C3" i="1"/>
  <c r="T9" i="1" l="1"/>
  <c r="AM9" i="1"/>
  <c r="R9" i="1"/>
  <c r="AT9" i="1"/>
  <c r="R2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tc={46776127-EA51-4154-ADAE-493953162F09}</author>
  </authors>
  <commentList>
    <comment ref="K21" authorId="0" shapeId="0" xr:uid="{46776127-EA51-4154-ADAE-493953162F0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 dans les GB</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tc={8FB6C7ED-0561-40B0-8E35-29E62140852F}</author>
    <author>tc={1D9E0D0F-5D53-4C06-8603-8376B11A12F5}</author>
    <author>tc={4D33947D-FAA8-4151-9C26-3AC973167009}</author>
    <author>tc={8F1D7FD1-0992-4777-AC29-51706467296E}</author>
    <author>tc={966B74C1-E7F2-4A48-8239-8FE2BD5C3364}</author>
  </authors>
  <commentList>
    <comment ref="M2" authorId="0" shapeId="0" xr:uid="{8FB6C7ED-0561-40B0-8E35-29E62140852F}">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Système de montage non pris en compte 
Photovoltaic plant + electric installation
Réponse :
    Calcul effectué à partir du kW peak, donc au pic de performance maximum.  </t>
      </text>
    </comment>
    <comment ref="AB5" authorId="1" shapeId="0" xr:uid="{1D9E0D0F-5D53-4C06-8603-8376B11A12F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(6 à 244)</t>
      </text>
    </comment>
    <comment ref="M16" authorId="2" shapeId="0" xr:uid="{4D33947D-FAA8-4151-9C26-3AC973167009}">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 comparer avec les chiffres de steel ? </t>
      </text>
    </comment>
    <comment ref="A29" authorId="3" shapeId="0" xr:uid="{8F1D7FD1-0992-4777-AC29-51706467296E}">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Acier : alliage composé majoritairement de fer et de 2,14% massique de carbone. </t>
      </text>
    </comment>
    <comment ref="G29" authorId="4" shapeId="0" xr:uid="{966B74C1-E7F2-4A48-8239-8FE2BD5C336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1 source : Ashby 2016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tc={8B3F5A38-505A-460F-8C2D-082F45408091}</author>
    <author>tc={F4223CD5-FC9A-4042-B5A5-141861AC2B8A}</author>
    <author>tc={9E73D6A7-0F01-46D6-AE06-453F4AA7A620}</author>
    <author>tc={8627233F-9B2E-4363-ABFF-1CB922A96507}</author>
    <author>tc={53F95FC4-7BD2-4989-BAB0-CF12FEEDCB99}</author>
    <author>tc={BE3C2824-0C93-48B2-8B8D-E38A89666185}</author>
    <author>tc={66557FAB-BC09-4A37-AB39-A3C1AE802DB0}</author>
    <author>tc={AB2C24F2-C0BA-4A0E-9556-96018B886143}</author>
    <author>tc={A2BADBC8-4AA8-49E5-BCD3-85EDEFDF22CB}</author>
    <author>tc={2C51A142-E481-4C0F-B5B0-89A253890CB2}</author>
    <author>tc={3FF70E62-4B5D-40C1-93AC-5589ACA5A969}</author>
    <author>tc={EE623964-4510-49BA-8C69-B2F3F69E78F6}</author>
    <author>tc={402A6F60-FDC6-46D3-914F-4F5F917ACA41}</author>
    <author>tc={2186942B-8B02-4A7C-864C-0039AE705D67}</author>
    <author>tc={6FF726E4-E95A-4BB4-B89B-7B93A9872627}</author>
    <author>tc={167B12E1-140E-4DBA-9521-68694463F572}</author>
    <author>tc={51974AA9-0805-46D7-A00C-ADEFF30781A0}</author>
    <author>tc={DCA44B85-2AC6-481F-A100-2F7C1DA1DAB6}</author>
    <author>tc={07F30DE0-A33E-48D8-B784-7C40D9945F6E}</author>
    <author>tc={82CF716B-A474-4597-864A-40ECEABA05C8}</author>
    <author>tc={1C9D96AC-E975-4C37-8F89-DB3719CDF7B3}</author>
    <author>tc={3C93C5B5-976D-4A17-829D-F232741A1321}</author>
    <author>tc={C9AC3D5D-459E-4088-B733-BA208261ED62}</author>
    <author>tc={06926F3D-A2EF-4A4B-BF57-0D33F81062D7}</author>
    <author>tc={AE256A3C-1AD1-4E65-8525-6A262C2D89C1}</author>
    <author>tc={70F27993-68FA-4657-A452-ACFBB1AAE338}</author>
    <author>tc={E78054A9-62C6-4269-9E5C-EBF6B10A276A}</author>
    <author>tc={E84FA399-DBD9-4280-95B9-51897799D27D}</author>
    <author>tc={A3E0AD2A-8BF5-425A-8E9D-CC5BD72B9CB3}</author>
    <author>tc={BC4FB2FD-5CFF-4F1D-A774-9F85CFC6ADBA}</author>
    <author>tc={076A2792-2DDA-4473-8297-0CC7CC4E00A2}</author>
    <author>tc={3A11FEB0-37AE-4F6D-BF31-BF61A28C6635}</author>
    <author>tc={EAF5C741-13C2-42AB-A849-3B5A6EB3A353}</author>
  </authors>
  <commentList>
    <comment ref="V1" authorId="0" shapeId="0" xr:uid="{8B3F5A38-505A-460F-8C2D-082F4540809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Steel et aluminium exclus</t>
      </text>
    </comment>
    <comment ref="X1" authorId="1" shapeId="0" xr:uid="{F4223CD5-FC9A-4042-B5A5-141861AC2B8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Mais focus sur le système dutch
Réponse :
    Sources : Roelofs, 2020</t>
      </text>
    </comment>
    <comment ref="AB1" authorId="2" shapeId="0" xr:uid="{9E73D6A7-0F01-46D6-AE06-453F4AA7A62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Voir sources dans les supplementary informations</t>
      </text>
    </comment>
    <comment ref="S2" authorId="3" shapeId="0" xr:uid="{8627233F-9B2E-4363-ABFF-1CB922A96507}">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permanent magnets 1/3 the mass of the direct drive counterparts. </t>
      </text>
    </comment>
    <comment ref="T2" authorId="4" shapeId="0" xr:uid="{53F95FC4-7BD2-4989-BAB0-CF12FEEDCB9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GB-DFIG values were adopted for the GB-SCIG turbines because they are both high-speed, gearbox generators.</t>
      </text>
    </comment>
    <comment ref="V2" authorId="5" shapeId="0" xr:uid="{BE3C2824-0C93-48B2-8B8D-E38A8966618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Correspond aux chiffres de GB-DFIG / SCIG</t>
      </text>
    </comment>
    <comment ref="W2" authorId="6" shapeId="0" xr:uid="{66557FAB-BC09-4A37-AB39-A3C1AE802DB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Correspond aux chiffres de DD-PMSG</t>
      </text>
    </comment>
    <comment ref="Z2" authorId="7" shapeId="0" xr:uid="{AB2C24F2-C0BA-4A0E-9556-96018B88614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Plutôt onshore</t>
      </text>
    </comment>
    <comment ref="AA2" authorId="8" shapeId="0" xr:uid="{A2BADBC8-4AA8-49E5-BCD3-85EDEFDF22C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Plutôt offshore</t>
      </text>
    </comment>
    <comment ref="AE2" authorId="9" shapeId="0" xr:uid="{2C51A142-E481-4C0F-B5B0-89A253890CB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Les network connexion n'ont pas été intégrées</t>
      </text>
    </comment>
    <comment ref="B3" authorId="10" shapeId="0" xr:uid="{3FF70E62-4B5D-40C1-93AC-5589ACA5A96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Les 2 DD : cuivre est préféré, onshore et offshore</t>
      </text>
    </comment>
    <comment ref="K3" authorId="11" shapeId="0" xr:uid="{EE623964-4510-49BA-8C69-B2F3F69E78F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Les 2 GB : + d'alu, - de cuivre -&gt; remplacement cuivre par alu dans la bobine du transformateur et dans le design de la tour</t>
      </text>
    </comment>
    <comment ref="Q3" authorId="12" shapeId="0" xr:uid="{402A6F60-FDC6-46D3-914F-4F5F917ACA4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Les 2 DD : cuivre est préféré, onshore et offshore</t>
      </text>
    </comment>
    <comment ref="S3" authorId="13" shapeId="0" xr:uid="{2186942B-8B02-4A7C-864C-0039AE705D6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Les 2 GB : + d'alu, - de cuivre -&gt; remplacement cuivre par alu dans la bobine du transformateur et dans le design de la tour</t>
      </text>
    </comment>
    <comment ref="R6" authorId="14" shapeId="0" xr:uid="{6FF726E4-E95A-4BB4-B89B-7B93A987262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Peu, surtout offshore</t>
      </text>
    </comment>
    <comment ref="S6" authorId="15" shapeId="0" xr:uid="{167B12E1-140E-4DBA-9521-68694463F57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 grandes turbines onshore</t>
      </text>
    </comment>
    <comment ref="Q7" authorId="16" shapeId="0" xr:uid="{51974AA9-0805-46D7-A00C-ADEFF30781A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Surtout dans les DD : 3X + que dans les gearbox</t>
      </text>
    </comment>
    <comment ref="AE7" authorId="17" shapeId="0" xr:uid="{DCA44B85-2AC6-481F-A100-2F7C1DA1DAB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Max de 1 400 pour les GB, majoritairement onshore</t>
      </text>
    </comment>
    <comment ref="R8" authorId="18" shapeId="0" xr:uid="{07F30DE0-A33E-48D8-B784-7C40D9945F6E}">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Dysprosium sintering is used to increase magnet coercivity, which increases the upper bound of working temperature from 80 °C to at least 120 °C. Dysprosium can be reduced or even eliminated if the cooling is improved. Dysprosium can be replaced with terbium, although terbium is required in LED lights. </t>
      </text>
    </comment>
    <comment ref="B9" authorId="19" shapeId="0" xr:uid="{82CF716B-A474-4597-864A-40ECEABA05C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Surtout dans les DD : 3X + que dans les gearbox</t>
      </text>
    </comment>
    <comment ref="H10" authorId="20" shapeId="0" xr:uid="{1C9D96AC-E975-4C37-8F89-DB3719CDF7B3}">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Dysprosium sintering is used to increase magnet coercivity, which increases the upper bound of working temperature from 80 °C to at least 120 °C. Dysprosium can be reduced or even eliminated if the cooling is improved. Dysprosium can be replaced with terbium, although terbium is required in LED lights. </t>
      </text>
    </comment>
    <comment ref="P10" authorId="21" shapeId="0" xr:uid="{3C93C5B5-976D-4A17-829D-F232741A132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Fer</t>
      </text>
    </comment>
    <comment ref="AB13" authorId="22" shapeId="0" xr:uid="{C9AC3D5D-459E-4088-B733-BA208261ED62}">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Deux sources à 116 et 135, une à 750 faussant le résultat ? </t>
      </text>
    </comment>
    <comment ref="R14" authorId="23" shapeId="0" xr:uid="{06926F3D-A2EF-4A4B-BF57-0D33F81062D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Up to 25% of neodymium can be replaced with praseodymium (Lacal-Arántegui, 2015).</t>
      </text>
    </comment>
    <comment ref="S15" authorId="24" shapeId="0" xr:uid="{AE256A3C-1AD1-4E65-8525-6A262C2D89C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 dans les GB</t>
      </text>
    </comment>
    <comment ref="AE18" authorId="25" shapeId="0" xr:uid="{70F27993-68FA-4657-A452-ACFBB1AAE33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Terres rares semblent peu comptabilisées</t>
      </text>
    </comment>
    <comment ref="P19" authorId="26" shapeId="0" xr:uid="{E78054A9-62C6-4269-9E5C-EBF6B10A276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Acier : alliage composé majoritairement de fer et de carbone</t>
      </text>
    </comment>
    <comment ref="H21" authorId="27" shapeId="0" xr:uid="{E84FA399-DBD9-4280-95B9-51897799D27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Up to 25% of neodymium can be replaced with praseodymium (Lacal-Arántegui, 2015).</t>
      </text>
    </comment>
    <comment ref="K22" authorId="28" shapeId="0" xr:uid="{A3E0AD2A-8BF5-425A-8E9D-CC5BD72B9CB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 dans les GB</t>
      </text>
    </comment>
    <comment ref="AE24" authorId="29" shapeId="0" xr:uid="{BC4FB2FD-5CFF-4F1D-A774-9F85CFC6ADB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Métaux dont la quantité extraite est supérieure à + de 100 tonnes</t>
      </text>
    </comment>
    <comment ref="R26" authorId="30" shapeId="0" xr:uid="{076A2792-2DDA-4473-8297-0CC7CC4E00A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GB-DFIG values were adopted for the GB-SCIG turbines because they are both high-speed, gearbox generators.</t>
      </text>
    </comment>
    <comment ref="T26" authorId="31" shapeId="0" xr:uid="{3A11FEB0-37AE-4F6D-BF31-BF61A28C6635}">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permanent magnets 1/3 the mass of the direct drive counterparts. </t>
      </text>
    </comment>
    <comment ref="A29" authorId="32" shapeId="0" xr:uid="{EAF5C741-13C2-42AB-A849-3B5A6EB3A353}">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Acier : alliage composé majoritairement de fer et de 2,14% massique de carbone.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tc={6045318E-0914-49D4-B41B-E71CD450BBE5}</author>
    <author>tc={17ADEFD2-0F3A-4472-BA69-D5150942ABFA}</author>
    <author>tc={6FD2C131-72ED-435E-8AC3-B75EFEDA7A65}</author>
  </authors>
  <commentList>
    <comment ref="G1" authorId="0" shapeId="0" xr:uid="{6045318E-0914-49D4-B41B-E71CD450BBE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Les frontières du système sont différentes car l'ACV prend en compte l'entièreté des étapes du cycle de vie, on s'attend donc à des résultats surévalués
Réponse :
    Revoir les matières également, car il y a beaucoup plus de matière sur open LCA qui ont pu être regroupées dans les autres études (ex: bauxite / aluminium)</t>
      </text>
    </comment>
    <comment ref="A16" authorId="1" shapeId="0" xr:uid="{17ADEFD2-0F3A-4472-BA69-D5150942ABFA}">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Fer</t>
      </text>
    </comment>
    <comment ref="A29" authorId="2" shapeId="0" xr:uid="{6FD2C131-72ED-435E-8AC3-B75EFEDA7A65}">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Acier : alliage composé majoritairement de fer et de carbone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tc={1776CCBB-7DDE-4754-9F88-CCF28503E6AD}</author>
    <author>tc={11723F19-8D1B-4C38-8865-40BFD104914B}</author>
    <author>tc={6116D13F-A8F3-4D6D-82BF-2914A3049ECC}</author>
  </authors>
  <commentList>
    <comment ref="A16" authorId="0" shapeId="0" xr:uid="{1776CCBB-7DDE-4754-9F88-CCF28503E6A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Fer</t>
      </text>
    </comment>
    <comment ref="A29" authorId="1" shapeId="0" xr:uid="{11723F19-8D1B-4C38-8865-40BFD104914B}">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Acier : alliage composé majoritairement de fer et de carbone</t>
      </text>
    </comment>
    <comment ref="C29" authorId="2" shapeId="0" xr:uid="{6116D13F-A8F3-4D6D-82BF-2914A3049ECC}">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Selon Ashby : 5820, dont 0,82 pour l'électrique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tc={A69F6C7F-C261-4F7A-9F86-5F16EA3FE616}</author>
    <author>tc={8FB64FAE-0247-4AEA-929E-1D3B53E122F3}</author>
    <author>tc={C256C050-AF29-416F-BA47-455749B328F0}</author>
    <author>tc={5547A215-AF40-4A30-B9BC-CC92809C2892}</author>
  </authors>
  <commentList>
    <comment ref="A16" authorId="0" shapeId="0" xr:uid="{A69F6C7F-C261-4F7A-9F86-5F16EA3FE616}">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Fer</t>
      </text>
    </comment>
    <comment ref="A29" authorId="1" shapeId="0" xr:uid="{8FB64FAE-0247-4AEA-929E-1D3B53E122F3}">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Acier : alliage composé majoritairement de fer et de carbone</t>
      </text>
    </comment>
    <comment ref="B29" authorId="2" shapeId="0" xr:uid="{C256C050-AF29-416F-BA47-455749B328F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Carbon steel : 10 800
Réponse :
    High alloy steel : 342 400
Réponse :
    Low alloy steel : 2000 à 476 000</t>
      </text>
    </comment>
    <comment ref="C29" authorId="3" shapeId="0" xr:uid="{5547A215-AF40-4A30-B9BC-CC92809C2892}">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Moyenne utilisée dans l'étude : Total material requirement for the global energy transition to 2050</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tc={7797B99C-B14C-404D-9D0F-9B8DD4B2DA1E}</author>
    <author>tc={45DF2CF2-29F0-4393-AA03-60FF8830F8F7}</author>
  </authors>
  <commentList>
    <comment ref="A16" authorId="0" shapeId="0" xr:uid="{7797B99C-B14C-404D-9D0F-9B8DD4B2DA1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Fer</t>
      </text>
    </comment>
    <comment ref="A29" authorId="1" shapeId="0" xr:uid="{45DF2CF2-29F0-4393-AA03-60FF8830F8F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Acier : alliage composé majoritairement de fer et de carbone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<sst xmlns="http://schemas.openxmlformats.org/spreadsheetml/2006/main" count="871" uniqueCount="320">
  <si>
    <t>The Role of Critical Minerals in Clean Energy Transitions (AIE, version révisée mars 2022). End-of-life management, Solar Photovoltaic Panels (IRENA, 2019) pour la durée de vie des panneaux solaires et la maintenance. Données transmises par ELVO (batteries LFP). Données de fournisseurs (onduleur et transformateur).</t>
  </si>
  <si>
    <t>PV Panel</t>
  </si>
  <si>
    <t>PV Plant</t>
  </si>
  <si>
    <t>Bodeker et al 2010, Aluminium and Renewable Energy Systems - Prospects for the Sustainable Generation of Electricity and Heat</t>
  </si>
  <si>
    <t>c-Si</t>
  </si>
  <si>
    <t>Commentaires</t>
  </si>
  <si>
    <t>CdTe</t>
  </si>
  <si>
    <t xml:space="preserve">CIGS </t>
  </si>
  <si>
    <t>a-Si</t>
  </si>
  <si>
    <t>a-SiGe</t>
  </si>
  <si>
    <t>Pihl et al 2012, Material constraints for concentrating solar thermal power</t>
  </si>
  <si>
    <t>Etude sur les matériaux de la transition énergétique - Rosset - Annexe C. Panneaux solaires : aggrégé</t>
  </si>
  <si>
    <t>Framed module</t>
  </si>
  <si>
    <t>Drameless CdTe (thin film)</t>
  </si>
  <si>
    <t>Pour le solaire, l'étude de l'UE est moins complète. Combinaison des chiffres de plusieurs études, en effectuant des moyennes. Les chiffres d'Open LCA ne sont utilisés qu'à titre indicatif et dans les moyennes</t>
  </si>
  <si>
    <t>Metal production requirements for rapid PV deployment (2015, High=today level)</t>
  </si>
  <si>
    <t xml:space="preserve">Démarche générale : Pour le solaire, l'étude de l'UE est moins complète. Combinaison des chiffres de plusieurs études, en effectuant des moyennes. </t>
  </si>
  <si>
    <t>CSP (parabolic trough)</t>
  </si>
  <si>
    <t>CSP (central power : solar tower)</t>
  </si>
  <si>
    <t>Trough</t>
  </si>
  <si>
    <t>Tower</t>
  </si>
  <si>
    <t>Aluminium</t>
  </si>
  <si>
    <t>Exclu</t>
  </si>
  <si>
    <t>Boron</t>
  </si>
  <si>
    <t>Cadmium</t>
  </si>
  <si>
    <t>Concrete</t>
  </si>
  <si>
    <t>comme steel</t>
  </si>
  <si>
    <t>2741, 300, 250, 884, 825, 943</t>
  </si>
  <si>
    <t>Dysprosium</t>
  </si>
  <si>
    <t xml:space="preserve">Gallium </t>
  </si>
  <si>
    <t>Glass</t>
  </si>
  <si>
    <t>Hafnium</t>
  </si>
  <si>
    <t>Indium</t>
  </si>
  <si>
    <t>Iron</t>
  </si>
  <si>
    <t>Métaux ferreux : 66 940</t>
  </si>
  <si>
    <t>Lead</t>
  </si>
  <si>
    <t>336, 6, 5.53, 6.32, 72, 39</t>
  </si>
  <si>
    <t>Magnesium</t>
  </si>
  <si>
    <t>Manganese</t>
  </si>
  <si>
    <t>Neodymium</t>
  </si>
  <si>
    <t>Nickel</t>
  </si>
  <si>
    <t>1.1, 1.3, 1.3, 1</t>
  </si>
  <si>
    <t>Niobium</t>
  </si>
  <si>
    <t>Polymers</t>
  </si>
  <si>
    <t>Praesodymium</t>
  </si>
  <si>
    <t xml:space="preserve">Selenium (Se) </t>
  </si>
  <si>
    <t>Silicium (Si)</t>
  </si>
  <si>
    <t>Silver</t>
  </si>
  <si>
    <t>84, 10, 24, 19, 10, 29, 80, 35.6, 19, 36, 4, 47, 57, 17, 59, 68.17, 5…</t>
  </si>
  <si>
    <t>Steel</t>
  </si>
  <si>
    <t>Déjà compté en iron</t>
  </si>
  <si>
    <t>Tantalum</t>
  </si>
  <si>
    <t>Tellurium (Te)</t>
  </si>
  <si>
    <t xml:space="preserve"> </t>
  </si>
  <si>
    <t>Terbium</t>
  </si>
  <si>
    <t>Tin</t>
  </si>
  <si>
    <t>Tungsten</t>
  </si>
  <si>
    <t>Yttrium</t>
  </si>
  <si>
    <t>Zinc</t>
  </si>
  <si>
    <t>(Pihl et al., 2012)</t>
  </si>
  <si>
    <t>Zirconium</t>
  </si>
  <si>
    <t>Ref</t>
  </si>
  <si>
    <t>Only IM for this metal, this techno</t>
  </si>
  <si>
    <t>Data very different from others (10^2 ou +)</t>
  </si>
  <si>
    <t>Data quite different from others  (10^1)</t>
  </si>
  <si>
    <t xml:space="preserve">Datas in the same order of magnitude </t>
  </si>
  <si>
    <t>Fiability of the data</t>
  </si>
  <si>
    <r>
      <rPr>
        <b/>
        <sz val="11"/>
        <color theme="1"/>
        <rFont val="Calibri"/>
        <family val="2"/>
        <scheme val="minor"/>
      </rPr>
      <t xml:space="preserve">
Source 
</t>
    </r>
    <r>
      <rPr>
        <sz val="11"/>
        <color theme="1"/>
        <rFont val="Calibri"/>
        <family val="2"/>
        <scheme val="minor"/>
      </rPr>
      <t xml:space="preserve">
</t>
    </r>
    <r>
      <rPr>
        <b/>
        <sz val="11"/>
        <color theme="1"/>
        <rFont val="Calibri"/>
        <family val="2"/>
        <scheme val="minor"/>
      </rPr>
      <t>Métaux</t>
    </r>
  </si>
  <si>
    <t>Dones, R., Bauer, C., Roder, A., 2007. Teil VI: kohle. Sachbilanzen von Energiesystemen: Grundlagen fur Den Okologischen Vergleich von Energiesystemen und Den Einbezug von Energiesystemen in Okobilanzen fur Die. Schweiz. Ecoinvent report, Dubendorf, Switserland.</t>
  </si>
  <si>
    <t>Pressure water power plant</t>
  </si>
  <si>
    <t>Boiling water power plant</t>
  </si>
  <si>
    <t xml:space="preserve">Cadmium </t>
  </si>
  <si>
    <t>Chromium</t>
  </si>
  <si>
    <t>Cobalt</t>
  </si>
  <si>
    <t>Copper</t>
  </si>
  <si>
    <t xml:space="preserve">Germanium </t>
  </si>
  <si>
    <t>Molybdenum</t>
  </si>
  <si>
    <t>Vanadium</t>
  </si>
  <si>
    <t>Coal</t>
  </si>
  <si>
    <t>Natural gas</t>
  </si>
  <si>
    <t>Oil</t>
  </si>
  <si>
    <t xml:space="preserve">Hydrogen </t>
  </si>
  <si>
    <t>Material requirements for low-carbon energy technologies: A quantitative review. Renew Sustain Energy Rev 161:. (moyennes)</t>
  </si>
  <si>
    <t>ACV production d'électricité d'origine éolienne en France (2015, Cycléo, Ademe). Parc éolien</t>
  </si>
  <si>
    <t>2011 Garrett + Ronde - Life Cycle Assessment of Electricity Production from a V90-2.0MW Gridstreamer Wind Plant</t>
  </si>
  <si>
    <t>2011 Department of Energy, Critical Materials Strategy</t>
  </si>
  <si>
    <t>DD-EESG</t>
  </si>
  <si>
    <t>DD-PMSG</t>
  </si>
  <si>
    <t>GB-PMSG</t>
  </si>
  <si>
    <t>GB-DFIG (et SCIG)</t>
  </si>
  <si>
    <t xml:space="preserve">Range </t>
  </si>
  <si>
    <t>Onshore wind</t>
  </si>
  <si>
    <t>Offshore wind</t>
  </si>
  <si>
    <t>Wind power (induction)</t>
  </si>
  <si>
    <t>Wind power (PM)</t>
  </si>
  <si>
    <t>Onshore</t>
  </si>
  <si>
    <t>Offshore</t>
  </si>
  <si>
    <t>Wind</t>
  </si>
  <si>
    <t>Onshore, éolienne 4.5 MW</t>
  </si>
  <si>
    <t>Offshore, éolienne 2 MW</t>
  </si>
  <si>
    <t>Direct-drive</t>
  </si>
  <si>
    <t>Parc éolien / vestas</t>
  </si>
  <si>
    <t>DDSG</t>
  </si>
  <si>
    <t>DFIG</t>
  </si>
  <si>
    <t>Onshore DD and AG</t>
  </si>
  <si>
    <t>Onshore DD</t>
  </si>
  <si>
    <t>500-1 600</t>
  </si>
  <si>
    <t>0-6</t>
  </si>
  <si>
    <t>470-580</t>
  </si>
  <si>
    <t>243 500-413 000</t>
  </si>
  <si>
    <t>/</t>
  </si>
  <si>
    <t>950-5 000</t>
  </si>
  <si>
    <t>2-17</t>
  </si>
  <si>
    <t>Glass/ carbon composites</t>
  </si>
  <si>
    <t>7 700-8 400</t>
  </si>
  <si>
    <t>18 000-20 800</t>
  </si>
  <si>
    <t>Métaux ferreux : 130364</t>
  </si>
  <si>
    <t>(steel) : 122780</t>
  </si>
  <si>
    <t>6720, 3790</t>
  </si>
  <si>
    <t>780-800</t>
  </si>
  <si>
    <t>99-119</t>
  </si>
  <si>
    <t>12-180</t>
  </si>
  <si>
    <t>240-440</t>
  </si>
  <si>
    <t>4 600</t>
  </si>
  <si>
    <t>0-35</t>
  </si>
  <si>
    <t>Rare earth (total)</t>
  </si>
  <si>
    <t>107 000-132 000</t>
  </si>
  <si>
    <t>0-7</t>
  </si>
  <si>
    <t>5 500</t>
  </si>
  <si>
    <t>Hybride</t>
  </si>
  <si>
    <t>Moss et al. 2011</t>
  </si>
  <si>
    <t>Lea A. (President, International Copper Association), 2016, The longterm fundamentals of copper demand, Copper 2016, 2016.11.14., Kobe, Japan.</t>
  </si>
  <si>
    <t xml:space="preserve">Few datas
General methodology : mean value, or only data available. </t>
  </si>
  <si>
    <t>C-si</t>
  </si>
  <si>
    <t>CSP parabolic</t>
  </si>
  <si>
    <t>CSP tower</t>
  </si>
  <si>
    <t>GB-DFIG and SCIG</t>
  </si>
  <si>
    <t>Biomass</t>
  </si>
  <si>
    <t>Geothermy</t>
  </si>
  <si>
    <t>Hydrogen</t>
  </si>
  <si>
    <t>Datas quite different. Use the non regionalised data</t>
  </si>
  <si>
    <t xml:space="preserve">Only data available </t>
  </si>
  <si>
    <t>Methodology</t>
  </si>
  <si>
    <t>Final data</t>
  </si>
  <si>
    <t>Min</t>
  </si>
  <si>
    <t>Max</t>
  </si>
  <si>
    <t>Mean value, excluding the most different data</t>
  </si>
  <si>
    <t>Similar datas, mean value</t>
  </si>
  <si>
    <t>Accounted in iron</t>
  </si>
  <si>
    <t>Aggregated : oil, coal and natural gas</t>
  </si>
  <si>
    <t xml:space="preserve">
Source 
Métaux</t>
  </si>
  <si>
    <t xml:space="preserve">Data from IEA was chosen, considered the most reliable source. But great variability in data, depends of the chosen technology. </t>
  </si>
  <si>
    <t xml:space="preserve">Important variability in the data. Open LCA data was excluded. </t>
  </si>
  <si>
    <t>Data from IEA was chosen, considered the most reliable source.</t>
  </si>
  <si>
    <t xml:space="preserve">Data from IEA was chosen, considered the most reliable source. All the datas are around the same order of magnitude. </t>
  </si>
  <si>
    <t xml:space="preserve">Steel data was chosen, and then converted in iron. </t>
  </si>
  <si>
    <t xml:space="preserve">Most recent and precise data was chosen. Same order of magnitude. </t>
  </si>
  <si>
    <t xml:space="preserve">Same order of magnitude. General data was chosen. </t>
  </si>
  <si>
    <t xml:space="preserve">Use of the copper association data, considered the most reliable </t>
  </si>
  <si>
    <t>Use of the Ashby data</t>
  </si>
  <si>
    <t>Use of the steel data</t>
  </si>
  <si>
    <t xml:space="preserve">Only available data, quite different from OpenLCA results. </t>
  </si>
  <si>
    <t>Only available data</t>
  </si>
  <si>
    <t xml:space="preserve">Mean value between the two studies having the same order of magnitude. </t>
  </si>
  <si>
    <t>Mostly use of the ashby data, Open LCA used to verify the results. OpenLCA results excluded from the evaluation, because considered not reliable (only 'wood energy')</t>
  </si>
  <si>
    <t>Methodlogy</t>
  </si>
  <si>
    <t xml:space="preserve">Use of the copper association number. Around the same order of magnitude. </t>
  </si>
  <si>
    <t xml:space="preserve">Datas with the same order of magnitude. Mean value used. </t>
  </si>
  <si>
    <t xml:space="preserve">Use of Karlsdóttir et al. data, same order of magnitude then Open LCA. </t>
  </si>
  <si>
    <t xml:space="preserve">Mostly use of the Ashby data. </t>
  </si>
  <si>
    <t xml:space="preserve">Use of the most coherent and recent data. </t>
  </si>
  <si>
    <t xml:space="preserve">Use of Ashby, coherent with IEA figures and Open LCA. </t>
  </si>
  <si>
    <t xml:space="preserve">Moss et al. data, similar to IEA and Open LCA. </t>
  </si>
  <si>
    <t xml:space="preserve">Moss et al. data, not the same order of magnitude then Open LCA. </t>
  </si>
  <si>
    <t>(Watari et al. 2019)</t>
  </si>
  <si>
    <t>Aggregated : solar PV</t>
  </si>
  <si>
    <t>(Ashby, 2013)</t>
  </si>
  <si>
    <t>(IEA, 2022)</t>
  </si>
  <si>
    <t>(Van Oorschot et al., 2022)</t>
  </si>
  <si>
    <t xml:space="preserve">The data from the copper association is chosen, considered the most reliable. </t>
  </si>
  <si>
    <t xml:space="preserve">Most recent data is chosen. </t>
  </si>
  <si>
    <t xml:space="preserve">Available data from Moss &amp; al.  chosen, verified by Open LCA. </t>
  </si>
  <si>
    <t>(Tokimatsu &amp; al, 2017)</t>
  </si>
  <si>
    <t>(Lea A., Copper Association, 2016)</t>
  </si>
  <si>
    <t xml:space="preserve">
(Moss et al. 2011)</t>
  </si>
  <si>
    <t>(Sullivan et al, 2010)</t>
  </si>
  <si>
    <t>Final data
CSP_parabolic</t>
  </si>
  <si>
    <t>Final data
CSP_Tower</t>
  </si>
  <si>
    <t>c-Si
Final data</t>
  </si>
  <si>
    <t>CdTe
Final data</t>
  </si>
  <si>
    <t>a-SiGe final
Final datas</t>
  </si>
  <si>
    <t>CIGS
Final data</t>
  </si>
  <si>
    <t>Nuclear
[t/GW]</t>
  </si>
  <si>
    <t>Solar PV - CSP
[t/GW]</t>
  </si>
  <si>
    <t>Fossil energy
[t/GW]</t>
  </si>
  <si>
    <t>Biomass
[t/GW]</t>
  </si>
  <si>
    <t>Coal
Final data</t>
  </si>
  <si>
    <t>Natural gas
Final data</t>
  </si>
  <si>
    <t>Oil
Final data</t>
  </si>
  <si>
    <t>Hydrogen
Final data</t>
  </si>
  <si>
    <t>Hydro
[t/GW]</t>
  </si>
  <si>
    <t>Geothermal
[t/GW]</t>
  </si>
  <si>
    <t>Geothermal
Final data</t>
  </si>
  <si>
    <t>Nuclear
Final data</t>
  </si>
  <si>
    <t>Open LCA Analysis</t>
  </si>
  <si>
    <t>Open LCA Analysis
'Wood energy'</t>
  </si>
  <si>
    <t>Life-Cycle Analysis Results of Geothermal Systems in Comparison to Other Power Systems, Sulivan et al. 2010</t>
  </si>
  <si>
    <t>(Watari et al. 2019), (Ashby, 2013)</t>
  </si>
  <si>
    <t>(Van Oorschot et al., 2022), (Bauer 2007, Moss et al 2011)</t>
  </si>
  <si>
    <t>Biomass
Final data</t>
  </si>
  <si>
    <t>(Sullivan et al., 2010)</t>
  </si>
  <si>
    <t>Argonne National Laboratory, Life-Cycle Analysis Results of Geothermal Systems in Comparison to Other Power Systems,Hydrothermal, binary, Sullivan et al., 2010</t>
  </si>
  <si>
    <t>(European Commission, 2020)</t>
  </si>
  <si>
    <t>(Månberger, 2018)</t>
  </si>
  <si>
    <t>(Karlsdóttir et al., 2015)</t>
  </si>
  <si>
    <t xml:space="preserve">Open LCA Analysis </t>
  </si>
  <si>
    <t>(Dones, R. et al. 2007)</t>
  </si>
  <si>
    <t>(Moss &amp; al. 2013)</t>
  </si>
  <si>
    <t>(Karlsdóttir &amp; al., 2015)</t>
  </si>
  <si>
    <t>(Watari &amp; al. 2019)</t>
  </si>
  <si>
    <t>(Van Oorschot &amp; al., 2022)</t>
  </si>
  <si>
    <t>(Fizaine &amp; Court, 2015)</t>
  </si>
  <si>
    <t xml:space="preserve">The Future of Copper and Sustainable Development, Copper 2016, 2016.11.14., Kobe, Japan., Copper : Hernández D. (Chairman, SONAMI (Chilean Chamber of Mines), Chile), 2016, </t>
  </si>
  <si>
    <t>(Hernández D., 2016)</t>
  </si>
  <si>
    <t>(Moss &amp; al. 2013), (Hernández D., 2016) : copper</t>
  </si>
  <si>
    <t>(Bodeker &amp; al, 2010 )</t>
  </si>
  <si>
    <t>(Kavlak &amp; al, 2015)</t>
  </si>
  <si>
    <t>(Liang &amp; al, 2022)</t>
  </si>
  <si>
    <t xml:space="preserve">OpenLCA  Analysis
 'Multi Si - 570 kWp' </t>
  </si>
  <si>
    <t>All datas around the same order of magnitude, mean value is taken</t>
  </si>
  <si>
    <t>All datas in the same order of magnitude. Most recent and not regionalised value is taken (Liang &amp; al)</t>
  </si>
  <si>
    <t>Most recent data</t>
  </si>
  <si>
    <t xml:space="preserve">Data from IEA, but not the same order of magnitude between studies. </t>
  </si>
  <si>
    <t xml:space="preserve">Watari data, various different range of magnitude </t>
  </si>
  <si>
    <t xml:space="preserve">Most recent data, same order of magnitude. </t>
  </si>
  <si>
    <t xml:space="preserve">3 similar data, mean value and the high value from Watari is excluded. </t>
  </si>
  <si>
    <t>Mean value between two similar datas, wo open LCA</t>
  </si>
  <si>
    <t xml:space="preserve">Various studies with different orders of magnitude. Mean value. </t>
  </si>
  <si>
    <t>All datas have the same order of magnitude, mean value is taken</t>
  </si>
  <si>
    <t xml:space="preserve">All datas have the same order of magnitude, mean value is taken. </t>
  </si>
  <si>
    <t>(McNulty &amp; al, 2022)</t>
  </si>
  <si>
    <t xml:space="preserve">All datas have the same order of magnitude, mean value is taken. McNulty data excluded. </t>
  </si>
  <si>
    <t xml:space="preserve">Various datas, not always the same order of magnitude. Mean value is taken, data for european commission excluded because much smaller than others. Datas for Watari combined. </t>
  </si>
  <si>
    <t>Few datas available. Use the most coherent and recent ones</t>
  </si>
  <si>
    <t xml:space="preserve">Same order of magnitude by techno. Mean value. </t>
  </si>
  <si>
    <t>Most recent data is used (Watari)</t>
  </si>
  <si>
    <t>Only available data (exclusion of Moss et al. not precise techno)</t>
  </si>
  <si>
    <t xml:space="preserve">Mean value, wo Moss &amp; al. </t>
  </si>
  <si>
    <t>Only available data for this precise techno</t>
  </si>
  <si>
    <t>Mostly Onshore</t>
  </si>
  <si>
    <t>Mostly Offshore</t>
  </si>
  <si>
    <t>DD-EESG
Final data</t>
  </si>
  <si>
    <t>GB-DFIG (and SCIG)</t>
  </si>
  <si>
    <t>GB-DFIG (and SCIG)
Final data</t>
  </si>
  <si>
    <t>DD-PMSG
Final data</t>
  </si>
  <si>
    <t>GB-PMSG
Final data</t>
  </si>
  <si>
    <t>Legend</t>
  </si>
  <si>
    <t>Criticality of metals according to canadian government</t>
  </si>
  <si>
    <t>Rare earth elements</t>
  </si>
  <si>
    <t>Critical metals</t>
  </si>
  <si>
    <t>Other metals</t>
  </si>
  <si>
    <t>Bulk materials</t>
  </si>
  <si>
    <t>Hydro</t>
  </si>
  <si>
    <t>Nuclear</t>
  </si>
  <si>
    <t>(Ashby 2013)</t>
  </si>
  <si>
    <t>(Tokimatsu &amp; al 2017) (Lea A. Copper Association 2016)</t>
  </si>
  <si>
    <t>Use of Ashby data same order of magnitude then Open LCA results</t>
  </si>
  <si>
    <t>Use of Ashby data not same order of magnitude then Open LCA results</t>
  </si>
  <si>
    <t xml:space="preserve">Use of the copper association data considered the most reliable. Same order of magnitude.  </t>
  </si>
  <si>
    <t xml:space="preserve">General approach: Use the reliable and accurate figures from the European Commission study, which includes the general electrical system. An expert in the wind industry confirmed the similarity of the technologies used in America and Europe. Verification by the highly reliable IEA source, and confirmation of the figures, except for offshore copper, which is therefore questioned.For the min / max evaluation, we considered DD-EESG and GB DFIG as onshore tech, DD-PMSG as offshore. </t>
  </si>
  <si>
    <t>Quite a bit of variability in the figures from different sources, but they remain close to the EU figures, which will therefore be used.</t>
  </si>
  <si>
    <t>Only two sources, both have the same results.</t>
  </si>
  <si>
    <t>Figures relatively similar between all studies, using those of the EU.</t>
  </si>
  <si>
    <t>Only available datas</t>
  </si>
  <si>
    <t>Same order of magnitude in datas</t>
  </si>
  <si>
    <t>Same order of magnitude in datas, only two datas</t>
  </si>
  <si>
    <t>In agreement with the figures from the IEA</t>
  </si>
  <si>
    <t>Fairly similar figures for Onshore. Offshore: using the larger figures from the IEA, confirmed by other source</t>
  </si>
  <si>
    <t>Vanadium in wind turbine comes potentially from batteries, already taken into account in OTD. We keep the EU datas</t>
  </si>
  <si>
    <t xml:space="preserve">All datas have the same order of magnitude, considering steel + iron. </t>
  </si>
  <si>
    <t>Mean value between Open LCA techno</t>
  </si>
  <si>
    <t>(Moss et al., 2013)</t>
  </si>
  <si>
    <t>(Dones &amp; al., 2007)</t>
  </si>
  <si>
    <t>(Sulivan &amp; al. 2010)</t>
  </si>
  <si>
    <t>(Bodeker &amp; al, 2010)</t>
  </si>
  <si>
    <t>Fizaine, F., &amp; Court, V. (2015). Renewable electricity producing technologies and metal depletion : A sensitivity analysis using the EROI. Ecological Economics, 110, 106‑118. https://doi.org/10.1016/j.ecolecon.2014.12.001</t>
  </si>
  <si>
    <t>Life cycle inventory of a flash geothermal combined heat and power plant located in Iceland, Karlsdóttir et al., 2015</t>
  </si>
  <si>
    <t>(Rosset, 2022)</t>
  </si>
  <si>
    <t>Comments</t>
  </si>
  <si>
    <t>Intensité métallique [t/GW]</t>
  </si>
  <si>
    <t>Optimistic</t>
  </si>
  <si>
    <t>Neutral</t>
  </si>
  <si>
    <t>Conservative</t>
  </si>
  <si>
    <t>Bulk metals</t>
  </si>
  <si>
    <t>Technology-specific</t>
  </si>
  <si>
    <t>Sol_Thin_Film</t>
  </si>
  <si>
    <t>Wind_Onshore</t>
  </si>
  <si>
    <t>European Commission. Joint Research Centre. (2020). Raw materials demand for wind and solar PV technologies in the transition towards a decarbonised energy system. Publications Office. https://data.europa.eu/doi/10.2760/160859</t>
  </si>
  <si>
    <t>Watari, T., McLellan, B. C., Giurco, D., Dominish, E., Yamasue, E., &amp; Nansai, K. (2019). Total material requirement for the global energy transition to 2050 : A focus on transport and electricity. Resources, Conservation and Recycling, 148, 91‑103. https://doi.org/10.1016/j.resconrec.2019.05.015</t>
  </si>
  <si>
    <t>The Role of Critical Minerals in Clean Energy Transitions. (2022).</t>
  </si>
  <si>
    <t>Van Oorschot, J., Sprecher, B., Roelofs, B., Van Der Horst, J., &amp; Van Der Voet, E. (2022). Towards a low-carbon and circular economy : Scenarios for metal stocks and flows in the Dutch electricity system. Resources, Conservation and Recycling, 178, 106105. https://doi.org/10.1016/j.resconrec.2021.106105</t>
  </si>
  <si>
    <t>Rosset, J. (2022). ÉTUDE SUR LES MATÉRIAUX DE LA TRANSITION ÉNERGÉTIQUE.</t>
  </si>
  <si>
    <t>Ashby, M. F. (2013). Chapter 12—Materials for low-carbon power. In M. F. Ashby (Éd.), Materials and the Environment (Second Edition) (p. 349‑413). Butterworth-Heinemann. https://doi.org/10.1016/B978-0-12-385971-6.00012-9</t>
  </si>
  <si>
    <t>Tokimatsu, K., Wachtmeister, H., McLellan, B., Davidsson, S., Murakami, S., Höök, M., Yasuoka, R., &amp; Nishio, M. (2017). Energy modeling approach to the global energy-mineral nexus : A first look at metal requirements and the 2 °C target. Applied Energy, 207, 494‑509. https://doi.org/10.1016/j.apenergy.2017.05.151</t>
  </si>
  <si>
    <t>Månberger, A., &amp; Stenqvist, B. (2018). Global metal flows in the renewable energy transition : Exploring the effects of substitutes, technological mix and development. Energy Policy, 119, 226‑241. https://doi.org/10.1016/j.enpol.2018.04.056</t>
  </si>
  <si>
    <t>Moss, R. L., Tzimas, E., Kara, H., Willis, P., &amp; Kooroshy, J. (2013). The potential risks from metals bottlenecks to the deployment of Strategic Energy Technologies. Energy Policy, 55, 556‑564. https://doi.org/10.1016/j.enpol.2012.12.053</t>
  </si>
  <si>
    <t>Kavlak, G., McNerney, J., Jaffe, R. L., &amp; Trancik, J. E. (2015). Metal production requirements for rapid photovoltaics deployment. Energy &amp; Environmental Science, 8(6), 1651‑1659. https://doi.org/10.1039/C5EE00585J</t>
  </si>
  <si>
    <t>Liang, Y., Kleijn, R., Tukker, A., &amp; van der Voet, E. (2022). Material requirements for low-carbon energy technologies : A quantitative review. Renewable and Sustainable Energy Reviews, 161, 112334. https://doi.org/10.1016/j.rser.2022.112334</t>
  </si>
  <si>
    <t>McNulty, B. A., &amp; Jowitt, S. M. (2022). Byproduct critical metal supply and demand and implications for the energy transition : A case study of tellurium supply and CdTe PV demand. Renewable and Sustainable Energy Reviews, 168, 112838. https://doi.org/10.1016/j.rser.2022.112838</t>
  </si>
  <si>
    <t>Extrapolated from a literature review of metal intensity reduction scenario in the literature</t>
  </si>
  <si>
    <t>Linked with SSP scenario with Wang et al. 2022 Material-related strategies for different shared socioeconomic pathways</t>
  </si>
  <si>
    <t>Calculated with the metal intensities and the 2010 market share of each sub-technologies</t>
  </si>
  <si>
    <t>Metal</t>
  </si>
  <si>
    <t xml:space="preserve">Extrapolated from the 2020 European Commission categorisation of metals  </t>
  </si>
  <si>
    <t>x</t>
  </si>
  <si>
    <t>Gallium</t>
  </si>
  <si>
    <t>Germanium</t>
  </si>
  <si>
    <t>Selenium</t>
  </si>
  <si>
    <t>Silicon</t>
  </si>
  <si>
    <t>Tellurium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</si>
</sst>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 _€_-;\-* #,##0.00\ _€_-;_-* &quot;-&quot;??\ _€_-;_-@_-"/>
    <numFmt numFmtId="165" formatCode="_-* #,##0_-;\-* #,##0_-;_-* &quot;-&quot;??_-;_-@_-"/>
  </numFmts>
  <fonts count="12">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u/>
      <sz val="11"/>
      <color theme="10"/>
      <name val="Calibri"/>
      <family val="2"/>
      <scheme val="minor"/>
    </font>
    <font>
      <sz val="11"/>
      <color theme="10"/>
      <name val="Calibri"/>
      <family val="2"/>
      <scheme val="minor"/>
    </font>
    <font>
      <b/>
      <i/>
      <sz val="11"/>
      <color theme="1"/>
      <name val="Calibri"/>
      <family val="2"/>
      <scheme val="minor"/>
    </font>
    <font>
      <sz val="8"/>
      <name val="Calibri"/>
      <family val="2"/>
      <scheme val="minor"/>
    </font>
    <font>
      <sz val="10"/>
      <color theme="1"/>
      <name val="Var(--jp-code-font-family)"/>
    </font>
    <font>
      <i/>
      <sz val="11"/>
      <color theme="1"/>
      <name val="Calibri"/>
      <family val="2"/>
      <scheme val="minor"/>
    </font>
    <font>
      <b/>
      <sz val="11"/>
      <name val="Calibri"/>
      <family val="2"/>
      <scheme val="minor"/>
    </font>
  </fonts>
  <fills count="18">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2"/>
        <bgColor indexed="64"/>
      </patternFill>
    </fill>
    <fill>
      <patternFill patternType="solid">
        <fgColor theme="8" tint="0.79998168889431442"/>
        <bgColor indexed="64"/>
      </patternFill>
    </fill>
    <fill>
      <patternFill patternType="solid">
        <fgColor rgb="FFFFFFFF"/>
        <bgColor indexed="64"/>
      </patternFill>
    </fill>
    <fill>
      <patternFill patternType="solid">
        <fgColor rgb="FFFBE4D5"/>
        <bgColor indexed="64"/>
      </patternFill>
    </fill>
    <fill>
      <patternFill patternType="solid">
        <fgColor rgb="FFDEEAF6"/>
        <bgColor indexed="64"/>
      </patternFill>
    </fill>
    <fill>
      <patternFill patternType="solid">
        <fgColor rgb="FFE2EFD9"/>
        <bgColor indexed="64"/>
      </patternFill>
    </fill>
    <fill>
      <patternFill patternType="solid">
        <fgColor theme="6" tint="0.79998168889431442"/>
        <bgColor indexed="64"/>
      </patternFill>
    </fill>
    <fill>
      <patternFill patternType="solid">
        <fgColor theme="6" tint="0.59999389629810485"/>
        <bgColor indexed="64"/>
      </patternFill>
    </fill>
  </fills>
  <borders count="79">
    <border>
      <left/>
      <right/>
      <top/>
      <bottom/>
      <diagonal/>
    </border>
    <border>
      <left style="medium">
        <color indexed="64"/>
      </left>
      <right/>
      <top style="medium">
        <color indexed="64"/>
      </top>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medium">
        <color indexed="64"/>
      </top>
      <bottom style="thin">
        <color indexed="64"/>
      </bottom>
      <diagonal/>
    </border>
    <border diagonalDown="1">
      <left style="thin">
        <color indexed="64"/>
      </left>
      <right/>
      <top style="thin">
        <color indexed="64"/>
      </top>
      <bottom style="thin">
        <color indexed="64"/>
      </bottom>
      <diagonal style="thin">
        <color auto="1"/>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bottom style="thin">
        <color theme="1"/>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thin">
        <color theme="1"/>
      </top>
      <bottom style="thin">
        <color theme="1"/>
      </bottom>
      <diagonal/>
    </border>
    <border>
      <left style="thin">
        <color indexed="64"/>
      </left>
      <right style="thin">
        <color indexed="64"/>
      </right>
      <top/>
      <bottom/>
      <diagonal/>
    </border>
    <border>
      <left/>
      <right style="medium">
        <color indexed="64"/>
      </right>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diagonalDown="1">
      <left style="medium">
        <color indexed="64"/>
      </left>
      <right style="thin">
        <color indexed="64"/>
      </right>
      <top style="thin">
        <color indexed="64"/>
      </top>
      <bottom style="medium">
        <color indexed="64"/>
      </bottom>
      <diagonal style="thin">
        <color auto="1"/>
      </diagonal>
    </border>
    <border>
      <left style="thin">
        <color indexed="64"/>
      </left>
      <right/>
      <top/>
      <bottom style="medium">
        <color indexed="64"/>
      </bottom>
      <diagonal/>
    </border>
    <border>
      <left style="medium">
        <color indexed="64"/>
      </left>
      <right style="thin">
        <color indexed="64"/>
      </right>
      <top/>
      <bottom style="medium">
        <color indexed="64"/>
      </bottom>
      <diagonal/>
    </border>
    <border>
      <left style="medium">
        <color indexed="64"/>
      </left>
      <right/>
      <top/>
      <bottom style="thin">
        <color indexed="64"/>
      </bottom>
      <diagonal/>
    </border>
    <border>
      <left/>
      <right style="medium">
        <color indexed="64"/>
      </right>
      <top/>
      <bottom style="medium">
        <color indexed="64"/>
      </bottom>
      <diagonal/>
    </border>
    <border>
      <left/>
      <right style="thin">
        <color indexed="64"/>
      </right>
      <top/>
      <bottom style="thin">
        <color indexed="64"/>
      </bottom>
      <diagonal/>
    </border>
    <border>
      <left/>
      <right style="thin">
        <color indexed="64"/>
      </right>
      <top/>
      <bottom style="medium">
        <color indexed="64"/>
      </bottom>
      <diagonal/>
    </border>
    <border>
      <left style="thin">
        <color indexed="64"/>
      </left>
      <right style="medium">
        <color indexed="64"/>
      </right>
      <top/>
      <bottom/>
      <diagonal/>
    </border>
    <border diagonalDown="1">
      <left style="medium">
        <color indexed="64"/>
      </left>
      <right/>
      <top style="thin">
        <color indexed="64"/>
      </top>
      <bottom style="medium">
        <color indexed="64"/>
      </bottom>
      <diagonal style="thin">
        <color auto="1"/>
      </diagonal>
    </border>
    <border>
      <left/>
      <right style="thin">
        <color indexed="64"/>
      </right>
      <top style="thin">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style="thin">
        <color theme="1"/>
      </bottom>
      <diagonal/>
    </border>
    <border>
      <left style="medium">
        <color indexed="64"/>
      </left>
      <right style="medium">
        <color indexed="64"/>
      </right>
      <top style="thin">
        <color theme="1"/>
      </top>
      <bottom style="thin">
        <color theme="1"/>
      </bottom>
      <diagonal/>
    </border>
    <border>
      <left/>
      <right style="medium">
        <color indexed="64"/>
      </right>
      <top style="medium">
        <color indexed="64"/>
      </top>
      <bottom/>
      <diagonal/>
    </border>
    <border>
      <left/>
      <right style="medium">
        <color indexed="64"/>
      </right>
      <top style="medium">
        <color indexed="64"/>
      </top>
      <bottom style="thin">
        <color theme="1"/>
      </bottom>
      <diagonal/>
    </border>
  </borders>
  <cellStyleXfs count="4">
    <xf numFmtId="0" fontId="0" fillId="0" borderId="0"/>
    <xf numFmtId="43" fontId="1" fillId="0" borderId="0" applyFont="0" applyFill="0" applyBorder="0" applyAlignment="0" applyProtection="0"/>
    <xf numFmtId="0" fontId="5" fillId="0" borderId="0" applyNumberFormat="0" applyFill="0" applyBorder="0" applyAlignment="0" applyProtection="0"/>
    <xf numFmtId="9" fontId="1" fillId="0" borderId="0" applyFont="0" applyFill="0" applyBorder="0" applyAlignment="0" applyProtection="0"/>
  </cellStyleXfs>
  <cellXfs count="712">
    <xf numFmtId="0" fontId="0" fillId="0" borderId="0" xfId="0"/>
    <xf numFmtId="0" fontId="0" fillId="2" borderId="0" xfId="0" applyFill="1"/>
    <xf numFmtId="0" fontId="3" fillId="0" borderId="0" xfId="0" applyFont="1" applyAlignment="1">
      <alignment wrapText="1"/>
    </xf>
    <xf numFmtId="0" fontId="3" fillId="0" borderId="0" xfId="0" applyFont="1"/>
    <xf numFmtId="0" fontId="0" fillId="2" borderId="6" xfId="0" applyFill="1" applyBorder="1" applyAlignment="1">
      <alignment horizontal="center" wrapText="1"/>
    </xf>
    <xf numFmtId="0" fontId="0" fillId="0" borderId="0" xfId="0" applyAlignment="1">
      <alignment horizontal="center" vertical="center"/>
    </xf>
    <xf numFmtId="0" fontId="0" fillId="2" borderId="0" xfId="0" applyFill="1" applyAlignment="1">
      <alignment horizontal="center"/>
    </xf>
    <xf numFmtId="0" fontId="0" fillId="0" borderId="0" xfId="0" applyAlignment="1">
      <alignment horizontal="center"/>
    </xf>
    <xf numFmtId="0" fontId="0" fillId="8" borderId="5" xfId="0" applyFill="1" applyBorder="1" applyAlignment="1">
      <alignment horizontal="center" vertical="center"/>
    </xf>
    <xf numFmtId="0" fontId="0" fillId="0" borderId="8" xfId="0" applyBorder="1" applyAlignment="1">
      <alignment horizontal="center" vertical="center" wrapText="1"/>
    </xf>
    <xf numFmtId="0" fontId="0" fillId="0" borderId="16" xfId="0" applyBorder="1" applyAlignment="1">
      <alignment horizontal="right" wrapText="1" shrinkToFit="1"/>
    </xf>
    <xf numFmtId="0" fontId="0" fillId="2" borderId="8" xfId="0" applyFill="1" applyBorder="1"/>
    <xf numFmtId="0" fontId="0" fillId="0" borderId="0" xfId="0" applyAlignment="1">
      <alignment wrapText="1"/>
    </xf>
    <xf numFmtId="0" fontId="0" fillId="0" borderId="8" xfId="0" applyBorder="1" applyAlignment="1">
      <alignment wrapText="1"/>
    </xf>
    <xf numFmtId="43" fontId="0" fillId="0" borderId="8" xfId="1" applyFont="1" applyBorder="1"/>
    <xf numFmtId="0" fontId="0" fillId="0" borderId="20" xfId="0" applyBorder="1" applyAlignment="1">
      <alignment wrapText="1"/>
    </xf>
    <xf numFmtId="0" fontId="0" fillId="2" borderId="8" xfId="0" applyFill="1" applyBorder="1" applyAlignment="1">
      <alignment horizontal="center" vertical="center" wrapText="1"/>
    </xf>
    <xf numFmtId="0" fontId="0" fillId="0" borderId="2" xfId="0" applyBorder="1" applyAlignment="1">
      <alignment horizontal="center" vertical="center" wrapText="1"/>
    </xf>
    <xf numFmtId="0" fontId="0" fillId="0" borderId="18" xfId="0" applyBorder="1"/>
    <xf numFmtId="0" fontId="0" fillId="0" borderId="0" xfId="0" applyAlignment="1">
      <alignment horizontal="center" vertical="center" wrapText="1"/>
    </xf>
    <xf numFmtId="0" fontId="0" fillId="0" borderId="8" xfId="0" applyBorder="1"/>
    <xf numFmtId="0" fontId="0" fillId="9" borderId="2" xfId="0" applyFill="1" applyBorder="1"/>
    <xf numFmtId="43" fontId="0" fillId="0" borderId="18" xfId="1" applyFont="1" applyBorder="1"/>
    <xf numFmtId="43" fontId="0" fillId="2" borderId="12" xfId="1" applyFont="1" applyFill="1" applyBorder="1"/>
    <xf numFmtId="43" fontId="0" fillId="6" borderId="12" xfId="1" applyFont="1" applyFill="1" applyBorder="1"/>
    <xf numFmtId="43" fontId="0" fillId="6" borderId="19" xfId="1" applyFont="1" applyFill="1" applyBorder="1"/>
    <xf numFmtId="43" fontId="0" fillId="2" borderId="8" xfId="1" applyFont="1" applyFill="1" applyBorder="1"/>
    <xf numFmtId="43" fontId="0" fillId="6" borderId="8" xfId="1" applyFont="1" applyFill="1" applyBorder="1"/>
    <xf numFmtId="0" fontId="0" fillId="6" borderId="8" xfId="0" applyFill="1" applyBorder="1"/>
    <xf numFmtId="0" fontId="0" fillId="0" borderId="24" xfId="0" applyBorder="1" applyAlignment="1">
      <alignment wrapText="1"/>
    </xf>
    <xf numFmtId="43" fontId="0" fillId="2" borderId="0" xfId="1" applyFont="1" applyFill="1" applyBorder="1"/>
    <xf numFmtId="43" fontId="0" fillId="0" borderId="2" xfId="1" applyFont="1" applyBorder="1"/>
    <xf numFmtId="0" fontId="0" fillId="0" borderId="18" xfId="1" applyNumberFormat="1" applyFont="1" applyBorder="1"/>
    <xf numFmtId="0" fontId="0" fillId="0" borderId="21" xfId="0" applyBorder="1"/>
    <xf numFmtId="0" fontId="0" fillId="0" borderId="2" xfId="0" applyBorder="1"/>
    <xf numFmtId="0" fontId="0" fillId="4" borderId="8" xfId="0" applyFill="1" applyBorder="1"/>
    <xf numFmtId="0" fontId="0" fillId="0" borderId="25" xfId="0" applyBorder="1"/>
    <xf numFmtId="0" fontId="0" fillId="6" borderId="2" xfId="0" applyFill="1" applyBorder="1"/>
    <xf numFmtId="43" fontId="0" fillId="0" borderId="12" xfId="1" applyFont="1" applyBorder="1"/>
    <xf numFmtId="43" fontId="0" fillId="0" borderId="19" xfId="1" applyFont="1" applyBorder="1"/>
    <xf numFmtId="43" fontId="0" fillId="4" borderId="8" xfId="1" applyFont="1" applyFill="1" applyBorder="1"/>
    <xf numFmtId="43" fontId="0" fillId="0" borderId="2" xfId="1" applyFont="1" applyFill="1" applyBorder="1"/>
    <xf numFmtId="43" fontId="0" fillId="7" borderId="18" xfId="1" applyFont="1" applyFill="1" applyBorder="1"/>
    <xf numFmtId="43" fontId="0" fillId="7" borderId="8" xfId="1" applyFont="1" applyFill="1" applyBorder="1"/>
    <xf numFmtId="43" fontId="0" fillId="7" borderId="2" xfId="1" applyFont="1" applyFill="1" applyBorder="1"/>
    <xf numFmtId="43" fontId="3" fillId="7" borderId="18" xfId="1" applyFont="1" applyFill="1" applyBorder="1"/>
    <xf numFmtId="0" fontId="3" fillId="0" borderId="18" xfId="1" applyNumberFormat="1" applyFont="1" applyBorder="1"/>
    <xf numFmtId="43" fontId="2" fillId="0" borderId="12" xfId="1" applyFont="1" applyBorder="1" applyAlignment="1"/>
    <xf numFmtId="43" fontId="2" fillId="0" borderId="19" xfId="1" applyFont="1" applyBorder="1" applyAlignment="1"/>
    <xf numFmtId="43" fontId="2" fillId="2" borderId="8" xfId="1" applyFont="1" applyFill="1" applyBorder="1" applyAlignment="1"/>
    <xf numFmtId="0" fontId="3" fillId="0" borderId="8" xfId="0" applyFont="1" applyBorder="1" applyAlignment="1">
      <alignment wrapText="1"/>
    </xf>
    <xf numFmtId="0" fontId="0" fillId="4" borderId="2" xfId="0" applyFill="1" applyBorder="1"/>
    <xf numFmtId="0" fontId="0" fillId="7" borderId="2" xfId="0" applyFill="1" applyBorder="1"/>
    <xf numFmtId="43" fontId="0" fillId="4" borderId="18" xfId="1" applyFont="1" applyFill="1" applyBorder="1"/>
    <xf numFmtId="43" fontId="3" fillId="4" borderId="8" xfId="1" applyFont="1" applyFill="1" applyBorder="1"/>
    <xf numFmtId="43" fontId="3" fillId="4" borderId="18" xfId="1" applyFont="1" applyFill="1" applyBorder="1"/>
    <xf numFmtId="0" fontId="3" fillId="4" borderId="18" xfId="1" applyNumberFormat="1" applyFont="1" applyFill="1" applyBorder="1"/>
    <xf numFmtId="43" fontId="0" fillId="6" borderId="17" xfId="1" applyFont="1" applyFill="1" applyBorder="1"/>
    <xf numFmtId="43" fontId="0" fillId="2" borderId="19" xfId="1" applyFont="1" applyFill="1" applyBorder="1"/>
    <xf numFmtId="43" fontId="0" fillId="6" borderId="2" xfId="1" applyFont="1" applyFill="1" applyBorder="1"/>
    <xf numFmtId="43" fontId="0" fillId="9" borderId="8" xfId="1" applyFont="1" applyFill="1" applyBorder="1"/>
    <xf numFmtId="43" fontId="3" fillId="6" borderId="8" xfId="1" applyFont="1" applyFill="1" applyBorder="1"/>
    <xf numFmtId="43" fontId="3" fillId="6" borderId="18" xfId="1" applyFont="1" applyFill="1" applyBorder="1"/>
    <xf numFmtId="164" fontId="3" fillId="6" borderId="18" xfId="1" applyNumberFormat="1" applyFont="1" applyFill="1" applyBorder="1"/>
    <xf numFmtId="0" fontId="0" fillId="7" borderId="18" xfId="0" applyFill="1" applyBorder="1"/>
    <xf numFmtId="0" fontId="0" fillId="7" borderId="8" xfId="0" applyFill="1" applyBorder="1"/>
    <xf numFmtId="0" fontId="0" fillId="8" borderId="2" xfId="0" applyFill="1" applyBorder="1"/>
    <xf numFmtId="0" fontId="3" fillId="0" borderId="8" xfId="0" applyFont="1" applyBorder="1"/>
    <xf numFmtId="0" fontId="3" fillId="6" borderId="18" xfId="1" applyNumberFormat="1" applyFont="1" applyFill="1" applyBorder="1"/>
    <xf numFmtId="43" fontId="0" fillId="6" borderId="18" xfId="1" applyFont="1" applyFill="1" applyBorder="1"/>
    <xf numFmtId="0" fontId="0" fillId="2" borderId="2" xfId="0" applyFill="1" applyBorder="1"/>
    <xf numFmtId="0" fontId="0" fillId="8" borderId="17" xfId="0" applyFill="1" applyBorder="1"/>
    <xf numFmtId="43" fontId="0" fillId="9" borderId="19" xfId="1" applyFont="1" applyFill="1" applyBorder="1"/>
    <xf numFmtId="43" fontId="0" fillId="7" borderId="19" xfId="1" applyFont="1" applyFill="1" applyBorder="1"/>
    <xf numFmtId="43" fontId="3" fillId="9" borderId="8" xfId="1" applyFont="1" applyFill="1" applyBorder="1"/>
    <xf numFmtId="0" fontId="0" fillId="6" borderId="18" xfId="0" applyFill="1" applyBorder="1"/>
    <xf numFmtId="0" fontId="0" fillId="6" borderId="21" xfId="0" applyFill="1" applyBorder="1"/>
    <xf numFmtId="0" fontId="0" fillId="2" borderId="18" xfId="0" applyFill="1" applyBorder="1"/>
    <xf numFmtId="0" fontId="0" fillId="2" borderId="21" xfId="0" applyFill="1" applyBorder="1"/>
    <xf numFmtId="43" fontId="2" fillId="2" borderId="8" xfId="1" applyFont="1" applyFill="1" applyBorder="1"/>
    <xf numFmtId="0" fontId="3" fillId="0" borderId="18" xfId="0" applyFont="1" applyBorder="1"/>
    <xf numFmtId="0" fontId="0" fillId="4" borderId="18" xfId="0" applyFill="1" applyBorder="1"/>
    <xf numFmtId="43" fontId="0" fillId="2" borderId="18" xfId="1" applyFont="1" applyFill="1" applyBorder="1"/>
    <xf numFmtId="43" fontId="3" fillId="7" borderId="8" xfId="1" applyFont="1" applyFill="1" applyBorder="1"/>
    <xf numFmtId="0" fontId="0" fillId="9" borderId="17" xfId="0" applyFill="1" applyBorder="1"/>
    <xf numFmtId="43" fontId="0" fillId="7" borderId="12" xfId="1" applyFont="1" applyFill="1" applyBorder="1"/>
    <xf numFmtId="0" fontId="0" fillId="6" borderId="17" xfId="0" applyFill="1" applyBorder="1"/>
    <xf numFmtId="43" fontId="0" fillId="2" borderId="2" xfId="1" applyFont="1" applyFill="1" applyBorder="1"/>
    <xf numFmtId="0" fontId="0" fillId="0" borderId="32" xfId="0" applyBorder="1"/>
    <xf numFmtId="0" fontId="0" fillId="0" borderId="34" xfId="0" applyBorder="1"/>
    <xf numFmtId="0" fontId="0" fillId="0" borderId="35" xfId="0" applyBorder="1"/>
    <xf numFmtId="0" fontId="0" fillId="9" borderId="8" xfId="0" applyFill="1" applyBorder="1"/>
    <xf numFmtId="43" fontId="4" fillId="4" borderId="12" xfId="1" applyFont="1" applyFill="1" applyBorder="1" applyAlignment="1"/>
    <xf numFmtId="43" fontId="4" fillId="4" borderId="19" xfId="1" applyFont="1" applyFill="1" applyBorder="1" applyAlignment="1"/>
    <xf numFmtId="0" fontId="3" fillId="2" borderId="0" xfId="0" applyFont="1" applyFill="1" applyAlignment="1">
      <alignment horizontal="center"/>
    </xf>
    <xf numFmtId="0" fontId="0" fillId="7" borderId="17" xfId="0" applyFill="1" applyBorder="1"/>
    <xf numFmtId="0" fontId="3" fillId="6" borderId="8" xfId="0" applyFont="1" applyFill="1" applyBorder="1"/>
    <xf numFmtId="0" fontId="3" fillId="4" borderId="8" xfId="0" applyFont="1" applyFill="1" applyBorder="1"/>
    <xf numFmtId="43" fontId="3" fillId="7" borderId="8" xfId="0" applyNumberFormat="1" applyFont="1" applyFill="1" applyBorder="1"/>
    <xf numFmtId="43" fontId="3" fillId="4" borderId="8" xfId="0" applyNumberFormat="1" applyFont="1" applyFill="1" applyBorder="1"/>
    <xf numFmtId="0" fontId="0" fillId="3" borderId="2" xfId="0" applyFill="1" applyBorder="1"/>
    <xf numFmtId="0" fontId="0" fillId="2" borderId="0" xfId="0" applyFill="1" applyAlignment="1">
      <alignment wrapText="1"/>
    </xf>
    <xf numFmtId="0" fontId="3" fillId="6" borderId="18" xfId="0" applyFont="1" applyFill="1" applyBorder="1"/>
    <xf numFmtId="0" fontId="3" fillId="4" borderId="18" xfId="0" applyFont="1" applyFill="1" applyBorder="1"/>
    <xf numFmtId="0" fontId="3" fillId="11" borderId="8" xfId="1" applyNumberFormat="1" applyFont="1" applyFill="1" applyBorder="1"/>
    <xf numFmtId="0" fontId="3" fillId="4" borderId="8" xfId="1" applyNumberFormat="1" applyFont="1" applyFill="1" applyBorder="1"/>
    <xf numFmtId="0" fontId="3" fillId="6" borderId="8" xfId="1" applyNumberFormat="1" applyFont="1" applyFill="1" applyBorder="1"/>
    <xf numFmtId="0" fontId="0" fillId="8" borderId="8" xfId="0" applyFill="1" applyBorder="1"/>
    <xf numFmtId="0" fontId="3" fillId="2" borderId="8" xfId="1" applyNumberFormat="1" applyFont="1" applyFill="1" applyBorder="1"/>
    <xf numFmtId="0" fontId="0" fillId="5" borderId="8" xfId="0" applyFill="1" applyBorder="1"/>
    <xf numFmtId="0" fontId="0" fillId="5" borderId="8" xfId="0" applyFill="1" applyBorder="1" applyAlignment="1">
      <alignment horizontal="center"/>
    </xf>
    <xf numFmtId="43" fontId="0" fillId="0" borderId="8" xfId="1" applyFont="1" applyBorder="1" applyAlignment="1">
      <alignment horizontal="center"/>
    </xf>
    <xf numFmtId="43" fontId="0" fillId="8" borderId="8" xfId="1" applyFont="1" applyFill="1" applyBorder="1"/>
    <xf numFmtId="43" fontId="0" fillId="0" borderId="8" xfId="1" applyFont="1" applyFill="1" applyBorder="1"/>
    <xf numFmtId="0" fontId="3" fillId="7" borderId="8" xfId="1" applyNumberFormat="1" applyFont="1" applyFill="1" applyBorder="1"/>
    <xf numFmtId="0" fontId="3" fillId="6" borderId="2" xfId="1" applyNumberFormat="1" applyFont="1" applyFill="1" applyBorder="1"/>
    <xf numFmtId="0" fontId="3" fillId="6" borderId="8" xfId="1" applyNumberFormat="1" applyFont="1" applyFill="1" applyBorder="1" applyAlignment="1">
      <alignment horizontal="center"/>
    </xf>
    <xf numFmtId="0" fontId="0" fillId="9" borderId="3" xfId="0" applyFill="1" applyBorder="1"/>
    <xf numFmtId="0" fontId="0" fillId="6" borderId="11" xfId="0" applyFill="1" applyBorder="1"/>
    <xf numFmtId="0" fontId="0" fillId="9" borderId="11" xfId="0" applyFill="1" applyBorder="1"/>
    <xf numFmtId="0" fontId="0" fillId="7" borderId="11" xfId="0" applyFill="1" applyBorder="1"/>
    <xf numFmtId="0" fontId="0" fillId="8" borderId="11" xfId="0" applyFill="1" applyBorder="1"/>
    <xf numFmtId="0" fontId="0" fillId="9" borderId="40" xfId="0" applyFill="1" applyBorder="1"/>
    <xf numFmtId="0" fontId="0" fillId="6" borderId="31" xfId="0" applyFill="1" applyBorder="1"/>
    <xf numFmtId="0" fontId="0" fillId="0" borderId="11" xfId="0" applyBorder="1" applyAlignment="1">
      <alignment horizontal="center" vertical="center" wrapText="1"/>
    </xf>
    <xf numFmtId="0" fontId="0" fillId="0" borderId="8" xfId="0" applyBorder="1" applyAlignment="1">
      <alignment horizontal="center" vertical="center"/>
    </xf>
    <xf numFmtId="0" fontId="3" fillId="5" borderId="41" xfId="0" applyFont="1" applyFill="1" applyBorder="1" applyAlignment="1">
      <alignment horizontal="center" vertical="center" wrapText="1"/>
    </xf>
    <xf numFmtId="0" fontId="3" fillId="5" borderId="42" xfId="0" applyFont="1" applyFill="1" applyBorder="1" applyAlignment="1">
      <alignment horizontal="center" vertical="center" wrapText="1"/>
    </xf>
    <xf numFmtId="0" fontId="3" fillId="5" borderId="42" xfId="0" applyFont="1" applyFill="1" applyBorder="1" applyAlignment="1">
      <alignment horizontal="center" vertical="center"/>
    </xf>
    <xf numFmtId="0" fontId="3" fillId="5" borderId="43" xfId="0" applyFont="1" applyFill="1" applyBorder="1" applyAlignment="1">
      <alignment horizontal="center" vertical="center"/>
    </xf>
    <xf numFmtId="0" fontId="3" fillId="5" borderId="44" xfId="0" applyFont="1" applyFill="1" applyBorder="1" applyAlignment="1">
      <alignment horizontal="center" vertical="center"/>
    </xf>
    <xf numFmtId="0" fontId="3" fillId="5" borderId="45" xfId="0" applyFont="1" applyFill="1" applyBorder="1" applyAlignment="1">
      <alignment horizontal="center" vertical="center"/>
    </xf>
    <xf numFmtId="0" fontId="3" fillId="5" borderId="32" xfId="0" applyFont="1" applyFill="1" applyBorder="1" applyAlignment="1">
      <alignment horizontal="center" vertical="center"/>
    </xf>
    <xf numFmtId="0" fontId="3" fillId="5" borderId="34" xfId="0" applyFont="1" applyFill="1" applyBorder="1" applyAlignment="1">
      <alignment horizontal="center" vertical="center"/>
    </xf>
    <xf numFmtId="0" fontId="3" fillId="5" borderId="37" xfId="0" applyFont="1" applyFill="1" applyBorder="1" applyAlignment="1">
      <alignment horizontal="center" vertical="center"/>
    </xf>
    <xf numFmtId="0" fontId="3" fillId="5" borderId="28" xfId="0" applyFont="1" applyFill="1" applyBorder="1" applyAlignment="1">
      <alignment horizontal="center" vertical="center"/>
    </xf>
    <xf numFmtId="0" fontId="3" fillId="5" borderId="33" xfId="0" applyFont="1" applyFill="1" applyBorder="1" applyAlignment="1">
      <alignment horizontal="center" vertical="center"/>
    </xf>
    <xf numFmtId="0" fontId="3" fillId="7" borderId="18" xfId="1" applyNumberFormat="1" applyFont="1" applyFill="1" applyBorder="1"/>
    <xf numFmtId="0" fontId="3" fillId="7" borderId="21" xfId="1" applyNumberFormat="1" applyFont="1" applyFill="1" applyBorder="1"/>
    <xf numFmtId="0" fontId="3" fillId="6" borderId="21" xfId="1" applyNumberFormat="1" applyFont="1" applyFill="1" applyBorder="1"/>
    <xf numFmtId="0" fontId="3" fillId="11" borderId="18" xfId="1" applyNumberFormat="1" applyFont="1" applyFill="1" applyBorder="1"/>
    <xf numFmtId="0" fontId="3" fillId="11" borderId="21" xfId="1" applyNumberFormat="1" applyFont="1" applyFill="1" applyBorder="1"/>
    <xf numFmtId="0" fontId="3" fillId="10" borderId="8" xfId="1" applyNumberFormat="1" applyFont="1" applyFill="1" applyBorder="1"/>
    <xf numFmtId="0" fontId="0" fillId="10" borderId="8" xfId="0" applyFill="1" applyBorder="1"/>
    <xf numFmtId="0" fontId="0" fillId="10" borderId="8" xfId="1" applyNumberFormat="1" applyFont="1" applyFill="1" applyBorder="1" applyAlignment="1">
      <alignment wrapText="1"/>
    </xf>
    <xf numFmtId="43" fontId="3" fillId="6" borderId="8" xfId="1" applyFont="1" applyFill="1" applyBorder="1" applyAlignment="1">
      <alignment wrapText="1"/>
    </xf>
    <xf numFmtId="0" fontId="0" fillId="16" borderId="8" xfId="0" applyFill="1" applyBorder="1"/>
    <xf numFmtId="0" fontId="0" fillId="16" borderId="18" xfId="0" applyFill="1" applyBorder="1"/>
    <xf numFmtId="0" fontId="0" fillId="16" borderId="2" xfId="0" applyFill="1" applyBorder="1"/>
    <xf numFmtId="0" fontId="3" fillId="16" borderId="18" xfId="0" applyFont="1" applyFill="1" applyBorder="1"/>
    <xf numFmtId="0" fontId="3" fillId="16" borderId="8" xfId="0" applyFont="1" applyFill="1" applyBorder="1"/>
    <xf numFmtId="0" fontId="0" fillId="2" borderId="0" xfId="0" applyFill="1" applyAlignment="1">
      <alignment horizontal="center" vertical="center"/>
    </xf>
    <xf numFmtId="0" fontId="0" fillId="10" borderId="2" xfId="0" applyFill="1" applyBorder="1"/>
    <xf numFmtId="0" fontId="0" fillId="5" borderId="2" xfId="0" applyFill="1" applyBorder="1"/>
    <xf numFmtId="0" fontId="0" fillId="5" borderId="18" xfId="0" applyFill="1" applyBorder="1"/>
    <xf numFmtId="0" fontId="3" fillId="5" borderId="18" xfId="0" applyFont="1" applyFill="1" applyBorder="1"/>
    <xf numFmtId="0" fontId="3" fillId="5" borderId="19" xfId="0" applyFont="1" applyFill="1" applyBorder="1"/>
    <xf numFmtId="0" fontId="0" fillId="5" borderId="21" xfId="0" applyFill="1" applyBorder="1"/>
    <xf numFmtId="0" fontId="0" fillId="5" borderId="19" xfId="0" applyFill="1" applyBorder="1"/>
    <xf numFmtId="0" fontId="3" fillId="5" borderId="8" xfId="0" applyFont="1" applyFill="1" applyBorder="1"/>
    <xf numFmtId="0" fontId="0" fillId="5" borderId="32" xfId="0" applyFill="1" applyBorder="1"/>
    <xf numFmtId="0" fontId="0" fillId="5" borderId="34" xfId="0" applyFill="1" applyBorder="1"/>
    <xf numFmtId="0" fontId="0" fillId="5" borderId="37" xfId="0" applyFill="1" applyBorder="1"/>
    <xf numFmtId="0" fontId="0" fillId="16" borderId="32" xfId="0" applyFill="1" applyBorder="1"/>
    <xf numFmtId="0" fontId="0" fillId="16" borderId="34" xfId="0" applyFill="1" applyBorder="1"/>
    <xf numFmtId="0" fontId="0" fillId="16" borderId="35" xfId="0" applyFill="1" applyBorder="1"/>
    <xf numFmtId="43" fontId="0" fillId="6" borderId="21" xfId="1" applyFont="1" applyFill="1" applyBorder="1"/>
    <xf numFmtId="0" fontId="0" fillId="16" borderId="21" xfId="0" applyFill="1" applyBorder="1"/>
    <xf numFmtId="0" fontId="0" fillId="16" borderId="37" xfId="0" applyFill="1" applyBorder="1"/>
    <xf numFmtId="0" fontId="0" fillId="3" borderId="52" xfId="0" applyFill="1" applyBorder="1"/>
    <xf numFmtId="0" fontId="0" fillId="2" borderId="17" xfId="0" applyFill="1" applyBorder="1"/>
    <xf numFmtId="0" fontId="0" fillId="0" borderId="17" xfId="0" applyBorder="1"/>
    <xf numFmtId="0" fontId="0" fillId="2" borderId="28" xfId="0" applyFill="1" applyBorder="1"/>
    <xf numFmtId="43" fontId="0" fillId="2" borderId="21" xfId="1" applyFont="1" applyFill="1" applyBorder="1"/>
    <xf numFmtId="0" fontId="3" fillId="10" borderId="2" xfId="1" applyNumberFormat="1" applyFont="1" applyFill="1" applyBorder="1"/>
    <xf numFmtId="43" fontId="0" fillId="7" borderId="21" xfId="1" applyFont="1" applyFill="1" applyBorder="1"/>
    <xf numFmtId="0" fontId="0" fillId="10" borderId="18" xfId="0" applyFill="1" applyBorder="1"/>
    <xf numFmtId="0" fontId="0" fillId="10" borderId="21" xfId="0" applyFill="1" applyBorder="1"/>
    <xf numFmtId="0" fontId="3" fillId="4" borderId="21" xfId="1" applyNumberFormat="1" applyFont="1" applyFill="1" applyBorder="1"/>
    <xf numFmtId="0" fontId="3" fillId="10" borderId="18" xfId="1" applyNumberFormat="1" applyFont="1" applyFill="1" applyBorder="1"/>
    <xf numFmtId="0" fontId="3" fillId="10" borderId="21" xfId="1" applyNumberFormat="1" applyFont="1" applyFill="1" applyBorder="1"/>
    <xf numFmtId="43" fontId="3" fillId="6" borderId="18" xfId="1" applyFont="1" applyFill="1" applyBorder="1" applyAlignment="1">
      <alignment wrapText="1"/>
    </xf>
    <xf numFmtId="43" fontId="3" fillId="6" borderId="21" xfId="1" applyFont="1" applyFill="1" applyBorder="1" applyAlignment="1">
      <alignment wrapText="1"/>
    </xf>
    <xf numFmtId="0" fontId="0" fillId="10" borderId="18" xfId="1" applyNumberFormat="1" applyFont="1" applyFill="1" applyBorder="1" applyAlignment="1">
      <alignment wrapText="1"/>
    </xf>
    <xf numFmtId="0" fontId="0" fillId="10" borderId="21" xfId="1" applyNumberFormat="1" applyFont="1" applyFill="1" applyBorder="1" applyAlignment="1">
      <alignment wrapText="1"/>
    </xf>
    <xf numFmtId="0" fontId="0" fillId="10" borderId="32" xfId="0" applyFill="1" applyBorder="1"/>
    <xf numFmtId="0" fontId="0" fillId="10" borderId="34" xfId="0" applyFill="1" applyBorder="1"/>
    <xf numFmtId="0" fontId="0" fillId="10" borderId="37" xfId="0" applyFill="1" applyBorder="1"/>
    <xf numFmtId="0" fontId="0" fillId="10" borderId="52" xfId="0" applyFill="1" applyBorder="1" applyAlignment="1">
      <alignment horizontal="center" wrapText="1"/>
    </xf>
    <xf numFmtId="0" fontId="0" fillId="16" borderId="17" xfId="0" applyFill="1" applyBorder="1"/>
    <xf numFmtId="43" fontId="0" fillId="2" borderId="17" xfId="1" applyFont="1" applyFill="1" applyBorder="1" applyAlignment="1">
      <alignment wrapText="1"/>
    </xf>
    <xf numFmtId="0" fontId="0" fillId="10" borderId="17" xfId="0" applyFill="1" applyBorder="1"/>
    <xf numFmtId="43" fontId="0" fillId="10" borderId="17" xfId="1" applyFont="1" applyFill="1" applyBorder="1" applyAlignment="1">
      <alignment wrapText="1"/>
    </xf>
    <xf numFmtId="0" fontId="0" fillId="10" borderId="28" xfId="0" applyFill="1" applyBorder="1"/>
    <xf numFmtId="0" fontId="3" fillId="6" borderId="21" xfId="0" applyFont="1" applyFill="1" applyBorder="1"/>
    <xf numFmtId="0" fontId="3" fillId="0" borderId="21" xfId="0" applyFont="1" applyBorder="1"/>
    <xf numFmtId="0" fontId="3" fillId="16" borderId="21" xfId="0" applyFont="1" applyFill="1" applyBorder="1"/>
    <xf numFmtId="0" fontId="3" fillId="4" borderId="21" xfId="0" applyFont="1" applyFill="1" applyBorder="1"/>
    <xf numFmtId="0" fontId="0" fillId="16" borderId="17" xfId="0" applyFill="1" applyBorder="1" applyAlignment="1">
      <alignment wrapText="1"/>
    </xf>
    <xf numFmtId="0" fontId="0" fillId="2" borderId="17" xfId="0" applyFill="1" applyBorder="1" applyAlignment="1">
      <alignment wrapText="1"/>
    </xf>
    <xf numFmtId="0" fontId="0" fillId="5" borderId="17" xfId="0" applyFill="1" applyBorder="1" applyAlignment="1">
      <alignment wrapText="1"/>
    </xf>
    <xf numFmtId="0" fontId="0" fillId="16" borderId="28" xfId="0" applyFill="1" applyBorder="1" applyAlignment="1">
      <alignment wrapText="1"/>
    </xf>
    <xf numFmtId="43" fontId="0" fillId="11" borderId="2" xfId="1" applyFont="1" applyFill="1" applyBorder="1"/>
    <xf numFmtId="0" fontId="0" fillId="5" borderId="35" xfId="0" applyFill="1" applyBorder="1"/>
    <xf numFmtId="0" fontId="0" fillId="5" borderId="27" xfId="0" applyFill="1" applyBorder="1"/>
    <xf numFmtId="0" fontId="3" fillId="5" borderId="27" xfId="0" applyFont="1" applyFill="1" applyBorder="1"/>
    <xf numFmtId="0" fontId="3" fillId="5" borderId="21" xfId="0" applyFont="1" applyFill="1" applyBorder="1"/>
    <xf numFmtId="0" fontId="0" fillId="5" borderId="17" xfId="0" applyFill="1" applyBorder="1"/>
    <xf numFmtId="0" fontId="0" fillId="5" borderId="28" xfId="0" applyFill="1" applyBorder="1"/>
    <xf numFmtId="0" fontId="3" fillId="0" borderId="16" xfId="0" applyFont="1" applyBorder="1" applyAlignment="1">
      <alignment horizontal="right" vertical="center" wrapText="1" shrinkToFit="1"/>
    </xf>
    <xf numFmtId="0" fontId="3" fillId="4" borderId="22" xfId="0" applyFont="1" applyFill="1" applyBorder="1"/>
    <xf numFmtId="0" fontId="3" fillId="9" borderId="18" xfId="0" applyFont="1" applyFill="1" applyBorder="1"/>
    <xf numFmtId="43" fontId="3" fillId="7" borderId="18" xfId="0" applyNumberFormat="1" applyFont="1" applyFill="1" applyBorder="1"/>
    <xf numFmtId="43" fontId="3" fillId="7" borderId="21" xfId="0" applyNumberFormat="1" applyFont="1" applyFill="1" applyBorder="1"/>
    <xf numFmtId="43" fontId="3" fillId="4" borderId="18" xfId="0" applyNumberFormat="1" applyFont="1" applyFill="1" applyBorder="1"/>
    <xf numFmtId="43" fontId="3" fillId="4" borderId="21" xfId="0" applyNumberFormat="1" applyFont="1" applyFill="1" applyBorder="1"/>
    <xf numFmtId="0" fontId="3" fillId="4" borderId="23" xfId="0" applyFont="1" applyFill="1" applyBorder="1"/>
    <xf numFmtId="43" fontId="0" fillId="9" borderId="21" xfId="1" applyFont="1" applyFill="1" applyBorder="1"/>
    <xf numFmtId="43" fontId="0" fillId="9" borderId="18" xfId="1" applyFont="1" applyFill="1" applyBorder="1"/>
    <xf numFmtId="43" fontId="0" fillId="0" borderId="21" xfId="1" applyFont="1" applyBorder="1"/>
    <xf numFmtId="43" fontId="0" fillId="4" borderId="21" xfId="1" applyFont="1" applyFill="1" applyBorder="1"/>
    <xf numFmtId="43" fontId="3" fillId="9" borderId="8" xfId="0" applyNumberFormat="1" applyFont="1" applyFill="1" applyBorder="1"/>
    <xf numFmtId="43" fontId="3" fillId="9" borderId="21" xfId="0" applyNumberFormat="1" applyFont="1" applyFill="1" applyBorder="1"/>
    <xf numFmtId="43" fontId="0" fillId="17" borderId="18" xfId="1" applyFont="1" applyFill="1" applyBorder="1"/>
    <xf numFmtId="43" fontId="0" fillId="17" borderId="8" xfId="1" applyFont="1" applyFill="1" applyBorder="1"/>
    <xf numFmtId="43" fontId="0" fillId="17" borderId="21" xfId="1" applyFont="1" applyFill="1" applyBorder="1"/>
    <xf numFmtId="0" fontId="3" fillId="17" borderId="18" xfId="0" applyFont="1" applyFill="1" applyBorder="1"/>
    <xf numFmtId="0" fontId="3" fillId="17" borderId="8" xfId="0" applyFont="1" applyFill="1" applyBorder="1"/>
    <xf numFmtId="0" fontId="3" fillId="17" borderId="21" xfId="0" applyFont="1" applyFill="1" applyBorder="1"/>
    <xf numFmtId="0" fontId="3" fillId="17" borderId="13" xfId="0" applyFont="1" applyFill="1" applyBorder="1"/>
    <xf numFmtId="0" fontId="3" fillId="17" borderId="14" xfId="0" applyFont="1" applyFill="1" applyBorder="1"/>
    <xf numFmtId="43" fontId="3" fillId="6" borderId="8" xfId="0" applyNumberFormat="1" applyFont="1" applyFill="1" applyBorder="1"/>
    <xf numFmtId="43" fontId="3" fillId="6" borderId="21" xfId="0" applyNumberFormat="1" applyFont="1" applyFill="1" applyBorder="1"/>
    <xf numFmtId="43" fontId="0" fillId="17" borderId="39" xfId="1" applyFont="1" applyFill="1" applyBorder="1"/>
    <xf numFmtId="43" fontId="0" fillId="17" borderId="22" xfId="1" applyFont="1" applyFill="1" applyBorder="1"/>
    <xf numFmtId="43" fontId="0" fillId="17" borderId="23" xfId="1" applyFont="1" applyFill="1" applyBorder="1"/>
    <xf numFmtId="43" fontId="0" fillId="2" borderId="32" xfId="1" applyFont="1" applyFill="1" applyBorder="1"/>
    <xf numFmtId="43" fontId="0" fillId="2" borderId="34" xfId="1" applyFont="1" applyFill="1" applyBorder="1"/>
    <xf numFmtId="0" fontId="0" fillId="9" borderId="52" xfId="0" applyFill="1" applyBorder="1"/>
    <xf numFmtId="0" fontId="3" fillId="6" borderId="17" xfId="0" applyFont="1" applyFill="1" applyBorder="1"/>
    <xf numFmtId="0" fontId="0" fillId="6" borderId="57" xfId="0" applyFill="1" applyBorder="1"/>
    <xf numFmtId="0" fontId="0" fillId="0" borderId="52" xfId="0" applyBorder="1" applyAlignment="1">
      <alignment wrapText="1"/>
    </xf>
    <xf numFmtId="0" fontId="0" fillId="0" borderId="17" xfId="0" applyBorder="1" applyAlignment="1">
      <alignment wrapText="1"/>
    </xf>
    <xf numFmtId="0" fontId="0" fillId="0" borderId="60" xfId="0" applyBorder="1" applyAlignment="1">
      <alignment wrapText="1"/>
    </xf>
    <xf numFmtId="0" fontId="0" fillId="0" borderId="28" xfId="0" applyBorder="1" applyAlignment="1">
      <alignment wrapText="1"/>
    </xf>
    <xf numFmtId="0" fontId="0" fillId="2" borderId="0" xfId="0" applyFill="1" applyAlignment="1">
      <alignment horizontal="center" wrapText="1"/>
    </xf>
    <xf numFmtId="43" fontId="0" fillId="6" borderId="34" xfId="1" applyFont="1" applyFill="1" applyBorder="1"/>
    <xf numFmtId="43" fontId="0" fillId="6" borderId="37" xfId="1" applyFont="1" applyFill="1" applyBorder="1"/>
    <xf numFmtId="0" fontId="3" fillId="9" borderId="5" xfId="0" applyFont="1" applyFill="1" applyBorder="1"/>
    <xf numFmtId="43" fontId="3" fillId="9" borderId="10" xfId="0" applyNumberFormat="1" applyFont="1" applyFill="1" applyBorder="1"/>
    <xf numFmtId="0" fontId="3" fillId="9" borderId="9" xfId="0" applyFont="1" applyFill="1" applyBorder="1"/>
    <xf numFmtId="0" fontId="3" fillId="6" borderId="32" xfId="0" applyFont="1" applyFill="1" applyBorder="1"/>
    <xf numFmtId="43" fontId="3" fillId="6" borderId="34" xfId="0" applyNumberFormat="1" applyFont="1" applyFill="1" applyBorder="1"/>
    <xf numFmtId="43" fontId="3" fillId="6" borderId="37" xfId="0" applyNumberFormat="1" applyFont="1" applyFill="1" applyBorder="1"/>
    <xf numFmtId="0" fontId="0" fillId="9" borderId="18" xfId="0" applyFill="1" applyBorder="1"/>
    <xf numFmtId="165" fontId="3" fillId="9" borderId="18" xfId="1" applyNumberFormat="1" applyFont="1" applyFill="1" applyBorder="1"/>
    <xf numFmtId="165" fontId="3" fillId="9" borderId="8" xfId="1" applyNumberFormat="1" applyFont="1" applyFill="1" applyBorder="1"/>
    <xf numFmtId="165" fontId="0" fillId="16" borderId="18" xfId="0" applyNumberFormat="1" applyFill="1" applyBorder="1"/>
    <xf numFmtId="165" fontId="0" fillId="16" borderId="8" xfId="0" applyNumberFormat="1" applyFill="1" applyBorder="1"/>
    <xf numFmtId="165" fontId="3" fillId="7" borderId="18" xfId="1" applyNumberFormat="1" applyFont="1" applyFill="1" applyBorder="1"/>
    <xf numFmtId="165" fontId="3" fillId="7" borderId="8" xfId="1" applyNumberFormat="1" applyFont="1" applyFill="1" applyBorder="1"/>
    <xf numFmtId="165" fontId="0" fillId="4" borderId="8" xfId="0" applyNumberFormat="1" applyFill="1" applyBorder="1"/>
    <xf numFmtId="165" fontId="3" fillId="6" borderId="18" xfId="1" applyNumberFormat="1" applyFont="1" applyFill="1" applyBorder="1"/>
    <xf numFmtId="165" fontId="3" fillId="2" borderId="18" xfId="1" applyNumberFormat="1" applyFont="1" applyFill="1" applyBorder="1"/>
    <xf numFmtId="165" fontId="3" fillId="2" borderId="8" xfId="1" applyNumberFormat="1" applyFont="1" applyFill="1" applyBorder="1"/>
    <xf numFmtId="165" fontId="0" fillId="16" borderId="32" xfId="0" applyNumberFormat="1" applyFill="1" applyBorder="1"/>
    <xf numFmtId="165" fontId="0" fillId="16" borderId="34" xfId="0" applyNumberFormat="1" applyFill="1" applyBorder="1"/>
    <xf numFmtId="0" fontId="0" fillId="3" borderId="8" xfId="0" applyFill="1" applyBorder="1"/>
    <xf numFmtId="0" fontId="0" fillId="3" borderId="8" xfId="0" applyFill="1" applyBorder="1" applyAlignment="1">
      <alignment wrapText="1"/>
    </xf>
    <xf numFmtId="0" fontId="0" fillId="12" borderId="8" xfId="0" applyFill="1" applyBorder="1" applyAlignment="1">
      <alignment wrapText="1"/>
    </xf>
    <xf numFmtId="0" fontId="0" fillId="15" borderId="8" xfId="0" applyFill="1" applyBorder="1" applyAlignment="1">
      <alignment horizontal="right" wrapText="1"/>
    </xf>
    <xf numFmtId="0" fontId="0" fillId="0" borderId="18" xfId="0" applyBorder="1" applyAlignment="1">
      <alignment horizontal="center" vertical="center"/>
    </xf>
    <xf numFmtId="0" fontId="0" fillId="13" borderId="18" xfId="0" applyFill="1" applyBorder="1" applyAlignment="1">
      <alignment wrapText="1"/>
    </xf>
    <xf numFmtId="0" fontId="0" fillId="13" borderId="21" xfId="0" applyFill="1" applyBorder="1" applyAlignment="1">
      <alignment horizontal="right" wrapText="1"/>
    </xf>
    <xf numFmtId="0" fontId="0" fillId="8" borderId="18" xfId="0" applyFill="1" applyBorder="1"/>
    <xf numFmtId="0" fontId="0" fillId="15" borderId="18" xfId="0" applyFill="1" applyBorder="1" applyAlignment="1">
      <alignment wrapText="1"/>
    </xf>
    <xf numFmtId="0" fontId="0" fillId="6" borderId="32" xfId="0" applyFill="1" applyBorder="1"/>
    <xf numFmtId="0" fontId="3" fillId="14" borderId="18" xfId="0" applyFont="1" applyFill="1" applyBorder="1" applyAlignment="1">
      <alignment horizontal="right" wrapText="1"/>
    </xf>
    <xf numFmtId="0" fontId="3" fillId="15" borderId="18" xfId="0" applyFont="1" applyFill="1" applyBorder="1" applyAlignment="1">
      <alignment horizontal="right" wrapText="1"/>
    </xf>
    <xf numFmtId="0" fontId="0" fillId="3" borderId="21" xfId="0" applyFill="1" applyBorder="1"/>
    <xf numFmtId="0" fontId="0" fillId="3" borderId="18" xfId="0" applyFill="1" applyBorder="1"/>
    <xf numFmtId="0" fontId="0" fillId="3" borderId="34" xfId="0" applyFill="1" applyBorder="1"/>
    <xf numFmtId="0" fontId="0" fillId="3" borderId="37" xfId="0" applyFill="1" applyBorder="1"/>
    <xf numFmtId="0" fontId="0" fillId="3" borderId="32" xfId="0" applyFill="1" applyBorder="1"/>
    <xf numFmtId="0" fontId="0" fillId="3" borderId="18" xfId="0" applyFill="1" applyBorder="1" applyAlignment="1">
      <alignment wrapText="1"/>
    </xf>
    <xf numFmtId="0" fontId="0" fillId="4" borderId="8" xfId="0" applyFill="1" applyBorder="1" applyAlignment="1">
      <alignment horizontal="right" wrapText="1"/>
    </xf>
    <xf numFmtId="0" fontId="0" fillId="3" borderId="11" xfId="0" applyFill="1" applyBorder="1"/>
    <xf numFmtId="0" fontId="3" fillId="3" borderId="18" xfId="0" applyFont="1" applyFill="1" applyBorder="1"/>
    <xf numFmtId="0" fontId="3" fillId="3" borderId="8" xfId="0" applyFont="1" applyFill="1" applyBorder="1"/>
    <xf numFmtId="43" fontId="0" fillId="10" borderId="8" xfId="1" applyFont="1" applyFill="1" applyBorder="1"/>
    <xf numFmtId="43" fontId="0" fillId="10" borderId="21" xfId="1" applyFont="1" applyFill="1" applyBorder="1"/>
    <xf numFmtId="0" fontId="3" fillId="6" borderId="18" xfId="0" applyFont="1" applyFill="1" applyBorder="1" applyAlignment="1">
      <alignment wrapText="1"/>
    </xf>
    <xf numFmtId="0" fontId="3" fillId="0" borderId="18" xfId="0" applyFont="1" applyBorder="1" applyAlignment="1">
      <alignment wrapText="1"/>
    </xf>
    <xf numFmtId="0" fontId="0" fillId="9" borderId="39" xfId="0" applyFill="1" applyBorder="1"/>
    <xf numFmtId="43" fontId="0" fillId="2" borderId="22" xfId="1" applyFont="1" applyFill="1" applyBorder="1"/>
    <xf numFmtId="43" fontId="0" fillId="2" borderId="39" xfId="1" applyFont="1" applyFill="1" applyBorder="1"/>
    <xf numFmtId="0" fontId="0" fillId="0" borderId="34" xfId="0" applyBorder="1" applyAlignment="1">
      <alignment horizontal="center" wrapText="1"/>
    </xf>
    <xf numFmtId="0" fontId="0" fillId="2" borderId="37" xfId="0" applyFill="1" applyBorder="1" applyAlignment="1">
      <alignment horizontal="center" vertical="center"/>
    </xf>
    <xf numFmtId="43" fontId="0" fillId="7" borderId="22" xfId="1" applyFont="1" applyFill="1" applyBorder="1"/>
    <xf numFmtId="43" fontId="0" fillId="2" borderId="38" xfId="1" applyFont="1" applyFill="1" applyBorder="1"/>
    <xf numFmtId="0" fontId="3" fillId="7" borderId="39" xfId="1" applyNumberFormat="1" applyFont="1" applyFill="1" applyBorder="1" applyAlignment="1">
      <alignment wrapText="1"/>
    </xf>
    <xf numFmtId="0" fontId="0" fillId="7" borderId="22" xfId="0" applyFill="1" applyBorder="1"/>
    <xf numFmtId="43" fontId="0" fillId="7" borderId="23" xfId="1" applyFont="1" applyFill="1" applyBorder="1"/>
    <xf numFmtId="43" fontId="0" fillId="2" borderId="62" xfId="1" applyFont="1" applyFill="1" applyBorder="1" applyAlignment="1">
      <alignment horizontal="left" vertical="top" wrapText="1"/>
    </xf>
    <xf numFmtId="0" fontId="0" fillId="0" borderId="39" xfId="0" applyBorder="1"/>
    <xf numFmtId="0" fontId="0" fillId="6" borderId="22" xfId="0" applyFill="1" applyBorder="1"/>
    <xf numFmtId="0" fontId="0" fillId="0" borderId="22" xfId="0" applyBorder="1"/>
    <xf numFmtId="0" fontId="0" fillId="6" borderId="38" xfId="0" applyFill="1" applyBorder="1"/>
    <xf numFmtId="0" fontId="3" fillId="6" borderId="39" xfId="0" applyFont="1" applyFill="1" applyBorder="1"/>
    <xf numFmtId="0" fontId="3" fillId="6" borderId="22" xfId="0" applyFont="1" applyFill="1" applyBorder="1"/>
    <xf numFmtId="0" fontId="3" fillId="6" borderId="23" xfId="0" applyFont="1" applyFill="1" applyBorder="1"/>
    <xf numFmtId="43" fontId="0" fillId="2" borderId="62" xfId="1" applyFont="1" applyFill="1" applyBorder="1" applyAlignment="1">
      <alignment wrapText="1"/>
    </xf>
    <xf numFmtId="0" fontId="0" fillId="0" borderId="32" xfId="0" applyBorder="1" applyAlignment="1">
      <alignment horizontal="center" vertical="center" wrapText="1"/>
    </xf>
    <xf numFmtId="0" fontId="0" fillId="2" borderId="28" xfId="0" applyFill="1" applyBorder="1" applyAlignment="1">
      <alignment horizontal="center" vertical="center" wrapText="1"/>
    </xf>
    <xf numFmtId="0" fontId="0" fillId="4" borderId="38" xfId="0" applyFill="1" applyBorder="1"/>
    <xf numFmtId="0" fontId="3" fillId="4" borderId="39" xfId="0" applyFont="1" applyFill="1" applyBorder="1"/>
    <xf numFmtId="43" fontId="0" fillId="11" borderId="38" xfId="1" applyFont="1" applyFill="1" applyBorder="1"/>
    <xf numFmtId="0" fontId="3" fillId="11" borderId="39" xfId="1" applyNumberFormat="1" applyFont="1" applyFill="1" applyBorder="1"/>
    <xf numFmtId="0" fontId="3" fillId="11" borderId="22" xfId="1" applyNumberFormat="1" applyFont="1" applyFill="1" applyBorder="1"/>
    <xf numFmtId="0" fontId="3" fillId="11" borderId="23" xfId="1" applyNumberFormat="1" applyFont="1" applyFill="1" applyBorder="1"/>
    <xf numFmtId="0" fontId="0" fillId="7" borderId="62" xfId="0" applyFill="1" applyBorder="1"/>
    <xf numFmtId="0" fontId="0" fillId="2" borderId="28" xfId="0" applyFill="1" applyBorder="1" applyAlignment="1">
      <alignment horizontal="center" vertical="center" wrapText="1" shrinkToFit="1"/>
    </xf>
    <xf numFmtId="43" fontId="0" fillId="7" borderId="39" xfId="1" applyFont="1" applyFill="1" applyBorder="1"/>
    <xf numFmtId="43" fontId="0" fillId="6" borderId="22" xfId="1" applyFont="1" applyFill="1" applyBorder="1"/>
    <xf numFmtId="43" fontId="0" fillId="9" borderId="23" xfId="1" applyFont="1" applyFill="1" applyBorder="1"/>
    <xf numFmtId="165" fontId="3" fillId="7" borderId="39" xfId="1" applyNumberFormat="1" applyFont="1" applyFill="1" applyBorder="1"/>
    <xf numFmtId="165" fontId="3" fillId="9" borderId="22" xfId="1" applyNumberFormat="1" applyFont="1" applyFill="1" applyBorder="1"/>
    <xf numFmtId="0" fontId="0" fillId="10" borderId="35" xfId="0" applyFill="1" applyBorder="1"/>
    <xf numFmtId="0" fontId="0" fillId="3" borderId="52" xfId="0" applyFill="1" applyBorder="1" applyAlignment="1">
      <alignment horizontal="center" vertical="center" wrapText="1"/>
    </xf>
    <xf numFmtId="0" fontId="0" fillId="0" borderId="62" xfId="0" applyBorder="1" applyAlignment="1">
      <alignment wrapText="1"/>
    </xf>
    <xf numFmtId="0" fontId="3" fillId="3" borderId="2" xfId="0" applyFont="1" applyFill="1" applyBorder="1"/>
    <xf numFmtId="0" fontId="0" fillId="3" borderId="2" xfId="0" applyFill="1" applyBorder="1" applyAlignment="1">
      <alignment wrapText="1"/>
    </xf>
    <xf numFmtId="0" fontId="0" fillId="3" borderId="35" xfId="0" applyFill="1" applyBorder="1"/>
    <xf numFmtId="0" fontId="0" fillId="0" borderId="51" xfId="0" applyBorder="1" applyAlignment="1">
      <alignment wrapText="1"/>
    </xf>
    <xf numFmtId="0" fontId="0" fillId="3" borderId="17" xfId="0" applyFill="1" applyBorder="1"/>
    <xf numFmtId="0" fontId="0" fillId="3" borderId="17" xfId="0" applyFill="1" applyBorder="1" applyAlignment="1">
      <alignment wrapText="1"/>
    </xf>
    <xf numFmtId="0" fontId="0" fillId="3" borderId="28" xfId="0" applyFill="1" applyBorder="1"/>
    <xf numFmtId="165" fontId="3" fillId="9" borderId="38" xfId="1" applyNumberFormat="1" applyFont="1" applyFill="1" applyBorder="1"/>
    <xf numFmtId="165" fontId="0" fillId="16" borderId="2" xfId="0" applyNumberFormat="1" applyFill="1" applyBorder="1"/>
    <xf numFmtId="165" fontId="3" fillId="7" borderId="2" xfId="1" applyNumberFormat="1" applyFont="1" applyFill="1" applyBorder="1"/>
    <xf numFmtId="165" fontId="0" fillId="4" borderId="2" xfId="0" applyNumberFormat="1" applyFill="1" applyBorder="1"/>
    <xf numFmtId="165" fontId="3" fillId="9" borderId="2" xfId="1" applyNumberFormat="1" applyFont="1" applyFill="1" applyBorder="1"/>
    <xf numFmtId="165" fontId="3" fillId="2" borderId="2" xfId="1" applyNumberFormat="1" applyFont="1" applyFill="1" applyBorder="1"/>
    <xf numFmtId="165" fontId="3" fillId="7" borderId="11" xfId="1" applyNumberFormat="1" applyFont="1" applyFill="1" applyBorder="1"/>
    <xf numFmtId="165" fontId="0" fillId="16" borderId="35" xfId="0" applyNumberFormat="1" applyFill="1" applyBorder="1"/>
    <xf numFmtId="0" fontId="0" fillId="16" borderId="28" xfId="0" applyFill="1" applyBorder="1"/>
    <xf numFmtId="0" fontId="3" fillId="16" borderId="18" xfId="0" applyFont="1" applyFill="1" applyBorder="1" applyAlignment="1">
      <alignment wrapText="1"/>
    </xf>
    <xf numFmtId="0" fontId="3" fillId="16" borderId="8" xfId="0" applyFont="1" applyFill="1" applyBorder="1" applyAlignment="1">
      <alignment wrapText="1"/>
    </xf>
    <xf numFmtId="0" fontId="3" fillId="16" borderId="2" xfId="0" applyFont="1" applyFill="1" applyBorder="1" applyAlignment="1">
      <alignment wrapText="1"/>
    </xf>
    <xf numFmtId="165" fontId="3" fillId="5" borderId="18" xfId="1" applyNumberFormat="1" applyFont="1" applyFill="1" applyBorder="1"/>
    <xf numFmtId="165" fontId="3" fillId="5" borderId="8" xfId="1" applyNumberFormat="1" applyFont="1" applyFill="1" applyBorder="1"/>
    <xf numFmtId="165" fontId="3" fillId="5" borderId="2" xfId="1" applyNumberFormat="1" applyFont="1" applyFill="1" applyBorder="1"/>
    <xf numFmtId="2" fontId="0" fillId="4" borderId="8" xfId="0" applyNumberFormat="1" applyFill="1" applyBorder="1" applyAlignment="1">
      <alignment horizontal="right" wrapText="1"/>
    </xf>
    <xf numFmtId="2" fontId="0" fillId="12" borderId="8" xfId="0" applyNumberFormat="1" applyFill="1" applyBorder="1" applyAlignment="1">
      <alignment wrapText="1"/>
    </xf>
    <xf numFmtId="2" fontId="0" fillId="13" borderId="21" xfId="0" applyNumberFormat="1" applyFill="1" applyBorder="1" applyAlignment="1">
      <alignment horizontal="right" wrapText="1"/>
    </xf>
    <xf numFmtId="2" fontId="3" fillId="14" borderId="11" xfId="0" applyNumberFormat="1" applyFont="1" applyFill="1" applyBorder="1" applyAlignment="1">
      <alignment horizontal="right" wrapText="1"/>
    </xf>
    <xf numFmtId="2" fontId="3" fillId="14" borderId="8" xfId="0" applyNumberFormat="1" applyFont="1" applyFill="1" applyBorder="1" applyAlignment="1">
      <alignment horizontal="right" wrapText="1"/>
    </xf>
    <xf numFmtId="2" fontId="3" fillId="14" borderId="2" xfId="0" applyNumberFormat="1" applyFont="1" applyFill="1" applyBorder="1" applyAlignment="1">
      <alignment horizontal="right" wrapText="1"/>
    </xf>
    <xf numFmtId="2" fontId="0" fillId="2" borderId="21" xfId="0" applyNumberFormat="1" applyFill="1" applyBorder="1" applyAlignment="1">
      <alignment wrapText="1"/>
    </xf>
    <xf numFmtId="0" fontId="0" fillId="6" borderId="8" xfId="0" applyFill="1" applyBorder="1" applyAlignment="1">
      <alignment horizontal="right" wrapText="1"/>
    </xf>
    <xf numFmtId="0" fontId="3" fillId="6" borderId="8" xfId="0" applyFont="1" applyFill="1" applyBorder="1" applyAlignment="1">
      <alignment horizontal="right" wrapText="1"/>
    </xf>
    <xf numFmtId="0" fontId="3" fillId="6" borderId="2" xfId="0" applyFont="1" applyFill="1" applyBorder="1" applyAlignment="1">
      <alignment horizontal="right" wrapText="1"/>
    </xf>
    <xf numFmtId="0" fontId="0" fillId="6" borderId="21" xfId="0" applyFill="1" applyBorder="1" applyAlignment="1">
      <alignment horizontal="right" wrapText="1"/>
    </xf>
    <xf numFmtId="2" fontId="0" fillId="6" borderId="21" xfId="0" applyNumberFormat="1" applyFill="1" applyBorder="1" applyAlignment="1">
      <alignment horizontal="right" wrapText="1"/>
    </xf>
    <xf numFmtId="2" fontId="0" fillId="6" borderId="8" xfId="0" applyNumberFormat="1" applyFill="1" applyBorder="1" applyAlignment="1">
      <alignment horizontal="right" wrapText="1"/>
    </xf>
    <xf numFmtId="0" fontId="3" fillId="7" borderId="18" xfId="0" applyFont="1" applyFill="1" applyBorder="1" applyAlignment="1">
      <alignment horizontal="right" wrapText="1"/>
    </xf>
    <xf numFmtId="0" fontId="3" fillId="7" borderId="11" xfId="0" applyFont="1" applyFill="1" applyBorder="1" applyAlignment="1">
      <alignment horizontal="right" wrapText="1"/>
    </xf>
    <xf numFmtId="0" fontId="0" fillId="7" borderId="21" xfId="0" applyFill="1" applyBorder="1" applyAlignment="1">
      <alignment horizontal="right" wrapText="1"/>
    </xf>
    <xf numFmtId="0" fontId="0" fillId="7" borderId="8" xfId="0" applyFill="1" applyBorder="1" applyAlignment="1">
      <alignment horizontal="right" wrapText="1"/>
    </xf>
    <xf numFmtId="0" fontId="3" fillId="6" borderId="39" xfId="0" applyFont="1" applyFill="1" applyBorder="1" applyAlignment="1">
      <alignment horizontal="right" wrapText="1"/>
    </xf>
    <xf numFmtId="0" fontId="3" fillId="6" borderId="23" xfId="0" applyFont="1" applyFill="1" applyBorder="1" applyAlignment="1">
      <alignment horizontal="right" wrapText="1"/>
    </xf>
    <xf numFmtId="0" fontId="3" fillId="6" borderId="67" xfId="0" applyFont="1" applyFill="1" applyBorder="1" applyAlignment="1">
      <alignment horizontal="right" wrapText="1"/>
    </xf>
    <xf numFmtId="2" fontId="3" fillId="6" borderId="11" xfId="0" applyNumberFormat="1" applyFont="1" applyFill="1" applyBorder="1" applyAlignment="1">
      <alignment horizontal="right" wrapText="1"/>
    </xf>
    <xf numFmtId="2" fontId="0" fillId="7" borderId="8" xfId="0" applyNumberFormat="1" applyFill="1" applyBorder="1" applyAlignment="1">
      <alignment horizontal="right" wrapText="1"/>
    </xf>
    <xf numFmtId="2" fontId="0" fillId="7" borderId="21" xfId="0" applyNumberFormat="1" applyFill="1" applyBorder="1" applyAlignment="1">
      <alignment horizontal="right" wrapText="1"/>
    </xf>
    <xf numFmtId="2" fontId="3" fillId="7" borderId="11" xfId="0" applyNumberFormat="1" applyFont="1" applyFill="1" applyBorder="1" applyAlignment="1">
      <alignment horizontal="right" wrapText="1"/>
    </xf>
    <xf numFmtId="2" fontId="3" fillId="7" borderId="8" xfId="0" applyNumberFormat="1" applyFont="1" applyFill="1" applyBorder="1" applyAlignment="1">
      <alignment horizontal="right" wrapText="1"/>
    </xf>
    <xf numFmtId="2" fontId="3" fillId="7" borderId="2" xfId="0" applyNumberFormat="1" applyFont="1" applyFill="1" applyBorder="1" applyAlignment="1">
      <alignment horizontal="right" wrapText="1"/>
    </xf>
    <xf numFmtId="0" fontId="3" fillId="6" borderId="18" xfId="0" applyFont="1" applyFill="1" applyBorder="1" applyAlignment="1">
      <alignment horizontal="right" wrapText="1"/>
    </xf>
    <xf numFmtId="0" fontId="3" fillId="6" borderId="11" xfId="0" applyFont="1" applyFill="1" applyBorder="1" applyAlignment="1">
      <alignment horizontal="right" wrapText="1"/>
    </xf>
    <xf numFmtId="0" fontId="0" fillId="9" borderId="18" xfId="0" applyFill="1" applyBorder="1" applyAlignment="1">
      <alignment wrapText="1"/>
    </xf>
    <xf numFmtId="43" fontId="0" fillId="9" borderId="22" xfId="1" applyFont="1" applyFill="1" applyBorder="1"/>
    <xf numFmtId="43" fontId="3" fillId="6" borderId="2" xfId="1" applyFont="1" applyFill="1" applyBorder="1"/>
    <xf numFmtId="0" fontId="3" fillId="5" borderId="18" xfId="0" applyFont="1" applyFill="1" applyBorder="1" applyAlignment="1">
      <alignment wrapText="1"/>
    </xf>
    <xf numFmtId="0" fontId="3" fillId="5" borderId="8" xfId="0" applyFont="1" applyFill="1" applyBorder="1" applyAlignment="1">
      <alignment wrapText="1"/>
    </xf>
    <xf numFmtId="0" fontId="3" fillId="5" borderId="2" xfId="0" applyFont="1" applyFill="1" applyBorder="1" applyAlignment="1">
      <alignment wrapText="1"/>
    </xf>
    <xf numFmtId="0" fontId="0" fillId="2" borderId="50" xfId="0" applyFill="1" applyBorder="1"/>
    <xf numFmtId="0" fontId="3" fillId="5" borderId="52" xfId="0" applyFont="1" applyFill="1" applyBorder="1" applyAlignment="1">
      <alignment horizontal="center" vertical="center" wrapText="1"/>
    </xf>
    <xf numFmtId="43" fontId="0" fillId="0" borderId="17" xfId="1" applyFont="1" applyFill="1" applyBorder="1"/>
    <xf numFmtId="43" fontId="0" fillId="0" borderId="22" xfId="1" applyFont="1" applyBorder="1"/>
    <xf numFmtId="0" fontId="0" fillId="0" borderId="34" xfId="0" applyBorder="1" applyAlignment="1">
      <alignment horizontal="center" vertical="center" wrapText="1"/>
    </xf>
    <xf numFmtId="43" fontId="0" fillId="0" borderId="39" xfId="1" applyFont="1" applyBorder="1"/>
    <xf numFmtId="0" fontId="0" fillId="0" borderId="34" xfId="0" applyBorder="1" applyAlignment="1">
      <alignment horizontal="center" vertical="center" wrapText="1" shrinkToFit="1"/>
    </xf>
    <xf numFmtId="0" fontId="0" fillId="2" borderId="34" xfId="0" applyFill="1" applyBorder="1" applyAlignment="1">
      <alignment horizontal="center" vertical="center" wrapText="1" shrinkToFit="1"/>
    </xf>
    <xf numFmtId="43" fontId="3" fillId="4" borderId="21" xfId="1" applyFont="1" applyFill="1" applyBorder="1"/>
    <xf numFmtId="43" fontId="3" fillId="6" borderId="21" xfId="1" applyFont="1" applyFill="1" applyBorder="1"/>
    <xf numFmtId="0" fontId="3" fillId="2" borderId="0" xfId="0" applyFont="1" applyFill="1" applyAlignment="1">
      <alignment wrapText="1"/>
    </xf>
    <xf numFmtId="43" fontId="0" fillId="0" borderId="17" xfId="1" applyFont="1" applyFill="1" applyBorder="1" applyAlignment="1">
      <alignment wrapText="1"/>
    </xf>
    <xf numFmtId="0" fontId="0" fillId="0" borderId="28" xfId="0" applyBorder="1" applyAlignment="1">
      <alignment horizontal="center" vertical="center" wrapText="1"/>
    </xf>
    <xf numFmtId="0" fontId="0" fillId="0" borderId="30" xfId="0" applyBorder="1" applyAlignment="1">
      <alignment horizontal="center" vertical="center" wrapText="1"/>
    </xf>
    <xf numFmtId="0" fontId="0" fillId="0" borderId="36" xfId="0" applyBorder="1" applyAlignment="1">
      <alignment horizontal="center" vertical="center" wrapText="1"/>
    </xf>
    <xf numFmtId="0" fontId="0" fillId="6" borderId="18" xfId="0" applyFill="1" applyBorder="1" applyAlignment="1">
      <alignment wrapText="1"/>
    </xf>
    <xf numFmtId="0" fontId="3" fillId="4" borderId="18" xfId="0" applyFont="1" applyFill="1" applyBorder="1" applyAlignment="1">
      <alignment wrapText="1"/>
    </xf>
    <xf numFmtId="0" fontId="3" fillId="7" borderId="18" xfId="0" applyFont="1" applyFill="1" applyBorder="1" applyAlignment="1">
      <alignment wrapText="1"/>
    </xf>
    <xf numFmtId="0" fontId="0" fillId="6" borderId="5" xfId="0" applyFill="1" applyBorder="1"/>
    <xf numFmtId="0" fontId="3" fillId="0" borderId="21" xfId="0" applyFont="1" applyBorder="1" applyAlignment="1">
      <alignment wrapText="1"/>
    </xf>
    <xf numFmtId="0" fontId="0" fillId="4" borderId="21" xfId="0" applyFill="1" applyBorder="1"/>
    <xf numFmtId="0" fontId="0" fillId="4" borderId="5" xfId="0" applyFill="1" applyBorder="1"/>
    <xf numFmtId="0" fontId="0" fillId="0" borderId="52" xfId="0" applyBorder="1"/>
    <xf numFmtId="0" fontId="3" fillId="0" borderId="5" xfId="0" applyFont="1" applyBorder="1" applyAlignment="1">
      <alignment horizontal="center" vertical="center" wrapText="1"/>
    </xf>
    <xf numFmtId="0" fontId="0" fillId="0" borderId="32" xfId="0" applyBorder="1" applyAlignment="1">
      <alignment horizontal="center" wrapText="1"/>
    </xf>
    <xf numFmtId="0" fontId="3" fillId="0" borderId="16" xfId="0" applyFont="1" applyBorder="1" applyAlignment="1">
      <alignment horizontal="center" vertical="center" wrapText="1" shrinkToFit="1"/>
    </xf>
    <xf numFmtId="0" fontId="0" fillId="0" borderId="34" xfId="0" applyBorder="1" applyAlignment="1">
      <alignment horizontal="center" vertical="center"/>
    </xf>
    <xf numFmtId="0" fontId="0" fillId="0" borderId="68" xfId="0" applyBorder="1" applyAlignment="1">
      <alignment horizontal="center" vertical="center" wrapText="1"/>
    </xf>
    <xf numFmtId="0" fontId="0" fillId="10" borderId="52" xfId="0" applyFill="1" applyBorder="1" applyAlignment="1">
      <alignment horizontal="center" vertical="center" wrapText="1"/>
    </xf>
    <xf numFmtId="0" fontId="0" fillId="0" borderId="16" xfId="0" applyBorder="1" applyAlignment="1">
      <alignment horizontal="center" vertical="center" wrapText="1" shrinkToFit="1"/>
    </xf>
    <xf numFmtId="0" fontId="0" fillId="6" borderId="22" xfId="0" applyFill="1" applyBorder="1" applyAlignment="1">
      <alignment horizontal="right" wrapText="1"/>
    </xf>
    <xf numFmtId="0" fontId="0" fillId="12" borderId="22" xfId="0" applyFill="1" applyBorder="1" applyAlignment="1">
      <alignment wrapText="1"/>
    </xf>
    <xf numFmtId="0" fontId="0" fillId="6" borderId="23" xfId="0" applyFill="1" applyBorder="1" applyAlignment="1">
      <alignment horizontal="right" wrapText="1"/>
    </xf>
    <xf numFmtId="0" fontId="0" fillId="0" borderId="64" xfId="0" applyBorder="1" applyAlignment="1">
      <alignment horizontal="center" vertical="center" wrapText="1" shrinkToFit="1"/>
    </xf>
    <xf numFmtId="0" fontId="0" fillId="0" borderId="1" xfId="0" applyBorder="1" applyAlignment="1">
      <alignment horizontal="center" vertical="center" wrapText="1"/>
    </xf>
    <xf numFmtId="0" fontId="0" fillId="0" borderId="72" xfId="0" applyBorder="1" applyAlignment="1">
      <alignment horizontal="right" wrapText="1" shrinkToFit="1"/>
    </xf>
    <xf numFmtId="43" fontId="0" fillId="2" borderId="66" xfId="1" applyFont="1" applyFill="1" applyBorder="1"/>
    <xf numFmtId="43" fontId="0" fillId="9" borderId="58" xfId="1" applyFont="1" applyFill="1" applyBorder="1"/>
    <xf numFmtId="43" fontId="0" fillId="2" borderId="58" xfId="1" applyFont="1" applyFill="1" applyBorder="1"/>
    <xf numFmtId="43" fontId="0" fillId="9" borderId="59" xfId="1" applyFont="1" applyFill="1" applyBorder="1"/>
    <xf numFmtId="0" fontId="0" fillId="2" borderId="12" xfId="0" applyFill="1" applyBorder="1" applyAlignment="1">
      <alignment horizontal="center" vertical="center" wrapText="1"/>
    </xf>
    <xf numFmtId="0" fontId="0" fillId="0" borderId="32" xfId="0" applyBorder="1" applyAlignment="1">
      <alignment horizontal="center" vertical="center"/>
    </xf>
    <xf numFmtId="0" fontId="0" fillId="0" borderId="37" xfId="0" applyBorder="1" applyAlignment="1">
      <alignment horizontal="center" vertical="center"/>
    </xf>
    <xf numFmtId="43" fontId="0" fillId="6" borderId="8" xfId="0" applyNumberFormat="1" applyFill="1" applyBorder="1"/>
    <xf numFmtId="0" fontId="0" fillId="16" borderId="24" xfId="0" applyFill="1" applyBorder="1" applyAlignment="1">
      <alignment wrapText="1"/>
    </xf>
    <xf numFmtId="0" fontId="0" fillId="16" borderId="26" xfId="0" applyFill="1" applyBorder="1"/>
    <xf numFmtId="43" fontId="0" fillId="16" borderId="18" xfId="1" applyFont="1" applyFill="1" applyBorder="1"/>
    <xf numFmtId="43" fontId="0" fillId="16" borderId="8" xfId="1" applyFont="1" applyFill="1" applyBorder="1"/>
    <xf numFmtId="43" fontId="0" fillId="7" borderId="17" xfId="1" applyFont="1" applyFill="1" applyBorder="1"/>
    <xf numFmtId="0" fontId="0" fillId="16" borderId="24" xfId="0" applyFill="1" applyBorder="1"/>
    <xf numFmtId="43" fontId="0" fillId="16" borderId="27" xfId="1" applyFont="1" applyFill="1" applyBorder="1" applyAlignment="1"/>
    <xf numFmtId="43" fontId="0" fillId="16" borderId="30" xfId="1" applyFont="1" applyFill="1" applyBorder="1" applyAlignment="1"/>
    <xf numFmtId="43" fontId="0" fillId="2" borderId="27" xfId="1" applyFont="1" applyFill="1" applyBorder="1" applyAlignment="1">
      <alignment wrapText="1"/>
    </xf>
    <xf numFmtId="43" fontId="0" fillId="2" borderId="27" xfId="1" applyFont="1" applyFill="1" applyBorder="1" applyAlignment="1">
      <alignment horizontal="center" wrapText="1"/>
    </xf>
    <xf numFmtId="43" fontId="0" fillId="3" borderId="18" xfId="1" applyFont="1" applyFill="1" applyBorder="1"/>
    <xf numFmtId="43" fontId="0" fillId="3" borderId="8" xfId="1" applyFont="1" applyFill="1" applyBorder="1"/>
    <xf numFmtId="43" fontId="0" fillId="3" borderId="21" xfId="1" applyFont="1" applyFill="1" applyBorder="1"/>
    <xf numFmtId="43" fontId="3" fillId="3" borderId="18" xfId="1" applyFont="1" applyFill="1" applyBorder="1"/>
    <xf numFmtId="0" fontId="0" fillId="3" borderId="46" xfId="0" applyFill="1" applyBorder="1"/>
    <xf numFmtId="0" fontId="0" fillId="3" borderId="26" xfId="0" applyFill="1" applyBorder="1"/>
    <xf numFmtId="0" fontId="0" fillId="3" borderId="61" xfId="0" applyFill="1" applyBorder="1"/>
    <xf numFmtId="43" fontId="0" fillId="3" borderId="17" xfId="1" applyFont="1" applyFill="1" applyBorder="1"/>
    <xf numFmtId="43" fontId="0" fillId="4" borderId="12" xfId="1" applyFont="1" applyFill="1" applyBorder="1"/>
    <xf numFmtId="43" fontId="3" fillId="3" borderId="8" xfId="1" applyFont="1" applyFill="1" applyBorder="1"/>
    <xf numFmtId="43" fontId="3" fillId="3" borderId="21" xfId="1" applyFont="1" applyFill="1" applyBorder="1"/>
    <xf numFmtId="43" fontId="0" fillId="3" borderId="32" xfId="1" applyFont="1" applyFill="1" applyBorder="1"/>
    <xf numFmtId="43" fontId="0" fillId="3" borderId="34" xfId="1" applyFont="1" applyFill="1" applyBorder="1"/>
    <xf numFmtId="43" fontId="0" fillId="3" borderId="37" xfId="1" applyFont="1" applyFill="1" applyBorder="1"/>
    <xf numFmtId="0" fontId="0" fillId="0" borderId="41" xfId="0" applyBorder="1"/>
    <xf numFmtId="0" fontId="0" fillId="0" borderId="42" xfId="0" applyBorder="1" applyAlignment="1">
      <alignment horizontal="center" vertical="center"/>
    </xf>
    <xf numFmtId="0" fontId="0" fillId="0" borderId="42" xfId="0" applyBorder="1" applyAlignment="1">
      <alignment horizontal="center" vertical="center" wrapText="1"/>
    </xf>
    <xf numFmtId="0" fontId="0" fillId="2" borderId="43" xfId="0" applyFill="1" applyBorder="1" applyAlignment="1">
      <alignment horizontal="center" vertical="center" wrapText="1" shrinkToFit="1"/>
    </xf>
    <xf numFmtId="0" fontId="3" fillId="3" borderId="18" xfId="1" applyNumberFormat="1" applyFont="1" applyFill="1" applyBorder="1"/>
    <xf numFmtId="0" fontId="3" fillId="3" borderId="8" xfId="1" applyNumberFormat="1" applyFont="1" applyFill="1" applyBorder="1"/>
    <xf numFmtId="0" fontId="3" fillId="3" borderId="21" xfId="1" applyNumberFormat="1" applyFont="1" applyFill="1" applyBorder="1"/>
    <xf numFmtId="43" fontId="0" fillId="3" borderId="17" xfId="1" applyFont="1" applyFill="1" applyBorder="1" applyAlignment="1">
      <alignment wrapText="1"/>
    </xf>
    <xf numFmtId="164" fontId="3" fillId="7" borderId="18" xfId="1" applyNumberFormat="1" applyFont="1" applyFill="1" applyBorder="1"/>
    <xf numFmtId="0" fontId="0" fillId="3" borderId="18" xfId="1" applyNumberFormat="1" applyFont="1" applyFill="1" applyBorder="1"/>
    <xf numFmtId="0" fontId="0" fillId="3" borderId="8" xfId="1" applyNumberFormat="1" applyFont="1" applyFill="1" applyBorder="1"/>
    <xf numFmtId="0" fontId="0" fillId="3" borderId="21" xfId="1" applyNumberFormat="1" applyFont="1" applyFill="1" applyBorder="1"/>
    <xf numFmtId="0" fontId="0" fillId="0" borderId="75" xfId="0" applyBorder="1" applyAlignment="1">
      <alignment wrapText="1"/>
    </xf>
    <xf numFmtId="0" fontId="0" fillId="0" borderId="76" xfId="0" applyBorder="1" applyAlignment="1">
      <alignment wrapText="1"/>
    </xf>
    <xf numFmtId="0" fontId="0" fillId="8" borderId="77" xfId="0" applyFill="1" applyBorder="1" applyAlignment="1">
      <alignment horizontal="center" vertical="center"/>
    </xf>
    <xf numFmtId="0" fontId="0" fillId="0" borderId="68" xfId="0" applyBorder="1" applyAlignment="1">
      <alignment horizontal="center" vertical="center"/>
    </xf>
    <xf numFmtId="0" fontId="0" fillId="0" borderId="78" xfId="0" applyBorder="1" applyAlignment="1">
      <alignment wrapText="1"/>
    </xf>
    <xf numFmtId="0" fontId="0" fillId="3" borderId="27" xfId="0" applyFill="1" applyBorder="1"/>
    <xf numFmtId="0" fontId="0" fillId="0" borderId="27" xfId="0" applyBorder="1"/>
    <xf numFmtId="0" fontId="0" fillId="3" borderId="36" xfId="0" applyFill="1" applyBorder="1"/>
    <xf numFmtId="43" fontId="0" fillId="6" borderId="10" xfId="0" applyNumberFormat="1" applyFill="1" applyBorder="1"/>
    <xf numFmtId="43" fontId="0" fillId="6" borderId="9" xfId="0" applyNumberFormat="1" applyFill="1" applyBorder="1"/>
    <xf numFmtId="43" fontId="3" fillId="4" borderId="17" xfId="1" applyFont="1" applyFill="1" applyBorder="1"/>
    <xf numFmtId="0" fontId="3" fillId="4" borderId="17" xfId="1" applyNumberFormat="1" applyFont="1" applyFill="1" applyBorder="1"/>
    <xf numFmtId="43" fontId="0" fillId="4" borderId="27" xfId="1" applyFont="1" applyFill="1" applyBorder="1"/>
    <xf numFmtId="0" fontId="0" fillId="3" borderId="32" xfId="1" applyNumberFormat="1" applyFont="1" applyFill="1" applyBorder="1"/>
    <xf numFmtId="0" fontId="0" fillId="3" borderId="34" xfId="1" applyNumberFormat="1" applyFont="1" applyFill="1" applyBorder="1"/>
    <xf numFmtId="0" fontId="0" fillId="3" borderId="37" xfId="1" applyNumberFormat="1" applyFont="1" applyFill="1" applyBorder="1"/>
    <xf numFmtId="0" fontId="0" fillId="0" borderId="5" xfId="1" applyNumberFormat="1" applyFont="1" applyBorder="1"/>
    <xf numFmtId="0" fontId="0" fillId="0" borderId="9" xfId="1" applyNumberFormat="1" applyFont="1" applyBorder="1"/>
    <xf numFmtId="0" fontId="3" fillId="0" borderId="21" xfId="1" applyNumberFormat="1" applyFont="1" applyBorder="1"/>
    <xf numFmtId="0" fontId="0" fillId="0" borderId="21" xfId="1" applyNumberFormat="1" applyFont="1" applyBorder="1"/>
    <xf numFmtId="43" fontId="0" fillId="0" borderId="38" xfId="1" applyFont="1" applyBorder="1"/>
    <xf numFmtId="43" fontId="0" fillId="3" borderId="2" xfId="1" applyFont="1" applyFill="1" applyBorder="1"/>
    <xf numFmtId="43" fontId="0" fillId="4" borderId="2" xfId="1" applyFont="1" applyFill="1" applyBorder="1"/>
    <xf numFmtId="43" fontId="0" fillId="3" borderId="27" xfId="1" applyFont="1" applyFill="1" applyBorder="1"/>
    <xf numFmtId="0" fontId="0" fillId="0" borderId="29" xfId="0" applyBorder="1" applyAlignment="1">
      <alignment horizontal="center" vertical="center"/>
    </xf>
    <xf numFmtId="0" fontId="0" fillId="0" borderId="13" xfId="0" applyBorder="1" applyAlignment="1">
      <alignment horizontal="center" vertical="center"/>
    </xf>
    <xf numFmtId="0" fontId="0" fillId="0" borderId="13" xfId="0" applyBorder="1" applyAlignment="1">
      <alignment horizontal="center" vertical="center" wrapText="1"/>
    </xf>
    <xf numFmtId="0" fontId="0" fillId="2" borderId="14" xfId="0" applyFill="1" applyBorder="1" applyAlignment="1">
      <alignment horizontal="center" vertical="center" wrapText="1" shrinkToFit="1"/>
    </xf>
    <xf numFmtId="0" fontId="0" fillId="0" borderId="60" xfId="0" applyBorder="1" applyAlignment="1">
      <alignment horizontal="center" vertical="center" wrapText="1"/>
    </xf>
    <xf numFmtId="43" fontId="0" fillId="0" borderId="5" xfId="1" applyFont="1" applyBorder="1"/>
    <xf numFmtId="43" fontId="0" fillId="0" borderId="10" xfId="1" applyFont="1" applyBorder="1"/>
    <xf numFmtId="43" fontId="0" fillId="0" borderId="9" xfId="1" applyFont="1" applyBorder="1"/>
    <xf numFmtId="0" fontId="3" fillId="3" borderId="32" xfId="1" applyNumberFormat="1" applyFont="1" applyFill="1" applyBorder="1"/>
    <xf numFmtId="0" fontId="3" fillId="3" borderId="34" xfId="1" applyNumberFormat="1" applyFont="1" applyFill="1" applyBorder="1"/>
    <xf numFmtId="0" fontId="3" fillId="3" borderId="37" xfId="1" applyNumberFormat="1" applyFont="1" applyFill="1" applyBorder="1"/>
    <xf numFmtId="43" fontId="0" fillId="3" borderId="28" xfId="1" applyFont="1" applyFill="1" applyBorder="1"/>
    <xf numFmtId="43" fontId="3" fillId="3" borderId="2" xfId="1" applyFont="1" applyFill="1" applyBorder="1"/>
    <xf numFmtId="43" fontId="0" fillId="3" borderId="35" xfId="1" applyFont="1" applyFill="1" applyBorder="1"/>
    <xf numFmtId="0" fontId="0" fillId="0" borderId="27" xfId="0" applyBorder="1" applyAlignment="1">
      <alignment wrapText="1"/>
    </xf>
    <xf numFmtId="0" fontId="0" fillId="3" borderId="27" xfId="0" applyFill="1" applyBorder="1" applyAlignment="1">
      <alignment wrapText="1"/>
    </xf>
    <xf numFmtId="43" fontId="0" fillId="3" borderId="30" xfId="1" applyFont="1" applyFill="1" applyBorder="1"/>
    <xf numFmtId="0" fontId="3" fillId="3" borderId="21" xfId="0" applyFont="1" applyFill="1" applyBorder="1"/>
    <xf numFmtId="43" fontId="0" fillId="4" borderId="5" xfId="0" applyNumberFormat="1" applyFill="1" applyBorder="1"/>
    <xf numFmtId="0" fontId="3" fillId="3" borderId="18" xfId="0" applyFont="1" applyFill="1" applyBorder="1" applyAlignment="1">
      <alignment wrapText="1"/>
    </xf>
    <xf numFmtId="0" fontId="3" fillId="3" borderId="8" xfId="0" applyFont="1" applyFill="1" applyBorder="1" applyAlignment="1">
      <alignment wrapText="1"/>
    </xf>
    <xf numFmtId="0" fontId="3" fillId="3" borderId="21" xfId="0" applyFont="1" applyFill="1" applyBorder="1" applyAlignment="1">
      <alignment wrapText="1"/>
    </xf>
    <xf numFmtId="0" fontId="0" fillId="4" borderId="18" xfId="0" applyFill="1" applyBorder="1" applyAlignment="1">
      <alignment wrapText="1"/>
    </xf>
    <xf numFmtId="0" fontId="3" fillId="6" borderId="2" xfId="0" applyFont="1" applyFill="1" applyBorder="1" applyAlignment="1">
      <alignment wrapText="1"/>
    </xf>
    <xf numFmtId="43" fontId="0" fillId="16" borderId="2" xfId="1" applyFont="1" applyFill="1" applyBorder="1"/>
    <xf numFmtId="0" fontId="3" fillId="16" borderId="18" xfId="1" applyNumberFormat="1" applyFont="1" applyFill="1" applyBorder="1"/>
    <xf numFmtId="0" fontId="3" fillId="16" borderId="8" xfId="1" applyNumberFormat="1" applyFont="1" applyFill="1" applyBorder="1"/>
    <xf numFmtId="0" fontId="3" fillId="16" borderId="21" xfId="1" applyNumberFormat="1" applyFont="1" applyFill="1" applyBorder="1"/>
    <xf numFmtId="0" fontId="0" fillId="16" borderId="18" xfId="0" applyFill="1" applyBorder="1" applyAlignment="1">
      <alignment wrapText="1"/>
    </xf>
    <xf numFmtId="0" fontId="0" fillId="16" borderId="8" xfId="0" applyFill="1" applyBorder="1" applyAlignment="1">
      <alignment wrapText="1"/>
    </xf>
    <xf numFmtId="0" fontId="0" fillId="16" borderId="21" xfId="0" applyFill="1" applyBorder="1" applyAlignment="1">
      <alignment wrapText="1"/>
    </xf>
    <xf numFmtId="0" fontId="0" fillId="6" borderId="12" xfId="1" applyNumberFormat="1" applyFont="1" applyFill="1" applyBorder="1"/>
    <xf numFmtId="0" fontId="0" fillId="6" borderId="18" xfId="1" applyNumberFormat="1" applyFont="1" applyFill="1" applyBorder="1"/>
    <xf numFmtId="0" fontId="0" fillId="7" borderId="8" xfId="1" applyNumberFormat="1" applyFont="1" applyFill="1" applyBorder="1"/>
    <xf numFmtId="0" fontId="0" fillId="6" borderId="21" xfId="1" applyNumberFormat="1" applyFont="1" applyFill="1" applyBorder="1"/>
    <xf numFmtId="0" fontId="0" fillId="16" borderId="18" xfId="1" applyNumberFormat="1" applyFont="1" applyFill="1" applyBorder="1"/>
    <xf numFmtId="0" fontId="0" fillId="16" borderId="8" xfId="1" applyNumberFormat="1" applyFont="1" applyFill="1" applyBorder="1"/>
    <xf numFmtId="0" fontId="0" fillId="16" borderId="21" xfId="1" applyNumberFormat="1" applyFont="1" applyFill="1" applyBorder="1"/>
    <xf numFmtId="0" fontId="0" fillId="7" borderId="18" xfId="1" applyNumberFormat="1" applyFont="1" applyFill="1" applyBorder="1"/>
    <xf numFmtId="164" fontId="3" fillId="4" borderId="18" xfId="1" applyNumberFormat="1" applyFont="1" applyFill="1" applyBorder="1"/>
    <xf numFmtId="0" fontId="7" fillId="3" borderId="8" xfId="1" applyNumberFormat="1" applyFont="1" applyFill="1" applyBorder="1"/>
    <xf numFmtId="165" fontId="3" fillId="6" borderId="8" xfId="1" applyNumberFormat="1" applyFont="1" applyFill="1" applyBorder="1"/>
    <xf numFmtId="165" fontId="1" fillId="2" borderId="18" xfId="1" applyNumberFormat="1" applyFont="1" applyFill="1" applyBorder="1" applyAlignment="1">
      <alignment wrapText="1"/>
    </xf>
    <xf numFmtId="165" fontId="1" fillId="2" borderId="8" xfId="1" applyNumberFormat="1" applyFont="1" applyFill="1" applyBorder="1"/>
    <xf numFmtId="165" fontId="1" fillId="2" borderId="21" xfId="1" applyNumberFormat="1" applyFont="1" applyFill="1" applyBorder="1"/>
    <xf numFmtId="165" fontId="1" fillId="2" borderId="21" xfId="1" applyNumberFormat="1" applyFont="1" applyFill="1" applyBorder="1" applyAlignment="1">
      <alignment wrapText="1"/>
    </xf>
    <xf numFmtId="165" fontId="1" fillId="2" borderId="18" xfId="1" applyNumberFormat="1" applyFont="1" applyFill="1" applyBorder="1"/>
    <xf numFmtId="165" fontId="1" fillId="2" borderId="17" xfId="1" applyNumberFormat="1" applyFont="1" applyFill="1" applyBorder="1"/>
    <xf numFmtId="165" fontId="1" fillId="2" borderId="12" xfId="1" applyNumberFormat="1" applyFont="1" applyFill="1" applyBorder="1"/>
    <xf numFmtId="0" fontId="0" fillId="2" borderId="32" xfId="0" applyFill="1" applyBorder="1"/>
    <xf numFmtId="0" fontId="0" fillId="2" borderId="34" xfId="0" applyFill="1" applyBorder="1"/>
    <xf numFmtId="0" fontId="0" fillId="2" borderId="37" xfId="0" applyFill="1" applyBorder="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justify" vertical="center"/>
    </xf>
    <xf numFmtId="0" fontId="0" fillId="0" borderId="0" xfId="0" applyAlignment="1">
      <alignment horizontal="left" vertical="center"/>
    </xf>
    <xf numFmtId="0" fontId="0" fillId="0" borderId="0" xfId="0" applyAlignment="1">
      <alignment horizontal="left" vertical="center" wrapText="1" shrinkToFit="1"/>
    </xf>
    <xf numFmtId="0" fontId="0" fillId="2" borderId="35" xfId="0" applyFill="1" applyBorder="1"/>
    <xf numFmtId="0" fontId="3" fillId="2" borderId="32" xfId="0" applyFont="1" applyFill="1" applyBorder="1" applyAlignment="1">
      <alignment wrapText="1"/>
    </xf>
    <xf numFmtId="0" fontId="3" fillId="2" borderId="34" xfId="0" applyFont="1" applyFill="1" applyBorder="1" applyAlignment="1">
      <alignment wrapText="1"/>
    </xf>
    <xf numFmtId="0" fontId="3" fillId="2" borderId="37" xfId="0" applyFont="1" applyFill="1" applyBorder="1" applyAlignment="1">
      <alignment wrapText="1"/>
    </xf>
    <xf numFmtId="0" fontId="0" fillId="2" borderId="0" xfId="0" applyFill="1" applyAlignment="1">
      <alignment horizontal="center" vertical="center" wrapText="1"/>
    </xf>
    <xf numFmtId="43" fontId="2" fillId="2" borderId="0" xfId="1" applyFont="1" applyFill="1" applyBorder="1" applyAlignment="1"/>
    <xf numFmtId="0" fontId="0" fillId="3" borderId="8" xfId="0" applyFill="1" applyBorder="1" applyAlignment="1">
      <alignment horizontal="center" vertical="center"/>
    </xf>
    <xf numFmtId="0" fontId="0" fillId="0" borderId="72" xfId="0" applyBorder="1" applyAlignment="1">
      <alignment horizontal="center" vertical="center" wrapText="1" shrinkToFit="1"/>
    </xf>
    <xf numFmtId="0" fontId="0" fillId="3" borderId="15" xfId="0" applyFill="1" applyBorder="1" applyAlignment="1">
      <alignment horizontal="center"/>
    </xf>
    <xf numFmtId="0" fontId="0" fillId="0" borderId="12" xfId="0" applyBorder="1" applyAlignment="1">
      <alignment horizontal="center" vertical="center"/>
    </xf>
    <xf numFmtId="0" fontId="0" fillId="0" borderId="12" xfId="0" applyBorder="1"/>
    <xf numFmtId="0" fontId="0" fillId="0" borderId="21" xfId="0" applyBorder="1" applyAlignment="1">
      <alignment horizontal="center" vertical="center"/>
    </xf>
    <xf numFmtId="43" fontId="0" fillId="10" borderId="18" xfId="1" applyFont="1" applyFill="1" applyBorder="1"/>
    <xf numFmtId="43" fontId="0" fillId="2" borderId="37" xfId="1" applyFont="1" applyFill="1" applyBorder="1"/>
    <xf numFmtId="165" fontId="0" fillId="6" borderId="2" xfId="1" applyNumberFormat="1" applyFont="1" applyFill="1" applyBorder="1"/>
    <xf numFmtId="0" fontId="0" fillId="10" borderId="77" xfId="0" applyFill="1" applyBorder="1" applyAlignment="1">
      <alignment horizontal="center" wrapText="1"/>
    </xf>
    <xf numFmtId="0" fontId="0" fillId="0" borderId="77" xfId="0" applyBorder="1" applyAlignment="1">
      <alignment wrapText="1"/>
    </xf>
    <xf numFmtId="43" fontId="0" fillId="0" borderId="27" xfId="1" applyFont="1" applyBorder="1" applyAlignment="1">
      <alignment horizontal="left" wrapText="1"/>
    </xf>
    <xf numFmtId="0" fontId="0" fillId="0" borderId="26" xfId="0" applyBorder="1" applyAlignment="1">
      <alignment wrapText="1"/>
    </xf>
    <xf numFmtId="43" fontId="0" fillId="3" borderId="27" xfId="1" applyFont="1" applyFill="1" applyBorder="1" applyAlignment="1">
      <alignment horizontal="left" wrapText="1"/>
    </xf>
    <xf numFmtId="43" fontId="4" fillId="0" borderId="27" xfId="1" applyFont="1" applyBorder="1" applyAlignment="1">
      <alignment horizontal="left" wrapText="1"/>
    </xf>
    <xf numFmtId="43" fontId="4" fillId="3" borderId="27" xfId="1" applyFont="1" applyFill="1" applyBorder="1" applyAlignment="1">
      <alignment horizontal="left" wrapText="1"/>
    </xf>
    <xf numFmtId="0" fontId="0" fillId="3" borderId="26" xfId="0" applyFill="1" applyBorder="1" applyAlignment="1">
      <alignment wrapText="1"/>
    </xf>
    <xf numFmtId="0" fontId="0" fillId="3" borderId="27" xfId="0" applyFill="1" applyBorder="1" applyAlignment="1">
      <alignment horizontal="left" wrapText="1"/>
    </xf>
    <xf numFmtId="0" fontId="0" fillId="0" borderId="27" xfId="0" applyBorder="1" applyAlignment="1">
      <alignment horizontal="left" wrapText="1"/>
    </xf>
    <xf numFmtId="0" fontId="0" fillId="3" borderId="36" xfId="0" applyFill="1" applyBorder="1" applyAlignment="1">
      <alignment horizontal="left" wrapText="1"/>
    </xf>
    <xf numFmtId="0" fontId="0" fillId="0" borderId="26" xfId="0" applyBorder="1"/>
    <xf numFmtId="0" fontId="7" fillId="3" borderId="18" xfId="1" applyNumberFormat="1" applyFont="1" applyFill="1" applyBorder="1"/>
    <xf numFmtId="0" fontId="7" fillId="3" borderId="21" xfId="1" applyNumberFormat="1" applyFont="1" applyFill="1" applyBorder="1"/>
    <xf numFmtId="165" fontId="3" fillId="6" borderId="21" xfId="1" applyNumberFormat="1" applyFont="1" applyFill="1" applyBorder="1"/>
    <xf numFmtId="0" fontId="3" fillId="2" borderId="18" xfId="1" applyNumberFormat="1" applyFont="1" applyFill="1" applyBorder="1"/>
    <xf numFmtId="165" fontId="3" fillId="2" borderId="21" xfId="1" applyNumberFormat="1" applyFont="1" applyFill="1" applyBorder="1"/>
    <xf numFmtId="0" fontId="3" fillId="2" borderId="21" xfId="1" applyNumberFormat="1" applyFont="1" applyFill="1" applyBorder="1"/>
    <xf numFmtId="0" fontId="3" fillId="6" borderId="18" xfId="1" applyNumberFormat="1" applyFont="1" applyFill="1" applyBorder="1" applyAlignment="1">
      <alignment horizontal="center"/>
    </xf>
    <xf numFmtId="43" fontId="3" fillId="9" borderId="18" xfId="1" applyFont="1" applyFill="1" applyBorder="1"/>
    <xf numFmtId="43" fontId="3" fillId="9" borderId="21" xfId="1" applyFont="1" applyFill="1" applyBorder="1"/>
    <xf numFmtId="165" fontId="3" fillId="4" borderId="21" xfId="1" applyNumberFormat="1" applyFont="1" applyFill="1" applyBorder="1"/>
    <xf numFmtId="43" fontId="3" fillId="7" borderId="21" xfId="1" applyFont="1" applyFill="1" applyBorder="1"/>
    <xf numFmtId="0" fontId="3" fillId="6" borderId="21" xfId="1" applyNumberFormat="1" applyFont="1" applyFill="1" applyBorder="1" applyAlignment="1">
      <alignment horizontal="center"/>
    </xf>
    <xf numFmtId="0" fontId="3" fillId="2" borderId="0" xfId="0" applyFont="1" applyFill="1" applyAlignment="1">
      <alignment horizontal="center" vertical="center" wrapText="1"/>
    </xf>
    <xf numFmtId="0" fontId="0" fillId="11" borderId="8" xfId="0" applyFill="1" applyBorder="1"/>
    <xf numFmtId="9" fontId="0" fillId="0" borderId="8" xfId="0" applyNumberFormat="1" applyBorder="1"/>
    <xf numFmtId="0" fontId="9" fillId="0" borderId="0" xfId="0" applyFont="1" applyAlignment="1">
      <alignment horizontal="left" vertical="center"/>
    </xf>
    <xf numFmtId="0" fontId="0" fillId="0" borderId="46" xfId="0" applyBorder="1" applyAlignment="1">
      <alignment horizontal="center" wrapText="1"/>
    </xf>
    <xf numFmtId="0" fontId="0" fillId="0" borderId="53" xfId="0" applyBorder="1" applyAlignment="1">
      <alignment horizontal="center" wrapText="1"/>
    </xf>
    <xf numFmtId="0" fontId="0" fillId="0" borderId="22" xfId="0" applyBorder="1" applyAlignment="1">
      <alignment horizontal="center" vertical="center" wrapText="1"/>
    </xf>
    <xf numFmtId="0" fontId="0" fillId="0" borderId="38" xfId="0" applyBorder="1" applyAlignment="1">
      <alignment horizontal="center" vertical="center" wrapText="1"/>
    </xf>
    <xf numFmtId="0" fontId="3" fillId="3" borderId="5" xfId="0" applyFont="1" applyFill="1" applyBorder="1" applyAlignment="1">
      <alignment horizontal="center"/>
    </xf>
    <xf numFmtId="0" fontId="3" fillId="3" borderId="9" xfId="0" applyFont="1" applyFill="1" applyBorder="1" applyAlignment="1">
      <alignment horizontal="center"/>
    </xf>
    <xf numFmtId="0" fontId="0" fillId="2" borderId="8" xfId="0" applyFill="1" applyBorder="1" applyAlignment="1">
      <alignment horizontal="center" vertical="center" wrapText="1"/>
    </xf>
    <xf numFmtId="0" fontId="0" fillId="7" borderId="5" xfId="0" applyFill="1" applyBorder="1" applyAlignment="1">
      <alignment horizontal="center" vertical="center"/>
    </xf>
    <xf numFmtId="0" fontId="0" fillId="7" borderId="10" xfId="0" applyFill="1" applyBorder="1" applyAlignment="1">
      <alignment horizontal="center" vertical="center"/>
    </xf>
    <xf numFmtId="0" fontId="0" fillId="7" borderId="9" xfId="0" applyFill="1" applyBorder="1" applyAlignment="1">
      <alignment horizontal="center" vertical="center"/>
    </xf>
    <xf numFmtId="0" fontId="0" fillId="0" borderId="67" xfId="0" applyBorder="1" applyAlignment="1">
      <alignment horizontal="center" vertical="center" wrapText="1"/>
    </xf>
    <xf numFmtId="0" fontId="0" fillId="0" borderId="69" xfId="0" applyBorder="1" applyAlignment="1">
      <alignment horizontal="center" vertical="center" wrapText="1"/>
    </xf>
    <xf numFmtId="0" fontId="3" fillId="16" borderId="47" xfId="0" applyFont="1" applyFill="1" applyBorder="1" applyAlignment="1">
      <alignment horizontal="center" vertical="center" wrapText="1"/>
    </xf>
    <xf numFmtId="0" fontId="3" fillId="16" borderId="66" xfId="0" applyFont="1" applyFill="1" applyBorder="1" applyAlignment="1">
      <alignment horizontal="center" vertical="center" wrapText="1"/>
    </xf>
    <xf numFmtId="0" fontId="3" fillId="10" borderId="10" xfId="0" applyFont="1" applyFill="1" applyBorder="1" applyAlignment="1">
      <alignment horizontal="center" wrapText="1"/>
    </xf>
    <xf numFmtId="0" fontId="3" fillId="10" borderId="8" xfId="0" applyFont="1" applyFill="1" applyBorder="1" applyAlignment="1">
      <alignment horizontal="center" wrapText="1"/>
    </xf>
    <xf numFmtId="0" fontId="3" fillId="10" borderId="9" xfId="0" applyFont="1" applyFill="1" applyBorder="1" applyAlignment="1">
      <alignment horizontal="center" wrapText="1"/>
    </xf>
    <xf numFmtId="0" fontId="3" fillId="10" borderId="21" xfId="0" applyFont="1" applyFill="1" applyBorder="1" applyAlignment="1">
      <alignment horizontal="center" wrapText="1"/>
    </xf>
    <xf numFmtId="0" fontId="3" fillId="10" borderId="15" xfId="0" applyFont="1" applyFill="1" applyBorder="1" applyAlignment="1">
      <alignment horizontal="center" vertical="center" wrapText="1"/>
    </xf>
    <xf numFmtId="0" fontId="3" fillId="10" borderId="12" xfId="0" applyFont="1" applyFill="1" applyBorder="1" applyAlignment="1">
      <alignment horizontal="center" vertical="center" wrapText="1"/>
    </xf>
    <xf numFmtId="0" fontId="3" fillId="10" borderId="54" xfId="0" applyFont="1" applyFill="1" applyBorder="1" applyAlignment="1">
      <alignment horizontal="center" wrapText="1"/>
    </xf>
    <xf numFmtId="0" fontId="3" fillId="10" borderId="25" xfId="0" applyFont="1" applyFill="1" applyBorder="1" applyAlignment="1">
      <alignment horizontal="center" wrapText="1"/>
    </xf>
    <xf numFmtId="0" fontId="0" fillId="0" borderId="26" xfId="0" applyBorder="1" applyAlignment="1">
      <alignment horizontal="center" wrapText="1"/>
    </xf>
    <xf numFmtId="0" fontId="0" fillId="0" borderId="74" xfId="0" applyBorder="1" applyAlignment="1">
      <alignment horizontal="center" wrapText="1"/>
    </xf>
    <xf numFmtId="0" fontId="0" fillId="0" borderId="25" xfId="0" applyBorder="1" applyAlignment="1">
      <alignment horizontal="center" vertical="center" wrapText="1"/>
    </xf>
    <xf numFmtId="0" fontId="0" fillId="2" borderId="31" xfId="0" applyFill="1" applyBorder="1" applyAlignment="1">
      <alignment horizontal="center" vertical="center" wrapText="1" shrinkToFit="1"/>
    </xf>
    <xf numFmtId="0" fontId="0" fillId="2" borderId="36" xfId="0" applyFill="1" applyBorder="1" applyAlignment="1">
      <alignment horizontal="center" vertical="center" wrapText="1" shrinkToFit="1"/>
    </xf>
    <xf numFmtId="0" fontId="0" fillId="6" borderId="47" xfId="0" applyFill="1" applyBorder="1" applyAlignment="1">
      <alignment horizontal="center" vertical="center"/>
    </xf>
    <xf numFmtId="0" fontId="0" fillId="6" borderId="54" xfId="0" applyFill="1" applyBorder="1" applyAlignment="1">
      <alignment horizontal="center" vertical="center"/>
    </xf>
    <xf numFmtId="0" fontId="0" fillId="6" borderId="55" xfId="0" applyFill="1" applyBorder="1" applyAlignment="1">
      <alignment horizontal="center" vertical="center"/>
    </xf>
    <xf numFmtId="0" fontId="3" fillId="10" borderId="10" xfId="0" applyFont="1" applyFill="1" applyBorder="1" applyAlignment="1">
      <alignment horizontal="center" vertical="center" wrapText="1"/>
    </xf>
    <xf numFmtId="0" fontId="3" fillId="10" borderId="34" xfId="0" applyFont="1" applyFill="1" applyBorder="1" applyAlignment="1">
      <alignment horizontal="center" vertical="center" wrapText="1"/>
    </xf>
    <xf numFmtId="0" fontId="3" fillId="5" borderId="47" xfId="0" applyFont="1" applyFill="1" applyBorder="1" applyAlignment="1">
      <alignment horizontal="center" vertical="center" wrapText="1"/>
    </xf>
    <xf numFmtId="0" fontId="3" fillId="5" borderId="63" xfId="0" applyFont="1" applyFill="1" applyBorder="1" applyAlignment="1">
      <alignment horizontal="center" vertical="center"/>
    </xf>
    <xf numFmtId="0" fontId="3" fillId="10" borderId="54" xfId="0" applyFont="1" applyFill="1" applyBorder="1" applyAlignment="1">
      <alignment horizontal="center" vertical="center" wrapText="1"/>
    </xf>
    <xf numFmtId="0" fontId="3" fillId="10" borderId="25" xfId="0" applyFont="1" applyFill="1" applyBorder="1" applyAlignment="1">
      <alignment horizontal="center" vertical="center" wrapText="1"/>
    </xf>
    <xf numFmtId="0" fontId="3" fillId="10" borderId="55" xfId="0" applyFont="1" applyFill="1" applyBorder="1" applyAlignment="1">
      <alignment horizontal="center" vertical="center" wrapText="1"/>
    </xf>
    <xf numFmtId="0" fontId="3" fillId="10" borderId="71" xfId="0" applyFont="1" applyFill="1" applyBorder="1" applyAlignment="1">
      <alignment horizontal="center" vertical="center" wrapText="1"/>
    </xf>
    <xf numFmtId="0" fontId="3" fillId="10" borderId="9" xfId="0" applyFont="1" applyFill="1" applyBorder="1" applyAlignment="1">
      <alignment horizontal="center" vertical="center" wrapText="1"/>
    </xf>
    <xf numFmtId="0" fontId="3" fillId="10" borderId="37" xfId="0" applyFont="1" applyFill="1" applyBorder="1" applyAlignment="1">
      <alignment horizontal="center" vertical="center" wrapText="1"/>
    </xf>
    <xf numFmtId="0" fontId="0" fillId="4" borderId="5" xfId="0" applyFill="1" applyBorder="1" applyAlignment="1">
      <alignment horizontal="center" vertical="center"/>
    </xf>
    <xf numFmtId="0" fontId="0" fillId="4" borderId="10" xfId="0" applyFill="1" applyBorder="1" applyAlignment="1">
      <alignment horizontal="center" vertical="center"/>
    </xf>
    <xf numFmtId="0" fontId="0" fillId="4" borderId="9" xfId="0" applyFill="1" applyBorder="1" applyAlignment="1">
      <alignment horizontal="center" vertical="center"/>
    </xf>
    <xf numFmtId="0" fontId="3" fillId="10" borderId="55" xfId="0" applyFont="1" applyFill="1" applyBorder="1" applyAlignment="1">
      <alignment horizontal="center" wrapText="1"/>
    </xf>
    <xf numFmtId="0" fontId="3" fillId="10" borderId="71" xfId="0" applyFont="1" applyFill="1" applyBorder="1" applyAlignment="1">
      <alignment horizontal="center" wrapText="1"/>
    </xf>
    <xf numFmtId="0" fontId="3" fillId="10" borderId="13" xfId="0" applyFont="1" applyFill="1" applyBorder="1" applyAlignment="1">
      <alignment horizontal="center" vertical="center" wrapText="1"/>
    </xf>
    <xf numFmtId="0" fontId="3" fillId="10" borderId="14" xfId="0" applyFont="1" applyFill="1" applyBorder="1" applyAlignment="1">
      <alignment horizontal="center" vertical="center" wrapText="1"/>
    </xf>
    <xf numFmtId="0" fontId="3" fillId="10" borderId="5" xfId="0" applyFont="1" applyFill="1" applyBorder="1" applyAlignment="1">
      <alignment horizontal="center" vertical="center" wrapText="1"/>
    </xf>
    <xf numFmtId="0" fontId="3" fillId="10" borderId="73" xfId="0" applyFont="1" applyFill="1" applyBorder="1" applyAlignment="1">
      <alignment horizontal="center" vertical="center" wrapText="1"/>
    </xf>
    <xf numFmtId="0" fontId="3" fillId="10" borderId="29" xfId="0" applyFont="1" applyFill="1" applyBorder="1" applyAlignment="1">
      <alignment horizontal="center" vertical="center" wrapText="1"/>
    </xf>
    <xf numFmtId="0" fontId="6" fillId="0" borderId="8" xfId="2" applyFont="1" applyBorder="1" applyAlignment="1">
      <alignment horizontal="center" wrapText="1"/>
    </xf>
    <xf numFmtId="0" fontId="5" fillId="0" borderId="8" xfId="2" applyBorder="1" applyAlignment="1">
      <alignment horizontal="center" wrapText="1"/>
    </xf>
    <xf numFmtId="0" fontId="5" fillId="0" borderId="2" xfId="2" applyBorder="1" applyAlignment="1">
      <alignment horizontal="center" wrapText="1"/>
    </xf>
    <xf numFmtId="0" fontId="0" fillId="0" borderId="8" xfId="0" applyBorder="1" applyAlignment="1">
      <alignment horizontal="center" wrapText="1"/>
    </xf>
    <xf numFmtId="43" fontId="0" fillId="0" borderId="2" xfId="1" applyFont="1" applyBorder="1" applyAlignment="1">
      <alignment horizontal="center"/>
    </xf>
    <xf numFmtId="43" fontId="0" fillId="0" borderId="12" xfId="1" applyFont="1" applyBorder="1" applyAlignment="1">
      <alignment horizontal="center"/>
    </xf>
    <xf numFmtId="0" fontId="0" fillId="0" borderId="8" xfId="0" applyBorder="1" applyAlignment="1">
      <alignment horizontal="center" vertical="center" wrapText="1"/>
    </xf>
    <xf numFmtId="0" fontId="0" fillId="0" borderId="2" xfId="0" applyBorder="1" applyAlignment="1">
      <alignment horizontal="center" wrapText="1"/>
    </xf>
    <xf numFmtId="0" fontId="0" fillId="0" borderId="12" xfId="0" applyBorder="1" applyAlignment="1">
      <alignment horizontal="center" wrapText="1"/>
    </xf>
    <xf numFmtId="0" fontId="0" fillId="0" borderId="8" xfId="0" applyBorder="1" applyAlignment="1">
      <alignment horizontal="center" vertical="center"/>
    </xf>
    <xf numFmtId="0" fontId="0" fillId="0" borderId="2" xfId="0" applyBorder="1" applyAlignment="1">
      <alignment horizontal="center" vertical="center" wrapText="1"/>
    </xf>
    <xf numFmtId="0" fontId="0" fillId="0" borderId="12" xfId="0" applyBorder="1" applyAlignment="1">
      <alignment horizontal="center" vertical="center" wrapText="1"/>
    </xf>
    <xf numFmtId="0" fontId="0" fillId="5" borderId="47" xfId="0" applyFill="1" applyBorder="1" applyAlignment="1">
      <alignment horizontal="center" vertical="center" wrapText="1"/>
    </xf>
    <xf numFmtId="0" fontId="0" fillId="5" borderId="63" xfId="0" applyFill="1" applyBorder="1" applyAlignment="1">
      <alignment horizontal="center" vertical="center" wrapText="1"/>
    </xf>
    <xf numFmtId="0" fontId="0" fillId="17" borderId="56" xfId="0" applyFill="1" applyBorder="1" applyAlignment="1">
      <alignment horizontal="center" vertical="center"/>
    </xf>
    <xf numFmtId="0" fontId="0" fillId="17" borderId="57" xfId="0" applyFill="1" applyBorder="1" applyAlignment="1">
      <alignment horizontal="center" vertical="center"/>
    </xf>
    <xf numFmtId="0" fontId="3" fillId="10" borderId="33" xfId="0" applyFont="1" applyFill="1" applyBorder="1" applyAlignment="1">
      <alignment horizontal="center" vertical="center" wrapText="1"/>
    </xf>
    <xf numFmtId="0" fontId="3" fillId="10" borderId="59" xfId="0" applyFont="1" applyFill="1" applyBorder="1" applyAlignment="1">
      <alignment horizontal="center" vertical="center" wrapText="1"/>
    </xf>
    <xf numFmtId="0" fontId="3" fillId="10" borderId="58" xfId="0" applyFont="1" applyFill="1" applyBorder="1" applyAlignment="1">
      <alignment horizontal="center" vertical="center" wrapText="1"/>
    </xf>
    <xf numFmtId="0" fontId="0" fillId="2" borderId="8" xfId="0" applyFill="1" applyBorder="1" applyAlignment="1">
      <alignment horizontal="center" vertical="center"/>
    </xf>
    <xf numFmtId="0" fontId="0" fillId="2" borderId="13" xfId="0" applyFill="1" applyBorder="1" applyAlignment="1">
      <alignment horizontal="center" vertical="center" wrapText="1"/>
    </xf>
    <xf numFmtId="0" fontId="0" fillId="2" borderId="22" xfId="0" applyFill="1" applyBorder="1" applyAlignment="1">
      <alignment horizontal="center" vertical="center" wrapText="1"/>
    </xf>
    <xf numFmtId="0" fontId="3" fillId="10" borderId="49" xfId="0" applyFont="1" applyFill="1" applyBorder="1" applyAlignment="1">
      <alignment horizontal="center" wrapText="1"/>
    </xf>
    <xf numFmtId="0" fontId="3" fillId="10" borderId="70" xfId="0" applyFont="1" applyFill="1" applyBorder="1" applyAlignment="1">
      <alignment horizontal="center" wrapText="1"/>
    </xf>
    <xf numFmtId="0" fontId="0" fillId="10" borderId="54" xfId="0" applyFill="1" applyBorder="1" applyAlignment="1">
      <alignment horizontal="center" wrapText="1"/>
    </xf>
    <xf numFmtId="0" fontId="0" fillId="10" borderId="58" xfId="0" applyFill="1" applyBorder="1" applyAlignment="1">
      <alignment horizontal="center" wrapText="1"/>
    </xf>
    <xf numFmtId="0" fontId="0" fillId="10" borderId="48" xfId="0" applyFill="1" applyBorder="1" applyAlignment="1">
      <alignment horizontal="center" wrapText="1"/>
    </xf>
    <xf numFmtId="0" fontId="0" fillId="10" borderId="65" xfId="0" applyFill="1" applyBorder="1" applyAlignment="1">
      <alignment horizontal="center" wrapText="1"/>
    </xf>
    <xf numFmtId="0" fontId="0" fillId="0" borderId="5" xfId="0" applyBorder="1" applyAlignment="1">
      <alignment horizontal="center" wrapText="1"/>
    </xf>
    <xf numFmtId="0" fontId="0" fillId="0" borderId="32" xfId="0" applyBorder="1" applyAlignment="1">
      <alignment horizontal="center" wrapText="1"/>
    </xf>
    <xf numFmtId="0" fontId="0" fillId="12" borderId="9" xfId="0" applyFill="1" applyBorder="1" applyAlignment="1">
      <alignment horizontal="center" vertical="center" wrapText="1"/>
    </xf>
    <xf numFmtId="0" fontId="0" fillId="12" borderId="37" xfId="0" applyFill="1" applyBorder="1" applyAlignment="1">
      <alignment horizontal="center" vertical="center" wrapText="1"/>
    </xf>
    <xf numFmtId="0" fontId="0" fillId="0" borderId="10" xfId="0" applyBorder="1" applyAlignment="1">
      <alignment horizontal="center" wrapText="1"/>
    </xf>
    <xf numFmtId="0" fontId="0" fillId="0" borderId="34" xfId="0" applyBorder="1" applyAlignment="1">
      <alignment horizontal="center" wrapText="1"/>
    </xf>
    <xf numFmtId="0" fontId="0" fillId="10" borderId="7" xfId="0" applyFill="1" applyBorder="1" applyAlignment="1">
      <alignment horizontal="center" vertical="center" wrapText="1"/>
    </xf>
    <xf numFmtId="0" fontId="0" fillId="10" borderId="35"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59" xfId="0" applyFill="1" applyBorder="1" applyAlignment="1">
      <alignment horizontal="center" vertical="center" wrapText="1"/>
    </xf>
    <xf numFmtId="0" fontId="0" fillId="0" borderId="54" xfId="0" applyBorder="1" applyAlignment="1">
      <alignment horizontal="center" vertical="center"/>
    </xf>
    <xf numFmtId="0" fontId="0" fillId="0" borderId="58" xfId="0" applyBorder="1" applyAlignment="1">
      <alignment horizontal="center" vertical="center"/>
    </xf>
    <xf numFmtId="0" fontId="0" fillId="9" borderId="8" xfId="0" applyFill="1" applyBorder="1" applyAlignment="1">
      <alignment horizontal="center" vertical="center"/>
    </xf>
    <xf numFmtId="0" fontId="0" fillId="0" borderId="30" xfId="0" applyBorder="1" applyAlignment="1">
      <alignment horizontal="center" vertical="center" wrapText="1"/>
    </xf>
    <xf numFmtId="0" fontId="0" fillId="0" borderId="68" xfId="0" applyBorder="1" applyAlignment="1">
      <alignment horizontal="center" vertical="center" wrapText="1"/>
    </xf>
    <xf numFmtId="0" fontId="0" fillId="0" borderId="63" xfId="0" applyBorder="1" applyAlignment="1">
      <alignment horizontal="center" vertical="center" wrapText="1"/>
    </xf>
    <xf numFmtId="0" fontId="0" fillId="0" borderId="66" xfId="0" applyBorder="1" applyAlignment="1">
      <alignment horizontal="center" vertical="center" wrapText="1"/>
    </xf>
    <xf numFmtId="0" fontId="3" fillId="10" borderId="32" xfId="0" applyFont="1" applyFill="1" applyBorder="1" applyAlignment="1">
      <alignment horizontal="center" vertical="center" wrapText="1"/>
    </xf>
    <xf numFmtId="0" fontId="0" fillId="10" borderId="10" xfId="0" applyFill="1" applyBorder="1" applyAlignment="1">
      <alignment horizontal="center" vertical="center" wrapText="1"/>
    </xf>
    <xf numFmtId="0" fontId="0" fillId="10" borderId="34" xfId="0" applyFill="1" applyBorder="1" applyAlignment="1">
      <alignment horizontal="center" vertical="center" wrapText="1"/>
    </xf>
    <xf numFmtId="0" fontId="0" fillId="0" borderId="10" xfId="0" applyBorder="1" applyAlignment="1">
      <alignment horizontal="center" vertical="center" wrapText="1"/>
    </xf>
    <xf numFmtId="0" fontId="3" fillId="10" borderId="7" xfId="0" applyFont="1" applyFill="1" applyBorder="1" applyAlignment="1">
      <alignment horizontal="center" vertical="center" wrapText="1"/>
    </xf>
    <xf numFmtId="0" fontId="3" fillId="10" borderId="35" xfId="0" applyFont="1" applyFill="1" applyBorder="1" applyAlignment="1">
      <alignment horizontal="center" vertical="center" wrapText="1"/>
    </xf>
    <xf numFmtId="0" fontId="0" fillId="0" borderId="54" xfId="0" applyBorder="1" applyAlignment="1">
      <alignment horizontal="center" vertical="center" wrapText="1"/>
    </xf>
    <xf numFmtId="0" fontId="0" fillId="0" borderId="58" xfId="0" applyBorder="1" applyAlignment="1">
      <alignment horizontal="center" vertical="center" wrapText="1"/>
    </xf>
    <xf numFmtId="0" fontId="0" fillId="2" borderId="55" xfId="0" applyFill="1" applyBorder="1" applyAlignment="1">
      <alignment horizontal="center" vertical="center"/>
    </xf>
    <xf numFmtId="0" fontId="0" fillId="2" borderId="59" xfId="0" applyFill="1" applyBorder="1" applyAlignment="1">
      <alignment horizontal="center" vertical="center"/>
    </xf>
    <xf numFmtId="0" fontId="3" fillId="6" borderId="3" xfId="0" applyFont="1" applyFill="1" applyBorder="1" applyAlignment="1">
      <alignment horizontal="center"/>
    </xf>
    <xf numFmtId="0" fontId="3" fillId="6" borderId="6" xfId="0" applyFont="1" applyFill="1" applyBorder="1" applyAlignment="1">
      <alignment horizontal="center"/>
    </xf>
    <xf numFmtId="0" fontId="3" fillId="6" borderId="4" xfId="0" applyFont="1" applyFill="1" applyBorder="1" applyAlignment="1">
      <alignment horizontal="center"/>
    </xf>
    <xf numFmtId="0" fontId="3" fillId="10" borderId="5" xfId="0" applyFont="1" applyFill="1" applyBorder="1" applyAlignment="1">
      <alignment horizontal="center"/>
    </xf>
    <xf numFmtId="0" fontId="3" fillId="10" borderId="10" xfId="0" applyFont="1" applyFill="1" applyBorder="1" applyAlignment="1">
      <alignment horizontal="center"/>
    </xf>
    <xf numFmtId="0" fontId="3" fillId="10" borderId="9" xfId="0" applyFont="1" applyFill="1" applyBorder="1" applyAlignment="1">
      <alignment horizontal="center"/>
    </xf>
    <xf numFmtId="0" fontId="3" fillId="7" borderId="3" xfId="0" applyFont="1" applyFill="1" applyBorder="1" applyAlignment="1">
      <alignment horizontal="center" vertical="center"/>
    </xf>
    <xf numFmtId="0" fontId="3" fillId="7" borderId="6" xfId="0" applyFont="1" applyFill="1" applyBorder="1" applyAlignment="1">
      <alignment horizontal="center" vertical="center"/>
    </xf>
    <xf numFmtId="0" fontId="3" fillId="11" borderId="5" xfId="0" applyFont="1" applyFill="1" applyBorder="1" applyAlignment="1">
      <alignment horizontal="center"/>
    </xf>
    <xf numFmtId="0" fontId="3" fillId="11" borderId="7" xfId="0" applyFont="1" applyFill="1" applyBorder="1" applyAlignment="1">
      <alignment horizontal="center"/>
    </xf>
    <xf numFmtId="0" fontId="10" fillId="0" borderId="0" xfId="0" applyFont="1"/>
    <xf numFmtId="9" fontId="3" fillId="0" borderId="8" xfId="3" applyFont="1" applyBorder="1" applyAlignment="1">
      <alignment horizontal="center"/>
    </xf>
    <xf numFmtId="0" fontId="3" fillId="0" borderId="8" xfId="0" applyFont="1" applyBorder="1" applyAlignment="1">
      <alignment horizontal="center"/>
    </xf>
    <xf numFmtId="0" fontId="11" fillId="0" borderId="8" xfId="0" applyFont="1" applyBorder="1" applyAlignment="1">
      <alignment horizontal="center"/>
    </xf>
    <xf numFmtId="0" fontId="4" fillId="0" borderId="8" xfId="0" applyFont="1" applyBorder="1"/>
  </cellXfs>
  <cellStyles count="4">
    <cellStyle name="Lien hypertexte" xfId="2" builtinId="8"/>
    <cellStyle name="Milliers" xfId="1" builtinId="3"/>
    <cellStyle name="Normal" xfId="0" builtinId="0"/>
    <cellStyle name="Pourcentage" xfId="3" builtinId="5"/>
  </cellStyles>
  <dxfs count="3">
    <dxf>
      <fill>
        <patternFill>
          <bgColor theme="5"/>
        </patternFill>
      </fill>
    </dxf>
    <dxf>
      <fill>
        <patternFill>
          <bgColor theme="5"/>
        </patternFill>
      </fill>
    </dxf>
    <dxf>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Penel\Documents\Travail\CIRAIG\Maitrise%20Recherche\5-%20Datas%20M&#233;taux%20Technologie\2-Recap%20Intensit&#233;s%20m&#233;talliques%20finales\Donnees%20technologie%20(IM,%20FC,%20duree%20de%20vie..).xlsx" TargetMode="External"/><Relationship Id="rId1" Type="http://schemas.openxmlformats.org/officeDocument/2006/relationships/externalLinkPath" Target="/Users/Penel/Documents/Travail/CIRAIG/Maitrise%20Recherche/5-%20Datas%20M&#233;taux%20Technologie/2-Recap%20Intensit&#233;s%20m&#233;talliques%20finales/Donnees%20technologie%20(IM,%20FC,%20duree%20de%20vi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Penel\Documents\Travail\CIRAIG\Maitrise%20Recherche\8.%20Optimisation\Metal%20Intensity.xlsx" TargetMode="External"/><Relationship Id="rId1" Type="http://schemas.openxmlformats.org/officeDocument/2006/relationships/externalLinkPath" Target="/Users/Penel/Documents/Travail/CIRAIG/Maitrise%20Recherche/8.%20Optimisation/Metal%20Intensit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M par tech full"/>
      <sheetName val="Metaux par technologie"/>
      <sheetName val="IM réduit real"/>
      <sheetName val="Durée de vie "/>
      <sheetName val="Durée de fonctionnement"/>
      <sheetName val="IM réduit (old)"/>
      <sheetName val="Ashby 2013"/>
    </sheetNames>
    <sheetDataSet>
      <sheetData sheetId="0">
        <row r="12">
          <cell r="A12" t="str">
            <v>Aluminium</v>
          </cell>
        </row>
        <row r="13">
          <cell r="A13" t="str">
            <v>Boron</v>
          </cell>
        </row>
        <row r="14">
          <cell r="A14" t="str">
            <v>Cadmium</v>
          </cell>
        </row>
        <row r="15">
          <cell r="A15" t="str">
            <v>Chromium</v>
          </cell>
        </row>
        <row r="16">
          <cell r="A16" t="str">
            <v>Cobalt</v>
          </cell>
        </row>
        <row r="17">
          <cell r="A17" t="str">
            <v>Concrete</v>
          </cell>
        </row>
        <row r="18">
          <cell r="A18" t="str">
            <v>Copper</v>
          </cell>
        </row>
        <row r="19">
          <cell r="A19" t="str">
            <v>Dysprosium</v>
          </cell>
        </row>
        <row r="20">
          <cell r="A20" t="str">
            <v>Gallium</v>
          </cell>
        </row>
        <row r="21">
          <cell r="A21" t="str">
            <v>Germanium</v>
          </cell>
        </row>
        <row r="22">
          <cell r="A22" t="str">
            <v>Glass</v>
          </cell>
        </row>
        <row r="23">
          <cell r="A23" t="str">
            <v>Hafnium</v>
          </cell>
        </row>
        <row r="24">
          <cell r="A24" t="str">
            <v>Indium</v>
          </cell>
        </row>
        <row r="25">
          <cell r="A25" t="str">
            <v>Iron</v>
          </cell>
        </row>
        <row r="26">
          <cell r="A26" t="str">
            <v>Lead</v>
          </cell>
        </row>
        <row r="27">
          <cell r="A27" t="str">
            <v>Magnesium</v>
          </cell>
        </row>
        <row r="28">
          <cell r="A28" t="str">
            <v>Manganese</v>
          </cell>
        </row>
        <row r="29">
          <cell r="A29" t="str">
            <v>Molybdenum</v>
          </cell>
        </row>
        <row r="30">
          <cell r="A30" t="str">
            <v>Neodymium</v>
          </cell>
        </row>
        <row r="31">
          <cell r="A31" t="str">
            <v>Nickel</v>
          </cell>
        </row>
        <row r="32">
          <cell r="A32" t="str">
            <v>Niobium</v>
          </cell>
        </row>
        <row r="33">
          <cell r="A33" t="str">
            <v>Polymers</v>
          </cell>
        </row>
        <row r="34">
          <cell r="A34" t="str">
            <v>Praesodymium</v>
          </cell>
        </row>
        <row r="35">
          <cell r="A35" t="str">
            <v>Selenium</v>
          </cell>
        </row>
        <row r="36">
          <cell r="A36" t="str">
            <v>Silicon</v>
          </cell>
        </row>
        <row r="37">
          <cell r="A37" t="str">
            <v>Silver</v>
          </cell>
        </row>
        <row r="39">
          <cell r="A39" t="str">
            <v>Tantalum</v>
          </cell>
        </row>
        <row r="40">
          <cell r="A40" t="str">
            <v>Tellurium</v>
          </cell>
        </row>
        <row r="41">
          <cell r="A41" t="str">
            <v>Terbium</v>
          </cell>
        </row>
        <row r="42">
          <cell r="A42" t="str">
            <v>Tin</v>
          </cell>
        </row>
        <row r="43">
          <cell r="A43" t="str">
            <v>Tungsten</v>
          </cell>
        </row>
        <row r="44">
          <cell r="A44" t="str">
            <v>Vanadium</v>
          </cell>
        </row>
        <row r="45">
          <cell r="A45" t="str">
            <v>Yttrium</v>
          </cell>
        </row>
        <row r="46">
          <cell r="A46" t="str">
            <v>Zinc</v>
          </cell>
        </row>
        <row r="47">
          <cell r="A47" t="str">
            <v>Zirconium</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I"/>
      <sheetName val="Aggregated MI 2010"/>
      <sheetName val="MI reduction scenario"/>
      <sheetName val="Metal categorisation"/>
    </sheetNames>
    <sheetDataSet>
      <sheetData sheetId="0">
        <row r="2">
          <cell r="D2">
            <v>10953</v>
          </cell>
          <cell r="E2">
            <v>10953</v>
          </cell>
          <cell r="F2">
            <v>10953</v>
          </cell>
        </row>
        <row r="3">
          <cell r="D3">
            <v>0</v>
          </cell>
          <cell r="E3">
            <v>0</v>
          </cell>
          <cell r="F3">
            <v>0</v>
          </cell>
        </row>
        <row r="4">
          <cell r="D4">
            <v>91.666666666666671</v>
          </cell>
          <cell r="E4">
            <v>0</v>
          </cell>
          <cell r="F4">
            <v>0</v>
          </cell>
        </row>
        <row r="5">
          <cell r="D5">
            <v>3761</v>
          </cell>
          <cell r="E5">
            <v>3761</v>
          </cell>
          <cell r="F5">
            <v>3761</v>
          </cell>
        </row>
        <row r="6">
          <cell r="D6">
            <v>0</v>
          </cell>
          <cell r="E6">
            <v>0</v>
          </cell>
          <cell r="F6">
            <v>0</v>
          </cell>
        </row>
        <row r="7">
          <cell r="D7">
            <v>60700</v>
          </cell>
          <cell r="E7">
            <v>60700</v>
          </cell>
          <cell r="F7">
            <v>60700</v>
          </cell>
        </row>
        <row r="8">
          <cell r="D8">
            <v>3698.0333333333333</v>
          </cell>
          <cell r="E8">
            <v>3123.42</v>
          </cell>
          <cell r="F8">
            <v>3187.82</v>
          </cell>
        </row>
        <row r="9">
          <cell r="D9">
            <v>0</v>
          </cell>
          <cell r="E9">
            <v>0</v>
          </cell>
          <cell r="F9">
            <v>0</v>
          </cell>
        </row>
        <row r="10">
          <cell r="D10">
            <v>0</v>
          </cell>
          <cell r="E10">
            <v>9</v>
          </cell>
          <cell r="F10">
            <v>0</v>
          </cell>
        </row>
        <row r="11">
          <cell r="D11">
            <v>0</v>
          </cell>
          <cell r="E11">
            <v>0</v>
          </cell>
          <cell r="F11">
            <v>48</v>
          </cell>
        </row>
        <row r="12">
          <cell r="D12">
            <v>46400</v>
          </cell>
          <cell r="E12">
            <v>46400</v>
          </cell>
          <cell r="F12">
            <v>46400</v>
          </cell>
        </row>
        <row r="13">
          <cell r="D13">
            <v>0</v>
          </cell>
          <cell r="E13">
            <v>0</v>
          </cell>
          <cell r="F13">
            <v>0</v>
          </cell>
        </row>
        <row r="14">
          <cell r="D14">
            <v>0</v>
          </cell>
          <cell r="E14">
            <v>21.75</v>
          </cell>
          <cell r="F14">
            <v>5.32</v>
          </cell>
        </row>
        <row r="15">
          <cell r="D15">
            <v>0</v>
          </cell>
          <cell r="E15">
            <v>0</v>
          </cell>
          <cell r="F15">
            <v>66446.94</v>
          </cell>
        </row>
        <row r="16">
          <cell r="D16">
            <v>8</v>
          </cell>
          <cell r="E16">
            <v>0</v>
          </cell>
          <cell r="F16">
            <v>0</v>
          </cell>
        </row>
        <row r="17">
          <cell r="D17">
            <v>0</v>
          </cell>
          <cell r="E17">
            <v>0</v>
          </cell>
          <cell r="F17">
            <v>0</v>
          </cell>
        </row>
        <row r="18">
          <cell r="D18">
            <v>0</v>
          </cell>
          <cell r="E18">
            <v>0</v>
          </cell>
          <cell r="F18">
            <v>0</v>
          </cell>
        </row>
        <row r="19">
          <cell r="D19">
            <v>154.5</v>
          </cell>
          <cell r="E19">
            <v>1</v>
          </cell>
          <cell r="F19">
            <v>0</v>
          </cell>
        </row>
        <row r="20">
          <cell r="D20">
            <v>0</v>
          </cell>
          <cell r="E20">
            <v>0</v>
          </cell>
          <cell r="F20">
            <v>0</v>
          </cell>
        </row>
        <row r="21">
          <cell r="D21">
            <v>16</v>
          </cell>
          <cell r="E21">
            <v>0</v>
          </cell>
          <cell r="F21">
            <v>0</v>
          </cell>
        </row>
        <row r="22">
          <cell r="D22">
            <v>0</v>
          </cell>
          <cell r="E22">
            <v>0</v>
          </cell>
          <cell r="F22">
            <v>0</v>
          </cell>
        </row>
        <row r="23">
          <cell r="D23">
            <v>8600</v>
          </cell>
          <cell r="E23">
            <v>8600</v>
          </cell>
          <cell r="F23">
            <v>8600</v>
          </cell>
        </row>
        <row r="24">
          <cell r="D24">
            <v>0</v>
          </cell>
          <cell r="E24">
            <v>0</v>
          </cell>
          <cell r="F24">
            <v>0</v>
          </cell>
        </row>
        <row r="25">
          <cell r="D25">
            <v>0</v>
          </cell>
          <cell r="E25">
            <v>91.8</v>
          </cell>
          <cell r="F25">
            <v>0</v>
          </cell>
        </row>
        <row r="26">
          <cell r="D26">
            <v>0</v>
          </cell>
          <cell r="E26">
            <v>0</v>
          </cell>
          <cell r="F26">
            <v>150</v>
          </cell>
        </row>
        <row r="27">
          <cell r="D27">
            <v>0</v>
          </cell>
          <cell r="E27">
            <v>0</v>
          </cell>
          <cell r="F27">
            <v>0</v>
          </cell>
        </row>
        <row r="28">
          <cell r="D28">
            <v>0</v>
          </cell>
          <cell r="E28">
            <v>0</v>
          </cell>
          <cell r="F28">
            <v>0</v>
          </cell>
        </row>
        <row r="29">
          <cell r="D29">
            <v>77.039999999999992</v>
          </cell>
          <cell r="E29">
            <v>0</v>
          </cell>
          <cell r="F29">
            <v>0</v>
          </cell>
        </row>
        <row r="30">
          <cell r="D30">
            <v>0</v>
          </cell>
          <cell r="E30">
            <v>0</v>
          </cell>
          <cell r="F30">
            <v>0</v>
          </cell>
        </row>
        <row r="31">
          <cell r="D31">
            <v>332</v>
          </cell>
          <cell r="E31">
            <v>332</v>
          </cell>
          <cell r="F31">
            <v>332</v>
          </cell>
        </row>
        <row r="32">
          <cell r="D32">
            <v>0</v>
          </cell>
          <cell r="E32">
            <v>0</v>
          </cell>
          <cell r="F32">
            <v>0</v>
          </cell>
        </row>
        <row r="33">
          <cell r="D33">
            <v>0</v>
          </cell>
          <cell r="E33">
            <v>0</v>
          </cell>
          <cell r="F33">
            <v>0</v>
          </cell>
        </row>
        <row r="34">
          <cell r="D34">
            <v>0</v>
          </cell>
          <cell r="E34">
            <v>0</v>
          </cell>
          <cell r="F34">
            <v>0</v>
          </cell>
        </row>
        <row r="35">
          <cell r="D35">
            <v>505.33</v>
          </cell>
          <cell r="E35">
            <v>505.33</v>
          </cell>
          <cell r="F35">
            <v>505.33</v>
          </cell>
        </row>
        <row r="36">
          <cell r="D36">
            <v>0</v>
          </cell>
          <cell r="E36">
            <v>0</v>
          </cell>
          <cell r="F36">
            <v>0</v>
          </cell>
        </row>
      </sheetData>
      <sheetData sheetId="1"/>
      <sheetData sheetId="2"/>
      <sheetData sheetId="3"/>
    </sheetDataSet>
  </externalBook>
</externalLink>
</file>

<file path=xl/persons/person.xml><?xml version="1.0" encoding="utf-8"?>
<personList xmlns="http://schemas.microsoft.com/office/spreadsheetml/2018/threadedcomments" xmlns:x="http://schemas.openxmlformats.org/spreadsheetml/2006/main">
  <person displayName="Pénélope Bieuville" id="{70C8404D-8B7D-403C-B56A-D8549758085B}" userId="S::penelope.bieuville@polymtl.ca::8695a24e-3e5f-48ed-b446-718f6b3eb2f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1" dT="2023-07-07T13:00:45.92" personId="{70C8404D-8B7D-403C-B56A-D8549758085B}" id="{46776127-EA51-4154-ADAE-493953162F09}">
    <text>+ dans les GB</text>
  </threadedComment>
</ThreadedComments>
</file>

<file path=xl/threadedComments/threadedComment2.xml><?xml version="1.0" encoding="utf-8"?>
<ThreadedComments xmlns="http://schemas.microsoft.com/office/spreadsheetml/2018/threadedcomments" xmlns:x="http://schemas.openxmlformats.org/spreadsheetml/2006/main">
  <threadedComment ref="M2" dT="2023-09-06T18:34:49.49" personId="{70C8404D-8B7D-403C-B56A-D8549758085B}" id="{8FB6C7ED-0561-40B0-8E35-29E62140852F}">
    <text>Système de montage non pris en compte 
Photovoltaic plant + electric installation</text>
  </threadedComment>
  <threadedComment ref="M2" dT="2023-09-06T18:59:40.83" personId="{70C8404D-8B7D-403C-B56A-D8549758085B}" id="{926C7325-F7CE-43EB-9AB8-11E0EEE49CA4}" parentId="{8FB6C7ED-0561-40B0-8E35-29E62140852F}">
    <text xml:space="preserve">Calcul effectué à partir du kW peak, donc au pic de performance maximum.  </text>
  </threadedComment>
  <threadedComment ref="AB5" dT="2023-09-07T14:15:58.94" personId="{70C8404D-8B7D-403C-B56A-D8549758085B}" id="{1D9E0D0F-5D53-4C06-8603-8376B11A12F5}">
    <text>(6 à 244)</text>
  </threadedComment>
  <threadedComment ref="M16" dT="2023-09-07T15:37:31.85" personId="{70C8404D-8B7D-403C-B56A-D8549758085B}" id="{4D33947D-FAA8-4151-9C26-3AC973167009}">
    <text xml:space="preserve">A comparer avec les chiffres de steel ? </text>
  </threadedComment>
  <threadedComment ref="A29" dT="2023-09-07T20:03:42.39" personId="{70C8404D-8B7D-403C-B56A-D8549758085B}" id="{8F1D7FD1-0992-4777-AC29-51706467296E}">
    <text xml:space="preserve">Acier : alliage composé majoritairement de fer et de 2,14% massique de carbone. </text>
  </threadedComment>
  <threadedComment ref="G29" dT="2023-09-07T15:11:49.46" personId="{70C8404D-8B7D-403C-B56A-D8549758085B}" id="{966B74C1-E7F2-4A48-8239-8FE2BD5C3364}">
    <text>1 source : Ashby 2016</text>
  </threadedComment>
</ThreadedComments>
</file>

<file path=xl/threadedComments/threadedComment3.xml><?xml version="1.0" encoding="utf-8"?>
<ThreadedComments xmlns="http://schemas.microsoft.com/office/spreadsheetml/2018/threadedcomments" xmlns:x="http://schemas.openxmlformats.org/spreadsheetml/2006/main">
  <threadedComment ref="V1" dT="2023-09-05T19:09:11.32" personId="{70C8404D-8B7D-403C-B56A-D8549758085B}" id="{8B3F5A38-505A-460F-8C2D-082F45408091}">
    <text>Steel et aluminium exclus</text>
  </threadedComment>
  <threadedComment ref="X1" dT="2023-07-20T09:39:12.96" personId="{70C8404D-8B7D-403C-B56A-D8549758085B}" id="{F4223CD5-FC9A-4042-B5A5-141861AC2B8A}">
    <text>Mais focus sur le système dutch</text>
  </threadedComment>
  <threadedComment ref="X1" dT="2023-09-14T16:11:23.97" personId="{70C8404D-8B7D-403C-B56A-D8549758085B}" id="{E62C9F91-43E2-4B9B-8FBC-5E9992876F21}" parentId="{F4223CD5-FC9A-4042-B5A5-141861AC2B8A}">
    <text>Sources : Roelofs, 2020</text>
  </threadedComment>
  <threadedComment ref="AB1" dT="2023-07-25T14:05:53.51" personId="{70C8404D-8B7D-403C-B56A-D8549758085B}" id="{9E73D6A7-0F01-46D6-AE06-453F4AA7A620}">
    <text>Voir sources dans les supplementary informations</text>
  </threadedComment>
  <threadedComment ref="S2" dT="2023-07-10T15:33:35.34" personId="{70C8404D-8B7D-403C-B56A-D8549758085B}" id="{8627233F-9B2E-4363-ABFF-1CB922A96507}">
    <text xml:space="preserve">permanent magnets 1/3 the mass of the direct drive counterparts. </text>
  </threadedComment>
  <threadedComment ref="T2" dT="2023-07-10T15:13:51.74" personId="{70C8404D-8B7D-403C-B56A-D8549758085B}" id="{53F95FC4-7BD2-4989-BAB0-CF12FEEDCB99}">
    <text>GB-DFIG values were adopted for the GB-SCIG turbines because they are both high-speed, gearbox generators.</text>
  </threadedComment>
  <threadedComment ref="V2" dT="2023-07-20T09:25:14.72" personId="{70C8404D-8B7D-403C-B56A-D8549758085B}" id="{BE3C2824-0C93-48B2-8B8D-E38A89666185}">
    <text>Correspond aux chiffres de GB-DFIG / SCIG</text>
  </threadedComment>
  <threadedComment ref="W2" dT="2023-07-20T09:24:46.34" personId="{70C8404D-8B7D-403C-B56A-D8549758085B}" id="{66557FAB-BC09-4A37-AB39-A3C1AE802DB0}">
    <text>Correspond aux chiffres de DD-PMSG</text>
  </threadedComment>
  <threadedComment ref="Z2" dT="2023-07-20T09:47:33.09" personId="{70C8404D-8B7D-403C-B56A-D8549758085B}" id="{AB2C24F2-C0BA-4A0E-9556-96018B886143}">
    <text>Plutôt onshore</text>
  </threadedComment>
  <threadedComment ref="AA2" dT="2023-07-20T09:47:20.68" personId="{70C8404D-8B7D-403C-B56A-D8549758085B}" id="{A2BADBC8-4AA8-49E5-BCD3-85EDEFDF22CB}">
    <text>Plutôt offshore</text>
  </threadedComment>
  <threadedComment ref="AE2" dT="2023-09-05T17:31:42.50" personId="{70C8404D-8B7D-403C-B56A-D8549758085B}" id="{2C51A142-E481-4C0F-B5B0-89A253890CB2}">
    <text>Les network connexion n'ont pas été intégrées</text>
  </threadedComment>
  <threadedComment ref="B3" dT="2023-07-06T15:15:01.72" personId="{70C8404D-8B7D-403C-B56A-D8549758085B}" id="{3FF70E62-4B5D-40C1-93AC-5589ACA5A969}">
    <text>Les 2 DD : cuivre est préféré, onshore et offshore</text>
  </threadedComment>
  <threadedComment ref="K3" dT="2023-07-06T15:16:26.22" personId="{70C8404D-8B7D-403C-B56A-D8549758085B}" id="{EE623964-4510-49BA-8C69-B2F3F69E78F6}">
    <text>Les 2 GB : + d'alu, - de cuivre -&gt; remplacement cuivre par alu dans la bobine du transformateur et dans le design de la tour</text>
  </threadedComment>
  <threadedComment ref="Q3" dT="2023-07-06T15:15:01.72" personId="{70C8404D-8B7D-403C-B56A-D8549758085B}" id="{402A6F60-FDC6-46D3-914F-4F5F917ACA41}">
    <text>Les 2 DD : cuivre est préféré, onshore et offshore</text>
  </threadedComment>
  <threadedComment ref="S3" dT="2023-07-06T15:16:26.22" personId="{70C8404D-8B7D-403C-B56A-D8549758085B}" id="{2186942B-8B02-4A7C-864C-0039AE705D67}">
    <text>Les 2 GB : + d'alu, - de cuivre -&gt; remplacement cuivre par alu dans la bobine du transformateur et dans le design de la tour</text>
  </threadedComment>
  <threadedComment ref="R6" dT="2023-07-06T15:13:53.02" personId="{70C8404D-8B7D-403C-B56A-D8549758085B}" id="{6FF726E4-E95A-4BB4-B89B-7B93A9872627}">
    <text>Peu, surtout offshore</text>
  </threadedComment>
  <threadedComment ref="S6" dT="2023-07-06T15:13:29.91" personId="{70C8404D-8B7D-403C-B56A-D8549758085B}" id="{167B12E1-140E-4DBA-9521-68694463F572}">
    <text>+ grandes turbines onshore</text>
  </threadedComment>
  <threadedComment ref="Q7" dT="2023-07-06T15:18:04.40" personId="{70C8404D-8B7D-403C-B56A-D8549758085B}" id="{51974AA9-0805-46D7-A00C-ADEFF30781A0}">
    <text>Surtout dans les DD : 3X + que dans les gearbox</text>
  </threadedComment>
  <threadedComment ref="AE7" dT="2023-08-24T18:46:00.17" personId="{70C8404D-8B7D-403C-B56A-D8549758085B}" id="{DCA44B85-2AC6-481F-A100-2F7C1DA1DAB6}">
    <text>Max de 1 400 pour les GB, majoritairement onshore</text>
  </threadedComment>
  <threadedComment ref="R8" dT="2023-07-12T11:55:37.47" personId="{70C8404D-8B7D-403C-B56A-D8549758085B}" id="{07F30DE0-A33E-48D8-B784-7C40D9945F6E}">
    <text xml:space="preserve">Dysprosium sintering is used to increase magnet coercivity, which increases the upper bound of working temperature from 80 °C to at least 120 °C. Dysprosium can be reduced or even eliminated if the cooling is improved. Dysprosium can be replaced with terbium, although terbium is required in LED lights. </text>
  </threadedComment>
  <threadedComment ref="B9" dT="2023-07-06T15:18:04.40" personId="{70C8404D-8B7D-403C-B56A-D8549758085B}" id="{82CF716B-A474-4597-864A-40ECEABA05C8}">
    <text>Surtout dans les DD : 3X + que dans les gearbox</text>
  </threadedComment>
  <threadedComment ref="H10" dT="2023-07-12T11:55:37.47" personId="{70C8404D-8B7D-403C-B56A-D8549758085B}" id="{1C9D96AC-E975-4C37-8F89-DB3719CDF7B3}">
    <text xml:space="preserve">Dysprosium sintering is used to increase magnet coercivity, which increases the upper bound of working temperature from 80 °C to at least 120 °C. Dysprosium can be reduced or even eliminated if the cooling is improved. Dysprosium can be replaced with terbium, although terbium is required in LED lights. </text>
  </threadedComment>
  <threadedComment ref="P10" dT="2023-09-07T20:02:53.82" personId="{70C8404D-8B7D-403C-B56A-D8549758085B}" id="{3C93C5B5-976D-4A17-829D-F232741A1321}">
    <text>Fer</text>
  </threadedComment>
  <threadedComment ref="AB13" dT="2023-07-25T13:59:23.00" personId="{70C8404D-8B7D-403C-B56A-D8549758085B}" id="{C9AC3D5D-459E-4088-B733-BA208261ED62}">
    <text xml:space="preserve">Deux sources à 116 et 135, une à 750 faussant le résultat ? </text>
  </threadedComment>
  <threadedComment ref="R14" dT="2023-07-12T11:57:51.42" personId="{70C8404D-8B7D-403C-B56A-D8549758085B}" id="{06926F3D-A2EF-4A4B-BF57-0D33F81062D7}">
    <text>Up to 25% of neodymium can be replaced with praseodymium (Lacal-Arántegui, 2015).</text>
  </threadedComment>
  <threadedComment ref="S15" dT="2023-07-07T13:00:45.92" personId="{70C8404D-8B7D-403C-B56A-D8549758085B}" id="{AE256A3C-1AD1-4E65-8525-6A262C2D89C1}">
    <text>+ dans les GB</text>
  </threadedComment>
  <threadedComment ref="AE18" dT="2023-09-05T18:09:32.91" personId="{70C8404D-8B7D-403C-B56A-D8549758085B}" id="{70F27993-68FA-4657-A452-ACFBB1AAE338}">
    <text>Terres rares semblent peu comptabilisées</text>
  </threadedComment>
  <threadedComment ref="P19" dT="2023-09-07T20:03:09.77" personId="{70C8404D-8B7D-403C-B56A-D8549758085B}" id="{E78054A9-62C6-4269-9E5C-EBF6B10A276A}">
    <text>Acier : alliage composé majoritairement de fer et de carbone</text>
  </threadedComment>
  <threadedComment ref="H21" dT="2023-07-12T11:57:51.42" personId="{70C8404D-8B7D-403C-B56A-D8549758085B}" id="{E84FA399-DBD9-4280-95B9-51897799D27D}">
    <text>Up to 25% of neodymium can be replaced with praseodymium (Lacal-Arántegui, 2015).</text>
  </threadedComment>
  <threadedComment ref="K22" dT="2023-07-07T13:00:45.92" personId="{70C8404D-8B7D-403C-B56A-D8549758085B}" id="{A3E0AD2A-8BF5-425A-8E9D-CC5BD72B9CB3}">
    <text>+ dans les GB</text>
  </threadedComment>
  <threadedComment ref="AE24" dT="2023-08-24T18:55:12.00" personId="{70C8404D-8B7D-403C-B56A-D8549758085B}" id="{BC4FB2FD-5CFF-4F1D-A774-9F85CFC6ADBA}">
    <text>Métaux dont la quantité extraite est supérieure à + de 100 tonnes</text>
  </threadedComment>
  <threadedComment ref="R26" dT="2023-07-10T15:13:51.74" personId="{70C8404D-8B7D-403C-B56A-D8549758085B}" id="{076A2792-2DDA-4473-8297-0CC7CC4E00A2}">
    <text>GB-DFIG values were adopted for the GB-SCIG turbines because they are both high-speed, gearbox generators.</text>
  </threadedComment>
  <threadedComment ref="T26" dT="2023-07-10T15:33:35.34" personId="{70C8404D-8B7D-403C-B56A-D8549758085B}" id="{3A11FEB0-37AE-4F6D-BF31-BF61A28C6635}">
    <text xml:space="preserve">permanent magnets 1/3 the mass of the direct drive counterparts. </text>
  </threadedComment>
  <threadedComment ref="A29" dT="2023-09-07T20:03:42.39" personId="{70C8404D-8B7D-403C-B56A-D8549758085B}" id="{EAF5C741-13C2-42AB-A849-3B5A6EB3A353}">
    <text xml:space="preserve">Acier : alliage composé majoritairement de fer et de 2,14% massique de carbone. </text>
  </threadedComment>
</ThreadedComments>
</file>

<file path=xl/threadedComments/threadedComment4.xml><?xml version="1.0" encoding="utf-8"?>
<ThreadedComments xmlns="http://schemas.microsoft.com/office/spreadsheetml/2018/threadedcomments" xmlns:x="http://schemas.openxmlformats.org/spreadsheetml/2006/main">
  <threadedComment ref="G1" dT="2023-08-24T18:21:02.00" personId="{70C8404D-8B7D-403C-B56A-D8549758085B}" id="{6045318E-0914-49D4-B41B-E71CD450BBE5}">
    <text>Les frontières du système sont différentes car l'ACV prend en compte l'entièreté des étapes du cycle de vie, on s'attend donc à des résultats surévalués</text>
  </threadedComment>
  <threadedComment ref="G1" dT="2023-08-24T18:49:08.70" personId="{70C8404D-8B7D-403C-B56A-D8549758085B}" id="{603061E1-0455-4407-B4A5-6FC3912AB350}" parentId="{6045318E-0914-49D4-B41B-E71CD450BBE5}">
    <text>Revoir les matières également, car il y a beaucoup plus de matière sur open LCA qui ont pu être regroupées dans les autres études (ex: bauxite / aluminium)</text>
  </threadedComment>
  <threadedComment ref="A16" dT="2023-09-07T20:02:53.82" personId="{70C8404D-8B7D-403C-B56A-D8549758085B}" id="{17ADEFD2-0F3A-4472-BA69-D5150942ABFA}">
    <text>Fer</text>
  </threadedComment>
  <threadedComment ref="A29" dT="2023-09-07T20:03:09.77" personId="{70C8404D-8B7D-403C-B56A-D8549758085B}" id="{6FD2C131-72ED-435E-8AC3-B75EFEDA7A65}">
    <text>Acier : alliage composé majoritairement de fer et de carbone</text>
  </threadedComment>
</ThreadedComments>
</file>

<file path=xl/threadedComments/threadedComment5.xml><?xml version="1.0" encoding="utf-8"?>
<ThreadedComments xmlns="http://schemas.microsoft.com/office/spreadsheetml/2018/threadedcomments" xmlns:x="http://schemas.openxmlformats.org/spreadsheetml/2006/main">
  <threadedComment ref="A16" dT="2023-09-07T20:03:31.73" personId="{70C8404D-8B7D-403C-B56A-D8549758085B}" id="{1776CCBB-7DDE-4754-9F88-CCF28503E6AD}">
    <text>Fer</text>
  </threadedComment>
  <threadedComment ref="A29" dT="2023-09-07T20:03:09.77" personId="{70C8404D-8B7D-403C-B56A-D8549758085B}" id="{11723F19-8D1B-4C38-8865-40BFD104914B}">
    <text>Acier : alliage composé majoritairement de fer et de carbone</text>
  </threadedComment>
  <threadedComment ref="C29" dT="2023-09-27T19:17:57.41" personId="{70C8404D-8B7D-403C-B56A-D8549758085B}" id="{6116D13F-A8F3-4D6D-82BF-2914A3049ECC}">
    <text xml:space="preserve">Selon Ashby : 5820, dont 0,82 pour l'électrique </text>
  </threadedComment>
</ThreadedComments>
</file>

<file path=xl/threadedComments/threadedComment6.xml><?xml version="1.0" encoding="utf-8"?>
<ThreadedComments xmlns="http://schemas.microsoft.com/office/spreadsheetml/2018/threadedcomments" xmlns:x="http://schemas.openxmlformats.org/spreadsheetml/2006/main">
  <threadedComment ref="A16" dT="2023-09-07T20:02:53.82" personId="{70C8404D-8B7D-403C-B56A-D8549758085B}" id="{A69F6C7F-C261-4F7A-9F86-5F16EA3FE616}">
    <text>Fer</text>
  </threadedComment>
  <threadedComment ref="A29" dT="2023-09-07T20:03:09.77" personId="{70C8404D-8B7D-403C-B56A-D8549758085B}" id="{8FB64FAE-0247-4AEA-929E-1D3B53E122F3}">
    <text>Acier : alliage composé majoritairement de fer et de carbone</text>
  </threadedComment>
  <threadedComment ref="B29" dT="2023-09-27T20:09:30.44" personId="{70C8404D-8B7D-403C-B56A-D8549758085B}" id="{C256C050-AF29-416F-BA47-455749B328F0}">
    <text>Carbon steel : 10 800</text>
  </threadedComment>
  <threadedComment ref="B29" dT="2023-09-27T20:10:18.50" personId="{70C8404D-8B7D-403C-B56A-D8549758085B}" id="{1B6B24C2-FB52-4161-818C-29D400AC8482}" parentId="{C256C050-AF29-416F-BA47-455749B328F0}">
    <text>High alloy steel : 342 400</text>
  </threadedComment>
  <threadedComment ref="B29" dT="2023-09-27T20:10:30.45" personId="{70C8404D-8B7D-403C-B56A-D8549758085B}" id="{2426528A-772F-4281-A6D5-55FD3A9AFF8B}" parentId="{C256C050-AF29-416F-BA47-455749B328F0}">
    <text>Low alloy steel : 2000 à 476 000</text>
  </threadedComment>
  <threadedComment ref="C29" dT="2023-09-27T20:13:38.58" personId="{70C8404D-8B7D-403C-B56A-D8549758085B}" id="{5547A215-AF40-4A30-B9BC-CC92809C2892}">
    <text>Moyenne utilisée dans l'étude : Total material requirement for the global energy transition to 2050</text>
  </threadedComment>
</ThreadedComments>
</file>

<file path=xl/threadedComments/threadedComment7.xml><?xml version="1.0" encoding="utf-8"?>
<ThreadedComments xmlns="http://schemas.microsoft.com/office/spreadsheetml/2018/threadedcomments" xmlns:x="http://schemas.openxmlformats.org/spreadsheetml/2006/main">
  <threadedComment ref="A16" dT="2023-09-07T20:02:53.82" personId="{70C8404D-8B7D-403C-B56A-D8549758085B}" id="{7797B99C-B14C-404D-9D0F-9B8DD4B2DA1E}">
    <text>Fer</text>
  </threadedComment>
  <threadedComment ref="A29" dT="2023-09-07T20:03:09.77" personId="{70C8404D-8B7D-403C-B56A-D8549758085B}" id="{45DF2CF2-29F0-4393-AA03-60FF8830F8F7}">
    <text>Acier : alliage composé majoritairement de fer et de carbone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oi.org/10.1016/j.rser.2022.112334" TargetMode="External"/><Relationship Id="rId4" Type="http://schemas.microsoft.com/office/2017/10/relationships/threadedComment" Target="../threadedComments/threadedComment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FD458-9B9C-47EC-B1E8-5871B90E6317}">
  <sheetPr>
    <tabColor theme="7" tint="0.79998168889431442"/>
  </sheetPr>
  <dimension ref="A1:GH273"/>
  <sheetViews>
    <sheetView zoomScale="70" zoomScaleNormal="70" workbookViewId="0">
      <selection activeCell="C23" sqref="C23"/>
    </sheetView>
  </sheetViews>
  <sheetFormatPr baseColWidth="10" defaultRowHeight="14.5"/>
  <cols>
    <col min="1" max="1" width="21.90625" bestFit="1" customWidth="1"/>
    <col min="15" max="15" width="14.453125" bestFit="1" customWidth="1"/>
    <col min="19" max="19" width="12.81640625" customWidth="1"/>
    <col min="20" max="190" width="10.90625" style="1"/>
  </cols>
  <sheetData>
    <row r="1" spans="1:19" ht="29.5" thickBot="1">
      <c r="A1" s="588" t="s">
        <v>289</v>
      </c>
      <c r="B1" s="126" t="s">
        <v>133</v>
      </c>
      <c r="C1" s="127" t="s">
        <v>6</v>
      </c>
      <c r="D1" s="128" t="s">
        <v>7</v>
      </c>
      <c r="E1" s="129" t="s">
        <v>9</v>
      </c>
      <c r="F1" s="130" t="s">
        <v>134</v>
      </c>
      <c r="G1" s="131" t="s">
        <v>135</v>
      </c>
      <c r="H1" s="132" t="s">
        <v>86</v>
      </c>
      <c r="I1" s="133" t="s">
        <v>136</v>
      </c>
      <c r="J1" s="133" t="s">
        <v>87</v>
      </c>
      <c r="K1" s="134" t="s">
        <v>88</v>
      </c>
      <c r="L1" s="135" t="s">
        <v>263</v>
      </c>
      <c r="M1" s="135" t="s">
        <v>262</v>
      </c>
      <c r="N1" s="132" t="s">
        <v>137</v>
      </c>
      <c r="O1" s="134" t="s">
        <v>138</v>
      </c>
      <c r="P1" s="136" t="s">
        <v>78</v>
      </c>
      <c r="Q1" s="133" t="s">
        <v>79</v>
      </c>
      <c r="R1" s="133" t="s">
        <v>80</v>
      </c>
      <c r="S1" s="134" t="s">
        <v>139</v>
      </c>
    </row>
    <row r="2" spans="1:19">
      <c r="A2" s="91" t="s">
        <v>21</v>
      </c>
      <c r="B2" s="11" cm="1">
        <f t="array" ref="B2">VLOOKUP($A2,'Solar PV - CSP'!$A:$BM,COLUMN('Solar PV - CSP'!R:R),TRUE)</f>
        <v>10953</v>
      </c>
      <c r="C2" s="11" cm="1">
        <f t="array" ref="C2">VLOOKUP($A2,'Solar PV - CSP'!$A:$BM,COLUMN('Solar PV - CSP'!AC:AC),TRUE)</f>
        <v>10953</v>
      </c>
      <c r="D2" s="11" cm="1">
        <f t="array" ref="D2">VLOOKUP($A2,'Solar PV - CSP'!$A:$BM,COLUMN('Solar PV - CSP'!AM:AM),TRUE)</f>
        <v>10953</v>
      </c>
      <c r="E2" s="11" cm="1">
        <f t="array" ref="E2">VLOOKUP($A2,'Solar PV - CSP'!$A:$BM,COLUMN('Solar PV - CSP'!AT:AT),TRUE)</f>
        <v>10953</v>
      </c>
      <c r="F2" s="11" cm="1">
        <f t="array" ref="F2">VLOOKUP($A2,'Solar PV - CSP'!$A:$BM,COLUMN('Solar PV - CSP'!BG:BG),TRUE)</f>
        <v>242.5</v>
      </c>
      <c r="G2" s="11" cm="1">
        <f t="array" ref="G2">VLOOKUP($A2,'Solar PV - CSP'!$A:$BM,COLUMN('Solar PV - CSP'!BJ:BJ),TRUE)</f>
        <v>41983.5</v>
      </c>
      <c r="H2" s="11" cm="1">
        <f t="array" ref="H2">VLOOKUP($A2,Wind!$A:$N,COLUMN(Wind!B:B),TRUE)</f>
        <v>700</v>
      </c>
      <c r="I2" s="11" cm="1">
        <f t="array" ref="I2">VLOOKUP($A2,Wind!$A:$N,COLUMN(Wind!E:E),TRUE)</f>
        <v>1400</v>
      </c>
      <c r="J2" s="11" cm="1">
        <f t="array" ref="J2">VLOOKUP($A2,Wind!$A:$N,COLUMN(Wind!H:H),TRUE)</f>
        <v>500</v>
      </c>
      <c r="K2" s="11" cm="1">
        <f t="array" ref="K2">VLOOKUP($A2,Wind!$A:$N,COLUMN(Wind!K:K),TRUE)</f>
        <v>1600</v>
      </c>
      <c r="L2" s="11" cm="1">
        <f t="array" ref="L2">VLOOKUP($A2,Nuclear!$A:$L,COLUMN(Nuclear!I:I),TRUE)</f>
        <v>61104.4</v>
      </c>
      <c r="M2" s="11" cm="1">
        <f t="array" ref="M2">VLOOKUP($A2,Hydro!$A:$H,COLUMN(Hydro!E:E),TRUE)</f>
        <v>3400</v>
      </c>
      <c r="N2" s="11" cm="1">
        <f t="array" ref="N2">VLOOKUP($A2,Biomass!$A:$J,COLUMN(Biomass!G:G),TRUE)</f>
        <v>2600</v>
      </c>
      <c r="O2" s="11" cm="1">
        <f t="array" ref="O2">VLOOKUP($A2,Geothermal!$A:$K,COLUMN(Geothermal!H:H),TRUE)</f>
        <v>2386</v>
      </c>
      <c r="P2" s="11" cm="1">
        <f t="array" ref="P2">VLOOKUP($A2,'Fossil energy'!$A:$AH,COLUMN('Fossil energy'!H:H),TRUE)</f>
        <v>500</v>
      </c>
      <c r="Q2" s="11" cm="1">
        <f t="array" ref="Q2">VLOOKUP($A2,'Fossil energy'!$A:$AH,COLUMN('Fossil energy'!Q:Q),TRUE)</f>
        <v>724.59999999999991</v>
      </c>
      <c r="R2" s="11" cm="1">
        <f t="array" ref="R2">VLOOKUP($A2,'Fossil energy'!$A:$AH,COLUMN('Fossil energy'!X:X),TRUE)</f>
        <v>517.6</v>
      </c>
      <c r="S2" s="11" cm="1">
        <f t="array" ref="S2">VLOOKUP($A2,'Fossil energy'!$A:$AH,COLUMN('Fossil energy'!AE:AE),TRUE)</f>
        <v>922.19999999999982</v>
      </c>
    </row>
    <row r="3" spans="1:19">
      <c r="A3" s="28" t="s">
        <v>23</v>
      </c>
      <c r="B3" s="11" cm="1">
        <f t="array" ref="B3">VLOOKUP($A3,'Solar PV - CSP'!$A:$BM,COLUMN('Solar PV - CSP'!R:R),TRUE)</f>
        <v>0</v>
      </c>
      <c r="C3" s="11" cm="1">
        <f t="array" ref="C3">VLOOKUP($A3,'Solar PV - CSP'!$A:$BM,COLUMN('Solar PV - CSP'!AC:AC),TRUE)</f>
        <v>0</v>
      </c>
      <c r="D3" s="11" cm="1">
        <f t="array" ref="D3">VLOOKUP($A3,'Solar PV - CSP'!$A:$BM,COLUMN('Solar PV - CSP'!AM:AM),TRUE)</f>
        <v>0</v>
      </c>
      <c r="E3" s="11" cm="1">
        <f t="array" ref="E3">VLOOKUP($A3,'Solar PV - CSP'!$A:$BM,COLUMN('Solar PV - CSP'!AT:AT),TRUE)</f>
        <v>0</v>
      </c>
      <c r="F3" s="11" cm="1">
        <f t="array" ref="F3">VLOOKUP($A3,'Solar PV - CSP'!$A:$BM,COLUMN('Solar PV - CSP'!BG:BG),TRUE)</f>
        <v>0</v>
      </c>
      <c r="G3" s="11" cm="1">
        <f t="array" ref="G3">VLOOKUP($A3,'Solar PV - CSP'!$A:$BM,COLUMN('Solar PV - CSP'!BJ:BJ),TRUE)</f>
        <v>0</v>
      </c>
      <c r="H3" s="11" cm="1">
        <f t="array" ref="H3">VLOOKUP($A3,Wind!$A:$N,COLUMN(Wind!B:B),TRUE)</f>
        <v>0</v>
      </c>
      <c r="I3" s="11" cm="1">
        <f t="array" ref="I3">VLOOKUP($A3,Wind!$A:$N,COLUMN(Wind!E:E),TRUE)</f>
        <v>0</v>
      </c>
      <c r="J3" s="11" cm="1">
        <f t="array" ref="J3">VLOOKUP($A3,Wind!$A:$N,COLUMN(Wind!H:H),TRUE)</f>
        <v>6</v>
      </c>
      <c r="K3" s="11" cm="1">
        <f t="array" ref="K3">VLOOKUP($A3,Wind!$A:$N,COLUMN(Wind!K:K),TRUE)</f>
        <v>1</v>
      </c>
      <c r="L3" s="11" cm="1">
        <f t="array" ref="L3">VLOOKUP($A3,Nuclear!$A:$L,COLUMN(Nuclear!I:I),TRUE)</f>
        <v>0</v>
      </c>
      <c r="M3" s="11" cm="1">
        <f t="array" ref="M3">VLOOKUP($A3,Hydro!$A:$H,COLUMN(Hydro!E:E),TRUE)</f>
        <v>0</v>
      </c>
      <c r="N3" s="11" cm="1">
        <f t="array" ref="N3">VLOOKUP($A3,Biomass!$A:$J,COLUMN(Biomass!G:G),TRUE)</f>
        <v>0</v>
      </c>
      <c r="O3" s="11" cm="1">
        <f t="array" ref="O3">VLOOKUP($A3,Geothermal!$A:$K,COLUMN(Geothermal!H:H),TRUE)</f>
        <v>0</v>
      </c>
      <c r="P3" s="11" cm="1">
        <f t="array" ref="P3">VLOOKUP($A3,'Fossil energy'!$A:$AH,COLUMN('Fossil energy'!H:H),TRUE)</f>
        <v>0</v>
      </c>
      <c r="Q3" s="11" cm="1">
        <f t="array" ref="Q3">VLOOKUP($A3,'Fossil energy'!$A:$AH,COLUMN('Fossil energy'!Q:Q),TRUE)</f>
        <v>0</v>
      </c>
      <c r="R3" s="11" cm="1">
        <f t="array" ref="R3">VLOOKUP($A3,'Fossil energy'!$A:$AH,COLUMN('Fossil energy'!X:X),TRUE)</f>
        <v>0</v>
      </c>
      <c r="S3" s="11" cm="1">
        <f t="array" ref="S3">VLOOKUP($A3,'Fossil energy'!$A:$AH,COLUMN('Fossil energy'!AE:AE),TRUE)</f>
        <v>0</v>
      </c>
    </row>
    <row r="4" spans="1:19">
      <c r="A4" s="28" t="s">
        <v>24</v>
      </c>
      <c r="B4" s="11" cm="1">
        <f t="array" ref="B4">VLOOKUP($A4,'Solar PV - CSP'!$A:$BM,COLUMN('Solar PV - CSP'!R:R),TRUE)</f>
        <v>0</v>
      </c>
      <c r="C4" s="11" cm="1">
        <f t="array" ref="C4">VLOOKUP($A4,'Solar PV - CSP'!$A:$BM,COLUMN('Solar PV - CSP'!AC:AC),TRUE)</f>
        <v>91.666666666666671</v>
      </c>
      <c r="D4" s="11" cm="1">
        <f t="array" ref="D4">VLOOKUP($A4,'Solar PV - CSP'!$A:$BM,COLUMN('Solar PV - CSP'!AM:AM),TRUE)</f>
        <v>0</v>
      </c>
      <c r="E4" s="11" cm="1">
        <f t="array" ref="E4">VLOOKUP($A4,'Solar PV - CSP'!$A:$BM,COLUMN('Solar PV - CSP'!AT:AT),TRUE)</f>
        <v>0</v>
      </c>
      <c r="F4" s="11" cm="1">
        <f t="array" ref="F4">VLOOKUP($A4,'Solar PV - CSP'!$A:$BM,COLUMN('Solar PV - CSP'!BG:BG),TRUE)</f>
        <v>0</v>
      </c>
      <c r="G4" s="11" cm="1">
        <f t="array" ref="G4">VLOOKUP($A4,'Solar PV - CSP'!$A:$BM,COLUMN('Solar PV - CSP'!BJ:BJ),TRUE)</f>
        <v>0</v>
      </c>
      <c r="H4" s="11" cm="1">
        <f t="array" ref="H4">VLOOKUP($A4,Wind!$A:$N,COLUMN(Wind!B:B),TRUE)</f>
        <v>0</v>
      </c>
      <c r="I4" s="11" cm="1">
        <f t="array" ref="I4">VLOOKUP($A4,Wind!$A:$N,COLUMN(Wind!E:E),TRUE)</f>
        <v>0</v>
      </c>
      <c r="J4" s="11" cm="1">
        <f t="array" ref="J4">VLOOKUP($A4,Wind!$A:$N,COLUMN(Wind!H:H),TRUE)</f>
        <v>0</v>
      </c>
      <c r="K4" s="11" cm="1">
        <f t="array" ref="K4">VLOOKUP($A4,Wind!$A:$N,COLUMN(Wind!K:K),TRUE)</f>
        <v>0</v>
      </c>
      <c r="L4" s="11" cm="1">
        <f t="array" ref="L4">VLOOKUP($A4,Nuclear!$A:$L,COLUMN(Nuclear!I:I),TRUE)</f>
        <v>0</v>
      </c>
      <c r="M4" s="11" cm="1">
        <f t="array" ref="M4">VLOOKUP($A4,Hydro!$A:$H,COLUMN(Hydro!E:E),TRUE)</f>
        <v>0</v>
      </c>
      <c r="N4" s="11" cm="1">
        <f t="array" ref="N4">VLOOKUP($A4,Biomass!$A:$J,COLUMN(Biomass!G:G),TRUE)</f>
        <v>0</v>
      </c>
      <c r="O4" s="11" cm="1">
        <f t="array" ref="O4">VLOOKUP($A4,Geothermal!$A:$K,COLUMN(Geothermal!H:H),TRUE)</f>
        <v>0</v>
      </c>
      <c r="P4" s="11" cm="1">
        <f t="array" ref="P4">VLOOKUP($A4,'Fossil energy'!$A:$AH,COLUMN('Fossil energy'!H:H),TRUE)</f>
        <v>0</v>
      </c>
      <c r="Q4" s="11" cm="1">
        <f t="array" ref="Q4">VLOOKUP($A4,'Fossil energy'!$A:$AH,COLUMN('Fossil energy'!Q:Q),TRUE)</f>
        <v>0</v>
      </c>
      <c r="R4" s="11" cm="1">
        <f t="array" ref="R4">VLOOKUP($A4,'Fossil energy'!$A:$AH,COLUMN('Fossil energy'!X:X),TRUE)</f>
        <v>0</v>
      </c>
      <c r="S4" s="11" cm="1">
        <f t="array" ref="S4">VLOOKUP($A4,'Fossil energy'!$A:$AH,COLUMN('Fossil energy'!AE:AE),TRUE)</f>
        <v>0</v>
      </c>
    </row>
    <row r="5" spans="1:19">
      <c r="A5" s="91" t="s">
        <v>72</v>
      </c>
      <c r="B5" s="11" cm="1">
        <f t="array" ref="B5">VLOOKUP($A5,'Solar PV - CSP'!$A:$BM,COLUMN('Solar PV - CSP'!R:R),TRUE)</f>
        <v>3761</v>
      </c>
      <c r="C5" s="11" cm="1">
        <f t="array" ref="C5">VLOOKUP($A5,'Solar PV - CSP'!$A:$BM,COLUMN('Solar PV - CSP'!AC:AC),TRUE)</f>
        <v>3761</v>
      </c>
      <c r="D5" s="11" cm="1">
        <f t="array" ref="D5">VLOOKUP($A5,'Solar PV - CSP'!$A:$BM,COLUMN('Solar PV - CSP'!AM:AM),TRUE)</f>
        <v>3761</v>
      </c>
      <c r="E5" s="11" cm="1">
        <f t="array" ref="E5">VLOOKUP($A5,'Solar PV - CSP'!$A:$BM,COLUMN('Solar PV - CSP'!AT:AT),TRUE)</f>
        <v>3761</v>
      </c>
      <c r="F5" s="11" cm="1">
        <f t="array" ref="F5">VLOOKUP($A5,'Solar PV - CSP'!$A:$BM,COLUMN('Solar PV - CSP'!BG:BG),TRUE)</f>
        <v>4733</v>
      </c>
      <c r="G5" s="11" cm="1">
        <f t="array" ref="G5">VLOOKUP($A5,'Solar PV - CSP'!$A:$BM,COLUMN('Solar PV - CSP'!BJ:BJ),TRUE)</f>
        <v>3700</v>
      </c>
      <c r="H5" s="11" cm="1">
        <f t="array" ref="H5">VLOOKUP($A5,Wind!$A:$N,COLUMN(Wind!B:B),TRUE)</f>
        <v>525</v>
      </c>
      <c r="I5" s="11" cm="1">
        <f t="array" ref="I5">VLOOKUP($A5,Wind!$A:$N,COLUMN(Wind!E:E),TRUE)</f>
        <v>470</v>
      </c>
      <c r="J5" s="11" cm="1">
        <f t="array" ref="J5">VLOOKUP($A5,Wind!$A:$N,COLUMN(Wind!H:H),TRUE)</f>
        <v>525</v>
      </c>
      <c r="K5" s="11" cm="1">
        <f t="array" ref="K5">VLOOKUP($A5,Wind!$A:$N,COLUMN(Wind!K:K),TRUE)</f>
        <v>580</v>
      </c>
      <c r="L5" s="11" cm="1">
        <f t="array" ref="L5">VLOOKUP($A5,Nuclear!$A:$L,COLUMN(Nuclear!I:I),TRUE)</f>
        <v>2190</v>
      </c>
      <c r="M5" s="11" cm="1">
        <f t="array" ref="M5">VLOOKUP($A5,Hydro!$A:$H,COLUMN(Hydro!E:E),TRUE)</f>
        <v>1500</v>
      </c>
      <c r="N5" s="11" cm="1">
        <f t="array" ref="N5">VLOOKUP($A5,Biomass!$A:$J,COLUMN(Biomass!G:G),TRUE)</f>
        <v>2</v>
      </c>
      <c r="O5" s="11" cm="1">
        <f t="array" ref="O5">VLOOKUP($A5,Geothermal!$A:$K,COLUMN(Geothermal!H:H),TRUE)</f>
        <v>64405</v>
      </c>
      <c r="P5" s="11" cm="1">
        <f t="array" ref="P5">VLOOKUP($A5,'Fossil energy'!$A:$AH,COLUMN('Fossil energy'!H:H),TRUE)</f>
        <v>307.5</v>
      </c>
      <c r="Q5" s="11" cm="1">
        <f t="array" ref="Q5">VLOOKUP($A5,'Fossil energy'!$A:$AH,COLUMN('Fossil energy'!Q:Q),TRUE)</f>
        <v>52.67</v>
      </c>
      <c r="R5" s="11" cm="1">
        <f t="array" ref="R5">VLOOKUP($A5,'Fossil energy'!$A:$AH,COLUMN('Fossil energy'!X:X),TRUE)</f>
        <v>904</v>
      </c>
      <c r="S5" s="11" cm="1">
        <f t="array" ref="S5">VLOOKUP($A5,'Fossil energy'!$A:$AH,COLUMN('Fossil energy'!AE:AE),TRUE)</f>
        <v>0</v>
      </c>
    </row>
    <row r="6" spans="1:19">
      <c r="A6" s="91" t="s">
        <v>73</v>
      </c>
      <c r="B6" s="11" cm="1">
        <f t="array" ref="B6">VLOOKUP($A6,'Solar PV - CSP'!$A:$BM,COLUMN('Solar PV - CSP'!R:R),TRUE)</f>
        <v>0</v>
      </c>
      <c r="C6" s="11" cm="1">
        <f t="array" ref="C6">VLOOKUP($A6,'Solar PV - CSP'!$A:$BM,COLUMN('Solar PV - CSP'!AC:AC),TRUE)</f>
        <v>0</v>
      </c>
      <c r="D6" s="11" cm="1">
        <f t="array" ref="D6">VLOOKUP($A6,'Solar PV - CSP'!$A:$BM,COLUMN('Solar PV - CSP'!AM:AM),TRUE)</f>
        <v>0</v>
      </c>
      <c r="E6" s="11" cm="1">
        <f t="array" ref="E6">VLOOKUP($A6,'Solar PV - CSP'!$A:$BM,COLUMN('Solar PV - CSP'!AT:AT),TRUE)</f>
        <v>0</v>
      </c>
      <c r="F6" s="11" cm="1">
        <f t="array" ref="F6">VLOOKUP($A6,'Solar PV - CSP'!$A:$BM,COLUMN('Solar PV - CSP'!BG:BG),TRUE)</f>
        <v>326</v>
      </c>
      <c r="G6" s="11" cm="1">
        <f t="array" ref="G6">VLOOKUP($A6,'Solar PV - CSP'!$A:$BM,COLUMN('Solar PV - CSP'!BJ:BJ),TRUE)</f>
        <v>326</v>
      </c>
      <c r="H6" s="11" cm="1">
        <f t="array" ref="H6">VLOOKUP($A6,Wind!$A:$N,COLUMN(Wind!B:B),TRUE)</f>
        <v>0</v>
      </c>
      <c r="I6" s="11" cm="1">
        <f t="array" ref="I6">VLOOKUP($A6,Wind!$A:$N,COLUMN(Wind!E:E),TRUE)</f>
        <v>0</v>
      </c>
      <c r="J6" s="11" cm="1">
        <f t="array" ref="J6">VLOOKUP($A6,Wind!$A:$N,COLUMN(Wind!H:H),TRUE)</f>
        <v>0</v>
      </c>
      <c r="K6" s="11" cm="1">
        <f t="array" ref="K6">VLOOKUP($A6,Wind!$A:$N,COLUMN(Wind!K:K),TRUE)</f>
        <v>0</v>
      </c>
      <c r="L6" s="11" cm="1">
        <f t="array" ref="L6">VLOOKUP($A6,Nuclear!$A:$L,COLUMN(Nuclear!I:I),TRUE)</f>
        <v>0</v>
      </c>
      <c r="M6" s="11" cm="1">
        <f t="array" ref="M6">VLOOKUP($A6,Hydro!$A:$H,COLUMN(Hydro!E:E),TRUE)</f>
        <v>0</v>
      </c>
      <c r="N6" s="11" cm="1">
        <f t="array" ref="N6">VLOOKUP($A6,Biomass!$A:$J,COLUMN(Biomass!G:G),TRUE)</f>
        <v>2</v>
      </c>
      <c r="O6" s="11" cm="1">
        <f t="array" ref="O6">VLOOKUP($A6,Geothermal!$A:$K,COLUMN(Geothermal!H:H),TRUE)</f>
        <v>0</v>
      </c>
      <c r="P6" s="11" cm="1">
        <f t="array" ref="P6">VLOOKUP($A6,'Fossil energy'!$A:$AH,COLUMN('Fossil energy'!H:H),TRUE)</f>
        <v>201.46</v>
      </c>
      <c r="Q6" s="11" cm="1">
        <f t="array" ref="Q6">VLOOKUP($A6,'Fossil energy'!$A:$AH,COLUMN('Fossil energy'!Q:Q),TRUE)</f>
        <v>0</v>
      </c>
      <c r="R6" s="11" cm="1">
        <f t="array" ref="R6">VLOOKUP($A6,'Fossil energy'!$A:$AH,COLUMN('Fossil energy'!X:X),TRUE)</f>
        <v>0</v>
      </c>
      <c r="S6" s="11" cm="1">
        <f t="array" ref="S6">VLOOKUP($A6,'Fossil energy'!$A:$AH,COLUMN('Fossil energy'!AE:AE),TRUE)</f>
        <v>0</v>
      </c>
    </row>
    <row r="7" spans="1:19">
      <c r="A7" s="65" t="s">
        <v>25</v>
      </c>
      <c r="B7" s="11" cm="1">
        <f t="array" ref="B7">VLOOKUP($A7,'Solar PV - CSP'!$A:$BM,COLUMN('Solar PV - CSP'!R:R),TRUE)</f>
        <v>60700</v>
      </c>
      <c r="C7" s="11" cm="1">
        <f t="array" ref="C7">VLOOKUP($A7,'Solar PV - CSP'!$A:$BM,COLUMN('Solar PV - CSP'!AC:AC),TRUE)</f>
        <v>60700</v>
      </c>
      <c r="D7" s="11" cm="1">
        <f t="array" ref="D7">VLOOKUP($A7,'Solar PV - CSP'!$A:$BM,COLUMN('Solar PV - CSP'!AM:AM),TRUE)</f>
        <v>60700</v>
      </c>
      <c r="E7" s="11" cm="1">
        <f t="array" ref="E7">VLOOKUP($A7,'Solar PV - CSP'!$A:$BM,COLUMN('Solar PV - CSP'!AT:AT),TRUE)</f>
        <v>60700</v>
      </c>
      <c r="F7" s="11" cm="1">
        <f t="array" ref="F7">VLOOKUP($A7,'Solar PV - CSP'!$A:$BM,COLUMN('Solar PV - CSP'!BG:BG),TRUE)</f>
        <v>1000000</v>
      </c>
      <c r="G7" s="11" cm="1">
        <f t="array" ref="G7">VLOOKUP($A7,'Solar PV - CSP'!$A:$BM,COLUMN('Solar PV - CSP'!BJ:BJ),TRUE)</f>
        <v>0</v>
      </c>
      <c r="H7" s="11" cm="1">
        <f t="array" ref="H7">VLOOKUP($A7,Wind!$A:$N,COLUMN(Wind!B:B),TRUE)</f>
        <v>369000</v>
      </c>
      <c r="I7" s="11" cm="1">
        <f t="array" ref="I7">VLOOKUP($A7,Wind!$A:$N,COLUMN(Wind!E:E),TRUE)</f>
        <v>355000</v>
      </c>
      <c r="J7" s="11" cm="1">
        <f t="array" ref="J7">VLOOKUP($A7,Wind!$A:$N,COLUMN(Wind!H:H),TRUE)</f>
        <v>243000</v>
      </c>
      <c r="K7" s="11" cm="1">
        <f t="array" ref="K7">VLOOKUP($A7,Wind!$A:$N,COLUMN(Wind!K:K),TRUE)</f>
        <v>413000</v>
      </c>
      <c r="L7" s="11" cm="1">
        <f t="array" ref="L7">VLOOKUP($A7,Nuclear!$A:$L,COLUMN(Nuclear!I:I),TRUE)</f>
        <v>0</v>
      </c>
      <c r="M7" s="11" cm="1">
        <f t="array" ref="M7">VLOOKUP($A7,Hydro!$A:$H,COLUMN(Hydro!E:E),TRUE)</f>
        <v>0</v>
      </c>
      <c r="N7" s="11" cm="1">
        <f t="array" ref="N7">VLOOKUP($A7,Biomass!$A:$J,COLUMN(Biomass!G:G),TRUE)</f>
        <v>159000</v>
      </c>
      <c r="O7" s="11" cm="1">
        <f t="array" ref="O7">VLOOKUP($A7,Geothermal!$A:$K,COLUMN(Geothermal!H:H),TRUE)</f>
        <v>459000</v>
      </c>
      <c r="P7" s="11" cm="1">
        <f t="array" ref="P7">VLOOKUP($A7,'Fossil energy'!$A:$AH,COLUMN('Fossil energy'!H:H),TRUE)</f>
        <v>0</v>
      </c>
      <c r="Q7" s="11" cm="1">
        <f t="array" ref="Q7">VLOOKUP($A7,'Fossil energy'!$A:$AH,COLUMN('Fossil energy'!Q:Q),TRUE)</f>
        <v>0</v>
      </c>
      <c r="R7" s="11" cm="1">
        <f t="array" ref="R7">VLOOKUP($A7,'Fossil energy'!$A:$AH,COLUMN('Fossil energy'!X:X),TRUE)</f>
        <v>0</v>
      </c>
      <c r="S7" s="11" cm="1">
        <f t="array" ref="S7">VLOOKUP($A7,'Fossil energy'!$A:$AH,COLUMN('Fossil energy'!AE:AE),TRUE)</f>
        <v>0</v>
      </c>
    </row>
    <row r="8" spans="1:19">
      <c r="A8" s="91" t="s">
        <v>74</v>
      </c>
      <c r="B8" s="11" cm="1">
        <f t="array" ref="B8">VLOOKUP($A8,'Solar PV - CSP'!$A:$BM,COLUMN('Solar PV - CSP'!R:R),TRUE)</f>
        <v>3352.7983333333336</v>
      </c>
      <c r="C8" s="11" cm="1">
        <f t="array" ref="C8">VLOOKUP($A8,'Solar PV - CSP'!$A:$BM,COLUMN('Solar PV - CSP'!AC:AC),TRUE)</f>
        <v>3698.0333333333333</v>
      </c>
      <c r="D8" s="11" cm="1">
        <f t="array" ref="D8">VLOOKUP($A8,'Solar PV - CSP'!$A:$BM,COLUMN('Solar PV - CSP'!AM:AM),TRUE)</f>
        <v>3123.42</v>
      </c>
      <c r="E8" s="11" cm="1">
        <f t="array" ref="E8">VLOOKUP($A8,'Solar PV - CSP'!$A:$BM,COLUMN('Solar PV - CSP'!AT:AT),TRUE)</f>
        <v>3187.82</v>
      </c>
      <c r="F8" s="11" cm="1">
        <f t="array" ref="F8">VLOOKUP($A8,'Solar PV - CSP'!$A:$BM,COLUMN('Solar PV - CSP'!BG:BG),TRUE)</f>
        <v>3175</v>
      </c>
      <c r="G8" s="11" cm="1">
        <f t="array" ref="G8">VLOOKUP($A8,'Solar PV - CSP'!$A:$BM,COLUMN('Solar PV - CSP'!BJ:BJ),TRUE)</f>
        <v>1400</v>
      </c>
      <c r="H8" s="11" cm="1">
        <f t="array" ref="H8">VLOOKUP($A8,Wind!$A:$N,COLUMN(Wind!B:B),TRUE)</f>
        <v>5000</v>
      </c>
      <c r="I8" s="11" cm="1">
        <f t="array" ref="I8">VLOOKUP($A8,Wind!$A:$N,COLUMN(Wind!E:E),TRUE)</f>
        <v>1400</v>
      </c>
      <c r="J8" s="11" cm="1">
        <f t="array" ref="J8">VLOOKUP($A8,Wind!$A:$N,COLUMN(Wind!H:H),TRUE)</f>
        <v>8000</v>
      </c>
      <c r="K8" s="11" cm="1">
        <f t="array" ref="K8">VLOOKUP($A8,Wind!$A:$N,COLUMN(Wind!K:K),TRUE)</f>
        <v>950</v>
      </c>
      <c r="L8" s="11" cm="1">
        <f t="array" ref="L8">VLOOKUP($A8,Nuclear!$A:$L,COLUMN(Nuclear!I:I),TRUE)</f>
        <v>1473.4</v>
      </c>
      <c r="M8" s="11" cm="1">
        <f t="array" ref="M8">VLOOKUP($A8,Hydro!$A:$H,COLUMN(Hydro!E:E),TRUE)</f>
        <v>3160</v>
      </c>
      <c r="N8" s="11" cm="1">
        <f t="array" ref="N8">VLOOKUP($A8,Biomass!$A:$J,COLUMN(Biomass!G:G),TRUE)</f>
        <v>2175</v>
      </c>
      <c r="O8" s="11" cm="1">
        <f t="array" ref="O8">VLOOKUP($A8,Geothermal!$A:$K,COLUMN(Geothermal!H:H),TRUE)</f>
        <v>2175</v>
      </c>
      <c r="P8" s="11" cm="1">
        <f t="array" ref="P8">VLOOKUP($A8,'Fossil energy'!$A:$AH,COLUMN('Fossil energy'!H:H),TRUE)</f>
        <v>1183.5</v>
      </c>
      <c r="Q8" s="11" cm="1">
        <f t="array" ref="Q8">VLOOKUP($A8,'Fossil energy'!$A:$AH,COLUMN('Fossil energy'!Q:Q),TRUE)</f>
        <v>954.05</v>
      </c>
      <c r="R8" s="11" cm="1">
        <f t="array" ref="R8">VLOOKUP($A8,'Fossil energy'!$A:$AH,COLUMN('Fossil energy'!X:X),TRUE)</f>
        <v>1306.5</v>
      </c>
      <c r="S8" s="11" cm="1">
        <f t="array" ref="S8">VLOOKUP($A8,'Fossil energy'!$A:$AH,COLUMN('Fossil energy'!AE:AE),TRUE)</f>
        <v>1016.0999999999999</v>
      </c>
    </row>
    <row r="9" spans="1:19">
      <c r="A9" s="107" t="s">
        <v>28</v>
      </c>
      <c r="B9" s="11" cm="1">
        <f t="array" ref="B9">VLOOKUP($A9,'Solar PV - CSP'!$A:$BM,COLUMN('Solar PV - CSP'!R:R),TRUE)</f>
        <v>0</v>
      </c>
      <c r="C9" s="11" cm="1">
        <f t="array" ref="C9">VLOOKUP($A9,'Solar PV - CSP'!$A:$BM,COLUMN('Solar PV - CSP'!AC:AC),TRUE)</f>
        <v>0</v>
      </c>
      <c r="D9" s="11" cm="1">
        <f t="array" ref="D9">VLOOKUP($A9,'Solar PV - CSP'!$A:$BM,COLUMN('Solar PV - CSP'!AM:AM),TRUE)</f>
        <v>0</v>
      </c>
      <c r="E9" s="11" cm="1">
        <f t="array" ref="E9">VLOOKUP($A9,'Solar PV - CSP'!$A:$BM,COLUMN('Solar PV - CSP'!AT:AT),TRUE)</f>
        <v>0</v>
      </c>
      <c r="F9" s="11" cm="1">
        <f t="array" ref="F9">VLOOKUP($A9,'Solar PV - CSP'!$A:$BM,COLUMN('Solar PV - CSP'!BG:BG),TRUE)</f>
        <v>0</v>
      </c>
      <c r="G9" s="11" cm="1">
        <f t="array" ref="G9">VLOOKUP($A9,'Solar PV - CSP'!$A:$BM,COLUMN('Solar PV - CSP'!BJ:BJ),TRUE)</f>
        <v>0</v>
      </c>
      <c r="H9" s="11" cm="1">
        <f t="array" ref="H9">VLOOKUP($A9,Wind!$A:$N,COLUMN(Wind!B:B),TRUE)</f>
        <v>6</v>
      </c>
      <c r="I9" s="11" cm="1">
        <f t="array" ref="I9">VLOOKUP($A9,Wind!$A:$N,COLUMN(Wind!E:E),TRUE)</f>
        <v>2</v>
      </c>
      <c r="J9" s="11" cm="1">
        <f t="array" ref="J9">VLOOKUP($A9,Wind!$A:$N,COLUMN(Wind!H:H),TRUE)</f>
        <v>17</v>
      </c>
      <c r="K9" s="11" cm="1">
        <f t="array" ref="K9">VLOOKUP($A9,Wind!$A:$N,COLUMN(Wind!K:K),TRUE)</f>
        <v>6</v>
      </c>
      <c r="L9" s="11" cm="1">
        <f t="array" ref="L9">VLOOKUP($A9,Nuclear!$A:$L,COLUMN(Nuclear!I:I),TRUE)</f>
        <v>0</v>
      </c>
      <c r="M9" s="11" cm="1">
        <f t="array" ref="M9">VLOOKUP($A9,Hydro!$A:$H,COLUMN(Hydro!E:E),TRUE)</f>
        <v>0</v>
      </c>
      <c r="N9" s="11" cm="1">
        <f t="array" ref="N9">VLOOKUP($A9,Biomass!$A:$J,COLUMN(Biomass!G:G),TRUE)</f>
        <v>0</v>
      </c>
      <c r="O9" s="11" cm="1">
        <f t="array" ref="O9">VLOOKUP($A9,Geothermal!$A:$K,COLUMN(Geothermal!H:H),TRUE)</f>
        <v>0</v>
      </c>
      <c r="P9" s="11" cm="1">
        <f t="array" ref="P9">VLOOKUP($A9,'Fossil energy'!$A:$AH,COLUMN('Fossil energy'!H:H),TRUE)</f>
        <v>0</v>
      </c>
      <c r="Q9" s="11" cm="1">
        <f t="array" ref="Q9">VLOOKUP($A9,'Fossil energy'!$A:$AH,COLUMN('Fossil energy'!Q:Q),TRUE)</f>
        <v>0</v>
      </c>
      <c r="R9" s="11" cm="1">
        <f t="array" ref="R9">VLOOKUP($A9,'Fossil energy'!$A:$AH,COLUMN('Fossil energy'!X:X),TRUE)</f>
        <v>0</v>
      </c>
      <c r="S9" s="11" cm="1">
        <f t="array" ref="S9">VLOOKUP($A9,'Fossil energy'!$A:$AH,COLUMN('Fossil energy'!AE:AE),TRUE)</f>
        <v>0</v>
      </c>
    </row>
    <row r="10" spans="1:19">
      <c r="A10" s="91" t="s">
        <v>29</v>
      </c>
      <c r="B10" s="11" cm="1">
        <f t="array" ref="B10">VLOOKUP($A10,'Solar PV - CSP'!$A:$BM,COLUMN('Solar PV - CSP'!R:R),TRUE)</f>
        <v>0</v>
      </c>
      <c r="C10" s="11" cm="1">
        <f t="array" ref="C10">VLOOKUP($A10,'Solar PV - CSP'!$A:$BM,COLUMN('Solar PV - CSP'!AC:AC),TRUE)</f>
        <v>0</v>
      </c>
      <c r="D10" s="11" cm="1">
        <f t="array" ref="D10">VLOOKUP($A10,'Solar PV - CSP'!$A:$BM,COLUMN('Solar PV - CSP'!AM:AM),TRUE)</f>
        <v>9</v>
      </c>
      <c r="E10" s="11" cm="1">
        <f t="array" ref="E10">VLOOKUP($A10,'Solar PV - CSP'!$A:$BM,COLUMN('Solar PV - CSP'!AT:AT),TRUE)</f>
        <v>0</v>
      </c>
      <c r="F10" s="11" cm="1">
        <f t="array" ref="F10">VLOOKUP($A10,'Solar PV - CSP'!$A:$BM,COLUMN('Solar PV - CSP'!BG:BG),TRUE)</f>
        <v>692</v>
      </c>
      <c r="G10" s="11" cm="1">
        <f t="array" ref="G10">VLOOKUP($A10,'Solar PV - CSP'!$A:$BM,COLUMN('Solar PV - CSP'!BJ:BJ),TRUE)</f>
        <v>692</v>
      </c>
      <c r="H10" s="11" cm="1">
        <f t="array" ref="H10">VLOOKUP($A10,Wind!$A:$N,COLUMN(Wind!B:B),TRUE)</f>
        <v>0</v>
      </c>
      <c r="I10" s="11" cm="1">
        <f t="array" ref="I10">VLOOKUP($A10,Wind!$A:$N,COLUMN(Wind!E:E),TRUE)</f>
        <v>0</v>
      </c>
      <c r="J10" s="11" cm="1">
        <f t="array" ref="J10">VLOOKUP($A10,Wind!$A:$N,COLUMN(Wind!H:H),TRUE)</f>
        <v>0</v>
      </c>
      <c r="K10" s="11" cm="1">
        <f t="array" ref="K10">VLOOKUP($A10,Wind!$A:$N,COLUMN(Wind!K:K),TRUE)</f>
        <v>0</v>
      </c>
      <c r="L10" s="11" cm="1">
        <f t="array" ref="L10">VLOOKUP($A10,Nuclear!$A:$L,COLUMN(Nuclear!I:I),TRUE)</f>
        <v>0</v>
      </c>
      <c r="M10" s="11" cm="1">
        <f t="array" ref="M10">VLOOKUP($A10,Hydro!$A:$H,COLUMN(Hydro!E:E),TRUE)</f>
        <v>0</v>
      </c>
      <c r="N10" s="11" cm="1">
        <f t="array" ref="N10">VLOOKUP($A10,Biomass!$A:$J,COLUMN(Biomass!G:G),TRUE)</f>
        <v>0</v>
      </c>
      <c r="O10" s="11" cm="1">
        <f t="array" ref="O10">VLOOKUP($A10,Geothermal!$A:$K,COLUMN(Geothermal!H:H),TRUE)</f>
        <v>0</v>
      </c>
      <c r="P10" s="11" cm="1">
        <f t="array" ref="P10">VLOOKUP($A10,'Fossil energy'!$A:$AH,COLUMN('Fossil energy'!H:H),TRUE)</f>
        <v>0</v>
      </c>
      <c r="Q10" s="11" cm="1">
        <f t="array" ref="Q10">VLOOKUP($A10,'Fossil energy'!$A:$AH,COLUMN('Fossil energy'!Q:Q),TRUE)</f>
        <v>0</v>
      </c>
      <c r="R10" s="11" cm="1">
        <f t="array" ref="R10">VLOOKUP($A10,'Fossil energy'!$A:$AH,COLUMN('Fossil energy'!X:X),TRUE)</f>
        <v>0</v>
      </c>
      <c r="S10" s="11" cm="1">
        <f t="array" ref="S10">VLOOKUP($A10,'Fossil energy'!$A:$AH,COLUMN('Fossil energy'!AE:AE),TRUE)</f>
        <v>0</v>
      </c>
    </row>
    <row r="11" spans="1:19">
      <c r="A11" s="91" t="s">
        <v>75</v>
      </c>
      <c r="B11" s="11" cm="1">
        <f t="array" ref="B11">VLOOKUP($A11,'Solar PV - CSP'!$A:$BM,COLUMN('Solar PV - CSP'!R:R),TRUE)</f>
        <v>0</v>
      </c>
      <c r="C11" s="11" cm="1">
        <f t="array" ref="C11">VLOOKUP($A11,'Solar PV - CSP'!$A:$BM,COLUMN('Solar PV - CSP'!AC:AC),TRUE)</f>
        <v>0</v>
      </c>
      <c r="D11" s="11" cm="1">
        <f t="array" ref="D11">VLOOKUP($A11,'Solar PV - CSP'!$A:$BM,COLUMN('Solar PV - CSP'!AM:AM),TRUE)</f>
        <v>0</v>
      </c>
      <c r="E11" s="11" cm="1">
        <f t="array" ref="E11">VLOOKUP($A11,'Solar PV - CSP'!$A:$BM,COLUMN('Solar PV - CSP'!AT:AT),TRUE)</f>
        <v>48</v>
      </c>
      <c r="F11" s="11" cm="1">
        <f t="array" ref="F11">VLOOKUP($A11,'Solar PV - CSP'!$A:$BM,COLUMN('Solar PV - CSP'!BG:BG),TRUE)</f>
        <v>0</v>
      </c>
      <c r="G11" s="11" cm="1">
        <f t="array" ref="G11">VLOOKUP($A11,'Solar PV - CSP'!$A:$BM,COLUMN('Solar PV - CSP'!BJ:BJ),TRUE)</f>
        <v>0</v>
      </c>
      <c r="H11" s="11" cm="1">
        <f t="array" ref="H11">VLOOKUP($A11,Wind!$A:$N,COLUMN(Wind!B:B),TRUE)</f>
        <v>0</v>
      </c>
      <c r="I11" s="11" cm="1">
        <f t="array" ref="I11">VLOOKUP($A11,Wind!$A:$N,COLUMN(Wind!E:E),TRUE)</f>
        <v>0</v>
      </c>
      <c r="J11" s="11" cm="1">
        <f t="array" ref="J11">VLOOKUP($A11,Wind!$A:$N,COLUMN(Wind!H:H),TRUE)</f>
        <v>0</v>
      </c>
      <c r="K11" s="11" cm="1">
        <f t="array" ref="K11">VLOOKUP($A11,Wind!$A:$N,COLUMN(Wind!K:K),TRUE)</f>
        <v>0</v>
      </c>
      <c r="L11" s="11" cm="1">
        <f t="array" ref="L11">VLOOKUP($A11,Nuclear!$A:$L,COLUMN(Nuclear!I:I),TRUE)</f>
        <v>0</v>
      </c>
      <c r="M11" s="11" cm="1">
        <f t="array" ref="M11">VLOOKUP($A11,Hydro!$A:$H,COLUMN(Hydro!E:E),TRUE)</f>
        <v>0</v>
      </c>
      <c r="N11" s="11" cm="1">
        <f t="array" ref="N11">VLOOKUP($A11,Biomass!$A:$J,COLUMN(Biomass!G:G),TRUE)</f>
        <v>0</v>
      </c>
      <c r="O11" s="11" cm="1">
        <f t="array" ref="O11">VLOOKUP($A11,Geothermal!$A:$K,COLUMN(Geothermal!H:H),TRUE)</f>
        <v>0</v>
      </c>
      <c r="P11" s="11" cm="1">
        <f t="array" ref="P11">VLOOKUP($A11,'Fossil energy'!$A:$AH,COLUMN('Fossil energy'!H:H),TRUE)</f>
        <v>0</v>
      </c>
      <c r="Q11" s="11" cm="1">
        <f t="array" ref="Q11">VLOOKUP($A11,'Fossil energy'!$A:$AH,COLUMN('Fossil energy'!Q:Q),TRUE)</f>
        <v>0</v>
      </c>
      <c r="R11" s="11" cm="1">
        <f t="array" ref="R11">VLOOKUP($A11,'Fossil energy'!$A:$AH,COLUMN('Fossil energy'!X:X),TRUE)</f>
        <v>0</v>
      </c>
      <c r="S11" s="11" cm="1">
        <f t="array" ref="S11">VLOOKUP($A11,'Fossil energy'!$A:$AH,COLUMN('Fossil energy'!AE:AE),TRUE)</f>
        <v>0</v>
      </c>
    </row>
    <row r="12" spans="1:19">
      <c r="A12" s="28" t="s">
        <v>30</v>
      </c>
      <c r="B12" s="11" cm="1">
        <f t="array" ref="B12">VLOOKUP($A12,'Solar PV - CSP'!$A:$BM,COLUMN('Solar PV - CSP'!R:R),TRUE)</f>
        <v>46400</v>
      </c>
      <c r="C12" s="11" cm="1">
        <f t="array" ref="C12">VLOOKUP($A12,'Solar PV - CSP'!$A:$BM,COLUMN('Solar PV - CSP'!AC:AC),TRUE)</f>
        <v>46400</v>
      </c>
      <c r="D12" s="11" cm="1">
        <f t="array" ref="D12">VLOOKUP($A12,'Solar PV - CSP'!$A:$BM,COLUMN('Solar PV - CSP'!AM:AM),TRUE)</f>
        <v>46400</v>
      </c>
      <c r="E12" s="11" cm="1">
        <f t="array" ref="E12">VLOOKUP($A12,'Solar PV - CSP'!$A:$BM,COLUMN('Solar PV - CSP'!AT:AT),TRUE)</f>
        <v>46400</v>
      </c>
      <c r="F12" s="11" cm="1">
        <f t="array" ref="F12">VLOOKUP($A12,'Solar PV - CSP'!$A:$BM,COLUMN('Solar PV - CSP'!BG:BG),TRUE)</f>
        <v>100000</v>
      </c>
      <c r="G12" s="11" cm="1">
        <f t="array" ref="G12">VLOOKUP($A12,'Solar PV - CSP'!$A:$BM,COLUMN('Solar PV - CSP'!BJ:BJ),TRUE)</f>
        <v>100000</v>
      </c>
      <c r="H12" s="11" cm="1">
        <f t="array" ref="H12">VLOOKUP($A12,Wind!$A:$N,COLUMN(Wind!B:B),TRUE)</f>
        <v>8100</v>
      </c>
      <c r="I12" s="11" cm="1">
        <f t="array" ref="I12">VLOOKUP($A12,Wind!$A:$N,COLUMN(Wind!E:E),TRUE)</f>
        <v>7700</v>
      </c>
      <c r="J12" s="11" cm="1">
        <f t="array" ref="J12">VLOOKUP($A12,Wind!$A:$N,COLUMN(Wind!H:H),TRUE)</f>
        <v>8100</v>
      </c>
      <c r="K12" s="11" cm="1">
        <f t="array" ref="K12">VLOOKUP($A12,Wind!$A:$N,COLUMN(Wind!K:K),TRUE)</f>
        <v>8400</v>
      </c>
      <c r="L12" s="11" cm="1">
        <f t="array" ref="L12">VLOOKUP($A12,Nuclear!$A:$L,COLUMN(Nuclear!I:I),TRUE)</f>
        <v>0</v>
      </c>
      <c r="M12" s="11" cm="1">
        <f t="array" ref="M12">VLOOKUP($A12,Hydro!$A:$H,COLUMN(Hydro!E:E),TRUE)</f>
        <v>0</v>
      </c>
      <c r="N12" s="11" cm="1">
        <f t="array" ref="N12">VLOOKUP($A12,Biomass!$A:$J,COLUMN(Biomass!G:G),TRUE)</f>
        <v>0</v>
      </c>
      <c r="O12" s="11" cm="1">
        <f t="array" ref="O12">VLOOKUP($A12,Geothermal!$A:$K,COLUMN(Geothermal!H:H),TRUE)</f>
        <v>0</v>
      </c>
      <c r="P12" s="11" cm="1">
        <f t="array" ref="P12">VLOOKUP($A12,'Fossil energy'!$A:$AH,COLUMN('Fossil energy'!H:H),TRUE)</f>
        <v>0</v>
      </c>
      <c r="Q12" s="11" cm="1">
        <f t="array" ref="Q12">VLOOKUP($A12,'Fossil energy'!$A:$AH,COLUMN('Fossil energy'!Q:Q),TRUE)</f>
        <v>0</v>
      </c>
      <c r="R12" s="11" cm="1">
        <f t="array" ref="R12">VLOOKUP($A12,'Fossil energy'!$A:$AH,COLUMN('Fossil energy'!X:X),TRUE)</f>
        <v>0</v>
      </c>
      <c r="S12" s="11" cm="1">
        <f t="array" ref="S12">VLOOKUP($A12,'Fossil energy'!$A:$AH,COLUMN('Fossil energy'!AE:AE),TRUE)</f>
        <v>0</v>
      </c>
    </row>
    <row r="13" spans="1:19">
      <c r="A13" s="28" t="s">
        <v>31</v>
      </c>
      <c r="B13" s="11" cm="1">
        <f t="array" ref="B13">VLOOKUP($A13,'Solar PV - CSP'!$A:$BM,COLUMN('Solar PV - CSP'!R:R),TRUE)</f>
        <v>0</v>
      </c>
      <c r="C13" s="11" cm="1">
        <f t="array" ref="C13">VLOOKUP($A13,'Solar PV - CSP'!$A:$BM,COLUMN('Solar PV - CSP'!AC:AC),TRUE)</f>
        <v>0</v>
      </c>
      <c r="D13" s="11" cm="1">
        <f t="array" ref="D13">VLOOKUP($A13,'Solar PV - CSP'!$A:$BM,COLUMN('Solar PV - CSP'!AM:AM),TRUE)</f>
        <v>0</v>
      </c>
      <c r="E13" s="11" cm="1">
        <f t="array" ref="E13">VLOOKUP($A13,'Solar PV - CSP'!$A:$BM,COLUMN('Solar PV - CSP'!AT:AT),TRUE)</f>
        <v>0</v>
      </c>
      <c r="F13" s="11" cm="1">
        <f t="array" ref="F13">VLOOKUP($A13,'Solar PV - CSP'!$A:$BM,COLUMN('Solar PV - CSP'!BG:BG),TRUE)</f>
        <v>0</v>
      </c>
      <c r="G13" s="11" cm="1">
        <f t="array" ref="G13">VLOOKUP($A13,'Solar PV - CSP'!$A:$BM,COLUMN('Solar PV - CSP'!BJ:BJ),TRUE)</f>
        <v>0</v>
      </c>
      <c r="H13" s="11" cm="1">
        <f t="array" ref="H13">VLOOKUP($A13,Wind!$A:$N,COLUMN(Wind!B:B),TRUE)</f>
        <v>0</v>
      </c>
      <c r="I13" s="11" cm="1">
        <f t="array" ref="I13">VLOOKUP($A13,Wind!$A:$N,COLUMN(Wind!E:E),TRUE)</f>
        <v>0</v>
      </c>
      <c r="J13" s="11" cm="1">
        <f t="array" ref="J13">VLOOKUP($A13,Wind!$A:$N,COLUMN(Wind!H:H),TRUE)</f>
        <v>0</v>
      </c>
      <c r="K13" s="11" cm="1">
        <f t="array" ref="K13">VLOOKUP($A13,Wind!$A:$N,COLUMN(Wind!K:K),TRUE)</f>
        <v>0</v>
      </c>
      <c r="L13" s="11" cm="1">
        <f t="array" ref="L13">VLOOKUP($A13,Nuclear!$A:$L,COLUMN(Nuclear!I:I),TRUE)</f>
        <v>0.48</v>
      </c>
      <c r="M13" s="11" cm="1">
        <f t="array" ref="M13">VLOOKUP($A13,Hydro!$A:$H,COLUMN(Hydro!E:E),TRUE)</f>
        <v>0</v>
      </c>
      <c r="N13" s="11" cm="1">
        <f t="array" ref="N13">VLOOKUP($A13,Biomass!$A:$J,COLUMN(Biomass!G:G),TRUE)</f>
        <v>0</v>
      </c>
      <c r="O13" s="11" cm="1">
        <f t="array" ref="O13">VLOOKUP($A13,Geothermal!$A:$K,COLUMN(Geothermal!H:H),TRUE)</f>
        <v>0</v>
      </c>
      <c r="P13" s="11" cm="1">
        <f t="array" ref="P13">VLOOKUP($A13,'Fossil energy'!$A:$AH,COLUMN('Fossil energy'!H:H),TRUE)</f>
        <v>0</v>
      </c>
      <c r="Q13" s="11" cm="1">
        <f t="array" ref="Q13">VLOOKUP($A13,'Fossil energy'!$A:$AH,COLUMN('Fossil energy'!Q:Q),TRUE)</f>
        <v>0</v>
      </c>
      <c r="R13" s="11" cm="1">
        <f t="array" ref="R13">VLOOKUP($A13,'Fossil energy'!$A:$AH,COLUMN('Fossil energy'!X:X),TRUE)</f>
        <v>0</v>
      </c>
      <c r="S13" s="11" cm="1">
        <f t="array" ref="S13">VLOOKUP($A13,'Fossil energy'!$A:$AH,COLUMN('Fossil energy'!AE:AE),TRUE)</f>
        <v>0</v>
      </c>
    </row>
    <row r="14" spans="1:19">
      <c r="A14" s="91" t="s">
        <v>32</v>
      </c>
      <c r="B14" s="11" cm="1">
        <f t="array" ref="B14">VLOOKUP($A14,'Solar PV - CSP'!$A:$BM,COLUMN('Solar PV - CSP'!R:R),TRUE)</f>
        <v>0</v>
      </c>
      <c r="C14" s="11" cm="1">
        <f t="array" ref="C14">VLOOKUP($A14,'Solar PV - CSP'!$A:$BM,COLUMN('Solar PV - CSP'!AC:AC),TRUE)</f>
        <v>0</v>
      </c>
      <c r="D14" s="11" cm="1">
        <f t="array" ref="D14">VLOOKUP($A14,'Solar PV - CSP'!$A:$BM,COLUMN('Solar PV - CSP'!AM:AM),TRUE)</f>
        <v>21.75</v>
      </c>
      <c r="E14" s="11" cm="1">
        <f t="array" ref="E14">VLOOKUP($A14,'Solar PV - CSP'!$A:$BM,COLUMN('Solar PV - CSP'!AT:AT),TRUE)</f>
        <v>5.32</v>
      </c>
      <c r="F14" s="11" cm="1">
        <f t="array" ref="F14">VLOOKUP($A14,'Solar PV - CSP'!$A:$BM,COLUMN('Solar PV - CSP'!BG:BG),TRUE)</f>
        <v>0</v>
      </c>
      <c r="G14" s="11" cm="1">
        <f t="array" ref="G14">VLOOKUP($A14,'Solar PV - CSP'!$A:$BM,COLUMN('Solar PV - CSP'!BJ:BJ),TRUE)</f>
        <v>0</v>
      </c>
      <c r="H14" s="11" cm="1">
        <f t="array" ref="H14">VLOOKUP($A14,Wind!$A:$N,COLUMN(Wind!B:B),TRUE)</f>
        <v>0</v>
      </c>
      <c r="I14" s="11" cm="1">
        <f t="array" ref="I14">VLOOKUP($A14,Wind!$A:$N,COLUMN(Wind!E:E),TRUE)</f>
        <v>0</v>
      </c>
      <c r="J14" s="11" cm="1">
        <f t="array" ref="J14">VLOOKUP($A14,Wind!$A:$N,COLUMN(Wind!H:H),TRUE)</f>
        <v>0</v>
      </c>
      <c r="K14" s="11" cm="1">
        <f t="array" ref="K14">VLOOKUP($A14,Wind!$A:$N,COLUMN(Wind!K:K),TRUE)</f>
        <v>0</v>
      </c>
      <c r="L14" s="11" cm="1">
        <f t="array" ref="L14">VLOOKUP($A14,Nuclear!$A:$L,COLUMN(Nuclear!I:I),TRUE)</f>
        <v>1.6</v>
      </c>
      <c r="M14" s="11" cm="1">
        <f t="array" ref="M14">VLOOKUP($A14,Hydro!$A:$H,COLUMN(Hydro!E:E),TRUE)</f>
        <v>0</v>
      </c>
      <c r="N14" s="11" cm="1">
        <f t="array" ref="N14">VLOOKUP($A14,Biomass!$A:$J,COLUMN(Biomass!G:G),TRUE)</f>
        <v>0</v>
      </c>
      <c r="O14" s="11" cm="1">
        <f t="array" ref="O14">VLOOKUP($A14,Geothermal!$A:$K,COLUMN(Geothermal!H:H),TRUE)</f>
        <v>0</v>
      </c>
      <c r="P14" s="11" cm="1">
        <f t="array" ref="P14">VLOOKUP($A14,'Fossil energy'!$A:$AH,COLUMN('Fossil energy'!H:H),TRUE)</f>
        <v>0</v>
      </c>
      <c r="Q14" s="11" cm="1">
        <f t="array" ref="Q14">VLOOKUP($A14,'Fossil energy'!$A:$AH,COLUMN('Fossil energy'!Q:Q),TRUE)</f>
        <v>0</v>
      </c>
      <c r="R14" s="11" cm="1">
        <f t="array" ref="R14">VLOOKUP($A14,'Fossil energy'!$A:$AH,COLUMN('Fossil energy'!X:X),TRUE)</f>
        <v>0</v>
      </c>
      <c r="S14" s="11" cm="1">
        <f t="array" ref="S14">VLOOKUP($A14,'Fossil energy'!$A:$AH,COLUMN('Fossil energy'!AE:AE),TRUE)</f>
        <v>0</v>
      </c>
    </row>
    <row r="15" spans="1:19">
      <c r="A15" s="28" t="s">
        <v>33</v>
      </c>
      <c r="B15" s="532">
        <v>0</v>
      </c>
      <c r="C15" s="533">
        <v>0</v>
      </c>
      <c r="D15" s="533">
        <v>0</v>
      </c>
      <c r="E15" s="534">
        <v>66446.94</v>
      </c>
      <c r="F15" s="532">
        <v>650000</v>
      </c>
      <c r="G15" s="535">
        <v>393000</v>
      </c>
      <c r="H15" s="11" cm="1">
        <f t="array" ref="H15">VLOOKUP($A15,Wind!$A:$N,COLUMN(Wind!B:B),TRUE)</f>
        <v>149275.20000000001</v>
      </c>
      <c r="I15" s="11" cm="1">
        <f t="array" ref="I15">VLOOKUP($A15,Wind!$A:$N,COLUMN(Wind!E:E),TRUE)</f>
        <v>128581.8</v>
      </c>
      <c r="J15" s="11" cm="1">
        <f t="array" ref="J15">VLOOKUP($A15,Wind!$A:$N,COLUMN(Wind!H:H),TRUE)</f>
        <v>299578.92853999999</v>
      </c>
      <c r="K15" s="11" cm="1">
        <f t="array" ref="K15">VLOOKUP($A15,Wind!$A:$N,COLUMN(Wind!K:K),TRUE)</f>
        <v>125510.2</v>
      </c>
      <c r="L15" s="11">
        <v>476186.76</v>
      </c>
      <c r="M15" s="537">
        <v>222090.14300000001</v>
      </c>
      <c r="N15" s="536">
        <f>138000*(100-2.14)/100</f>
        <v>135046.79999999999</v>
      </c>
      <c r="O15" s="534">
        <v>2097520</v>
      </c>
      <c r="P15" s="538">
        <v>63381.720149999994</v>
      </c>
      <c r="Q15" s="533">
        <v>6341</v>
      </c>
      <c r="R15" s="533">
        <v>78791</v>
      </c>
      <c r="S15" s="534">
        <v>15205.682519999998</v>
      </c>
    </row>
    <row r="16" spans="1:19">
      <c r="A16" s="28" t="s">
        <v>35</v>
      </c>
      <c r="B16" s="11" cm="1">
        <f t="array" ref="B16">VLOOKUP($A16,'Solar PV - CSP'!$A:$BM,COLUMN('Solar PV - CSP'!R:R),TRUE)</f>
        <v>39</v>
      </c>
      <c r="C16" s="11" cm="1">
        <f t="array" ref="C16">VLOOKUP($A16,'Solar PV - CSP'!$A:$BM,COLUMN('Solar PV - CSP'!AC:AC),TRUE)</f>
        <v>8</v>
      </c>
      <c r="D16" s="11" cm="1">
        <f t="array" ref="D16">VLOOKUP($A16,'Solar PV - CSP'!$A:$BM,COLUMN('Solar PV - CSP'!AM:AM),TRUE)</f>
        <v>0</v>
      </c>
      <c r="E16" s="11" cm="1">
        <f t="array" ref="E16">VLOOKUP($A16,'Solar PV - CSP'!$A:$BM,COLUMN('Solar PV - CSP'!AT:AT),TRUE)</f>
        <v>0</v>
      </c>
      <c r="F16" s="11" cm="1">
        <f t="array" ref="F16">VLOOKUP($A16,'Solar PV - CSP'!$A:$BM,COLUMN('Solar PV - CSP'!BG:BG),TRUE)</f>
        <v>0</v>
      </c>
      <c r="G16" s="11" cm="1">
        <f t="array" ref="G16">VLOOKUP($A16,'Solar PV - CSP'!$A:$BM,COLUMN('Solar PV - CSP'!BJ:BJ),TRUE)</f>
        <v>0</v>
      </c>
      <c r="H16" s="11" cm="1">
        <f t="array" ref="H16">VLOOKUP($A16,Wind!$A:$N,COLUMN(Wind!B:B),TRUE)</f>
        <v>0</v>
      </c>
      <c r="I16" s="11" cm="1">
        <f t="array" ref="I16">VLOOKUP($A16,Wind!$A:$N,COLUMN(Wind!E:E),TRUE)</f>
        <v>0</v>
      </c>
      <c r="J16" s="11" cm="1">
        <f t="array" ref="J16">VLOOKUP($A16,Wind!$A:$N,COLUMN(Wind!H:H),TRUE)</f>
        <v>0</v>
      </c>
      <c r="K16" s="11" cm="1">
        <f t="array" ref="K16">VLOOKUP($A16,Wind!$A:$N,COLUMN(Wind!K:K),TRUE)</f>
        <v>0</v>
      </c>
      <c r="L16" s="11" cm="1">
        <f t="array" ref="L16">VLOOKUP($A16,Nuclear!$A:$L,COLUMN(Nuclear!I:I),TRUE)</f>
        <v>4</v>
      </c>
      <c r="M16" s="11" cm="1">
        <f t="array" ref="M16">VLOOKUP($A16,Hydro!$A:$H,COLUMN(Hydro!E:E),TRUE)</f>
        <v>300</v>
      </c>
      <c r="N16" s="11" cm="1">
        <f t="array" ref="N16">VLOOKUP($A16,Biomass!$A:$J,COLUMN(Biomass!G:G),TRUE)</f>
        <v>104</v>
      </c>
      <c r="O16" s="11" cm="1">
        <f t="array" ref="O16">VLOOKUP($A16,Geothermal!$A:$K,COLUMN(Geothermal!H:H),TRUE)</f>
        <v>0</v>
      </c>
      <c r="P16" s="11" cm="1">
        <f t="array" ref="P16">VLOOKUP($A16,'Fossil energy'!$A:$AH,COLUMN('Fossil energy'!H:H),TRUE)</f>
        <v>0</v>
      </c>
      <c r="Q16" s="11" cm="1">
        <f t="array" ref="Q16">VLOOKUP($A16,'Fossil energy'!$A:$AH,COLUMN('Fossil energy'!Q:Q),TRUE)</f>
        <v>5</v>
      </c>
      <c r="R16" s="11" cm="1">
        <f t="array" ref="R16">VLOOKUP($A16,'Fossil energy'!$A:$AH,COLUMN('Fossil energy'!X:X),TRUE)</f>
        <v>9</v>
      </c>
      <c r="S16" s="11" cm="1">
        <f t="array" ref="S16">VLOOKUP($A16,'Fossil energy'!$A:$AH,COLUMN('Fossil energy'!AE:AE),TRUE)</f>
        <v>0</v>
      </c>
    </row>
    <row r="17" spans="1:19">
      <c r="A17" s="91" t="s">
        <v>37</v>
      </c>
      <c r="B17" s="11" cm="1">
        <f t="array" ref="B17">VLOOKUP($A17,'Solar PV - CSP'!$A:$BM,COLUMN('Solar PV - CSP'!R:R),TRUE)</f>
        <v>0</v>
      </c>
      <c r="C17" s="11" cm="1">
        <f t="array" ref="C17">VLOOKUP($A17,'Solar PV - CSP'!$A:$BM,COLUMN('Solar PV - CSP'!AC:AC),TRUE)</f>
        <v>0</v>
      </c>
      <c r="D17" s="11" cm="1">
        <f t="array" ref="D17">VLOOKUP($A17,'Solar PV - CSP'!$A:$BM,COLUMN('Solar PV - CSP'!AM:AM),TRUE)</f>
        <v>0</v>
      </c>
      <c r="E17" s="11" cm="1">
        <f t="array" ref="E17">VLOOKUP($A17,'Solar PV - CSP'!$A:$BM,COLUMN('Solar PV - CSP'!AT:AT),TRUE)</f>
        <v>0</v>
      </c>
      <c r="F17" s="11" cm="1">
        <f t="array" ref="F17">VLOOKUP($A17,'Solar PV - CSP'!$A:$BM,COLUMN('Solar PV - CSP'!BG:BG),TRUE)</f>
        <v>1400</v>
      </c>
      <c r="G17" s="11" cm="1">
        <f t="array" ref="G17">VLOOKUP($A17,'Solar PV - CSP'!$A:$BM,COLUMN('Solar PV - CSP'!BJ:BJ),TRUE)</f>
        <v>2600</v>
      </c>
      <c r="H17" s="11" cm="1">
        <f t="array" ref="H17">VLOOKUP($A17,Wind!$A:$N,COLUMN(Wind!B:B),TRUE)</f>
        <v>0</v>
      </c>
      <c r="I17" s="11" cm="1">
        <f t="array" ref="I17">VLOOKUP($A17,Wind!$A:$N,COLUMN(Wind!E:E),TRUE)</f>
        <v>0</v>
      </c>
      <c r="J17" s="11" cm="1">
        <f t="array" ref="J17">VLOOKUP($A17,Wind!$A:$N,COLUMN(Wind!H:H),TRUE)</f>
        <v>0</v>
      </c>
      <c r="K17" s="11" cm="1">
        <f t="array" ref="K17">VLOOKUP($A17,Wind!$A:$N,COLUMN(Wind!K:K),TRUE)</f>
        <v>0</v>
      </c>
      <c r="L17" s="11" cm="1">
        <f t="array" ref="L17">VLOOKUP($A17,Nuclear!$A:$L,COLUMN(Nuclear!I:I),TRUE)</f>
        <v>0</v>
      </c>
      <c r="M17" s="11" cm="1">
        <f t="array" ref="M17">VLOOKUP($A17,Hydro!$A:$H,COLUMN(Hydro!E:E),TRUE)</f>
        <v>100</v>
      </c>
      <c r="N17" s="11" cm="1">
        <f t="array" ref="N17">VLOOKUP($A17,Biomass!$A:$J,COLUMN(Biomass!G:G),TRUE)</f>
        <v>0</v>
      </c>
      <c r="O17" s="11" cm="1">
        <f t="array" ref="O17">VLOOKUP($A17,Geothermal!$A:$K,COLUMN(Geothermal!H:H),TRUE)</f>
        <v>0</v>
      </c>
      <c r="P17" s="11" cm="1">
        <f t="array" ref="P17">VLOOKUP($A17,'Fossil energy'!$A:$AH,COLUMN('Fossil energy'!H:H),TRUE)</f>
        <v>0</v>
      </c>
      <c r="Q17" s="11" cm="1">
        <f t="array" ref="Q17">VLOOKUP($A17,'Fossil energy'!$A:$AH,COLUMN('Fossil energy'!Q:Q),TRUE)</f>
        <v>2</v>
      </c>
      <c r="R17" s="11" cm="1">
        <f t="array" ref="R17">VLOOKUP($A17,'Fossil energy'!$A:$AH,COLUMN('Fossil energy'!X:X),TRUE)</f>
        <v>0</v>
      </c>
      <c r="S17" s="11" cm="1">
        <f t="array" ref="S17">VLOOKUP($A17,'Fossil energy'!$A:$AH,COLUMN('Fossil energy'!AE:AE),TRUE)</f>
        <v>0</v>
      </c>
    </row>
    <row r="18" spans="1:19">
      <c r="A18" s="91" t="s">
        <v>38</v>
      </c>
      <c r="B18" s="11" cm="1">
        <f t="array" ref="B18">VLOOKUP($A18,'Solar PV - CSP'!$A:$BM,COLUMN('Solar PV - CSP'!R:R),TRUE)</f>
        <v>0</v>
      </c>
      <c r="C18" s="11" cm="1">
        <f t="array" ref="C18">VLOOKUP($A18,'Solar PV - CSP'!$A:$BM,COLUMN('Solar PV - CSP'!AC:AC),TRUE)</f>
        <v>0</v>
      </c>
      <c r="D18" s="11" cm="1">
        <f t="array" ref="D18">VLOOKUP($A18,'Solar PV - CSP'!$A:$BM,COLUMN('Solar PV - CSP'!AM:AM),TRUE)</f>
        <v>0</v>
      </c>
      <c r="E18" s="11" cm="1">
        <f t="array" ref="E18">VLOOKUP($A18,'Solar PV - CSP'!$A:$BM,COLUMN('Solar PV - CSP'!AT:AT),TRUE)</f>
        <v>0</v>
      </c>
      <c r="F18" s="11" cm="1">
        <f t="array" ref="F18">VLOOKUP($A18,'Solar PV - CSP'!$A:$BM,COLUMN('Solar PV - CSP'!BG:BG),TRUE)</f>
        <v>1368</v>
      </c>
      <c r="G18" s="11" cm="1">
        <f t="array" ref="G18">VLOOKUP($A18,'Solar PV - CSP'!$A:$BM,COLUMN('Solar PV - CSP'!BJ:BJ),TRUE)</f>
        <v>5700</v>
      </c>
      <c r="H18" s="11" cm="1">
        <f t="array" ref="H18">VLOOKUP($A18,Wind!$A:$N,COLUMN(Wind!B:B),TRUE)</f>
        <v>790</v>
      </c>
      <c r="I18" s="11" cm="1">
        <f t="array" ref="I18">VLOOKUP($A18,Wind!$A:$N,COLUMN(Wind!E:E),TRUE)</f>
        <v>780</v>
      </c>
      <c r="J18" s="11" cm="1">
        <f t="array" ref="J18">VLOOKUP($A18,Wind!$A:$N,COLUMN(Wind!H:H),TRUE)</f>
        <v>790</v>
      </c>
      <c r="K18" s="11" cm="1">
        <f t="array" ref="K18">VLOOKUP($A18,Wind!$A:$N,COLUMN(Wind!K:K),TRUE)</f>
        <v>800</v>
      </c>
      <c r="L18" s="11" cm="1">
        <f t="array" ref="L18">VLOOKUP($A18,Nuclear!$A:$L,COLUMN(Nuclear!I:I),TRUE)</f>
        <v>147.69</v>
      </c>
      <c r="M18" s="11" cm="1">
        <f t="array" ref="M18">VLOOKUP($A18,Hydro!$A:$H,COLUMN(Hydro!E:E),TRUE)</f>
        <v>200</v>
      </c>
      <c r="N18" s="11" cm="1">
        <f t="array" ref="N18">VLOOKUP($A18,Biomass!$A:$J,COLUMN(Biomass!G:G),TRUE)</f>
        <v>0</v>
      </c>
      <c r="O18" s="11" cm="1">
        <f t="array" ref="O18">VLOOKUP($A18,Geothermal!$A:$K,COLUMN(Geothermal!H:H),TRUE)</f>
        <v>4325</v>
      </c>
      <c r="P18" s="11" cm="1">
        <f t="array" ref="P18">VLOOKUP($A18,'Fossil energy'!$A:$AH,COLUMN('Fossil energy'!H:H),TRUE)</f>
        <v>4.63</v>
      </c>
      <c r="Q18" s="11" cm="1">
        <f t="array" ref="Q18">VLOOKUP($A18,'Fossil energy'!$A:$AH,COLUMN('Fossil energy'!Q:Q),TRUE)</f>
        <v>27</v>
      </c>
      <c r="R18" s="11" cm="1">
        <f t="array" ref="R18">VLOOKUP($A18,'Fossil energy'!$A:$AH,COLUMN('Fossil energy'!X:X),TRUE)</f>
        <v>359</v>
      </c>
      <c r="S18" s="11" cm="1">
        <f t="array" ref="S18">VLOOKUP($A18,'Fossil energy'!$A:$AH,COLUMN('Fossil energy'!AE:AE),TRUE)</f>
        <v>0</v>
      </c>
    </row>
    <row r="19" spans="1:19">
      <c r="A19" s="91" t="s">
        <v>76</v>
      </c>
      <c r="B19" s="11" cm="1">
        <f t="array" ref="B19">VLOOKUP($A19,'Solar PV - CSP'!$A:$BM,COLUMN('Solar PV - CSP'!R:R),TRUE)</f>
        <v>0</v>
      </c>
      <c r="C19" s="11" cm="1">
        <f t="array" ref="C19">VLOOKUP($A19,'Solar PV - CSP'!$A:$BM,COLUMN('Solar PV - CSP'!AC:AC),TRUE)</f>
        <v>154.5</v>
      </c>
      <c r="D19" s="11" cm="1">
        <f t="array" ref="D19">VLOOKUP($A19,'Solar PV - CSP'!$A:$BM,COLUMN('Solar PV - CSP'!AM:AM),TRUE)</f>
        <v>1</v>
      </c>
      <c r="E19" s="11" cm="1">
        <f t="array" ref="E19">VLOOKUP($A19,'Solar PV - CSP'!$A:$BM,COLUMN('Solar PV - CSP'!AT:AT),TRUE)</f>
        <v>0</v>
      </c>
      <c r="F19" s="11" cm="1">
        <f t="array" ref="F19">VLOOKUP($A19,'Solar PV - CSP'!$A:$BM,COLUMN('Solar PV - CSP'!BG:BG),TRUE)</f>
        <v>200</v>
      </c>
      <c r="G19" s="11" cm="1">
        <f t="array" ref="G19">VLOOKUP($A19,'Solar PV - CSP'!$A:$BM,COLUMN('Solar PV - CSP'!BJ:BJ),TRUE)</f>
        <v>56</v>
      </c>
      <c r="H19" s="11" cm="1">
        <f t="array" ref="H19">VLOOKUP($A19,Wind!$A:$N,COLUMN(Wind!B:B),TRUE)</f>
        <v>109</v>
      </c>
      <c r="I19" s="11" cm="1">
        <f t="array" ref="I19">VLOOKUP($A19,Wind!$A:$N,COLUMN(Wind!E:E),TRUE)</f>
        <v>99</v>
      </c>
      <c r="J19" s="11" cm="1">
        <f t="array" ref="J19">VLOOKUP($A19,Wind!$A:$N,COLUMN(Wind!H:H),TRUE)</f>
        <v>109</v>
      </c>
      <c r="K19" s="11" cm="1">
        <f t="array" ref="K19">VLOOKUP($A19,Wind!$A:$N,COLUMN(Wind!K:K),TRUE)</f>
        <v>119</v>
      </c>
      <c r="L19" s="11" cm="1">
        <f t="array" ref="L19">VLOOKUP($A19,Nuclear!$A:$L,COLUMN(Nuclear!I:I),TRUE)</f>
        <v>70.8</v>
      </c>
      <c r="M19" s="11" cm="1">
        <f t="array" ref="M19">VLOOKUP($A19,Hydro!$A:$H,COLUMN(Hydro!E:E),TRUE)</f>
        <v>250</v>
      </c>
      <c r="N19" s="11" cm="1">
        <f t="array" ref="N19">VLOOKUP($A19,Biomass!$A:$J,COLUMN(Biomass!G:G),TRUE)</f>
        <v>0</v>
      </c>
      <c r="O19" s="11" cm="1">
        <f t="array" ref="O19">VLOOKUP($A19,Geothermal!$A:$K,COLUMN(Geothermal!H:H),TRUE)</f>
        <v>7209</v>
      </c>
      <c r="P19" s="11" cm="1">
        <f t="array" ref="P19">VLOOKUP($A19,'Fossil energy'!$A:$AH,COLUMN('Fossil energy'!H:H),TRUE)</f>
        <v>0</v>
      </c>
      <c r="Q19" s="11" cm="1">
        <f t="array" ref="Q19">VLOOKUP($A19,'Fossil energy'!$A:$AH,COLUMN('Fossil energy'!Q:Q),TRUE)</f>
        <v>0</v>
      </c>
      <c r="R19" s="11" cm="1">
        <f t="array" ref="R19">VLOOKUP($A19,'Fossil energy'!$A:$AH,COLUMN('Fossil energy'!X:X),TRUE)</f>
        <v>0</v>
      </c>
      <c r="S19" s="11" cm="1">
        <f t="array" ref="S19">VLOOKUP($A19,'Fossil energy'!$A:$AH,COLUMN('Fossil energy'!AE:AE),TRUE)</f>
        <v>0</v>
      </c>
    </row>
    <row r="20" spans="1:19">
      <c r="A20" s="107" t="s">
        <v>39</v>
      </c>
      <c r="B20" s="11" cm="1">
        <f t="array" ref="B20">VLOOKUP($A20,'Solar PV - CSP'!$A:$BM,COLUMN('Solar PV - CSP'!R:R),TRUE)</f>
        <v>0</v>
      </c>
      <c r="C20" s="11" cm="1">
        <f t="array" ref="C20">VLOOKUP($A20,'Solar PV - CSP'!$A:$BM,COLUMN('Solar PV - CSP'!AC:AC),TRUE)</f>
        <v>0</v>
      </c>
      <c r="D20" s="11" cm="1">
        <f t="array" ref="D20">VLOOKUP($A20,'Solar PV - CSP'!$A:$BM,COLUMN('Solar PV - CSP'!AM:AM),TRUE)</f>
        <v>0</v>
      </c>
      <c r="E20" s="11" cm="1">
        <f t="array" ref="E20">VLOOKUP($A20,'Solar PV - CSP'!$A:$BM,COLUMN('Solar PV - CSP'!AT:AT),TRUE)</f>
        <v>0</v>
      </c>
      <c r="F20" s="11" cm="1">
        <f t="array" ref="F20">VLOOKUP($A20,'Solar PV - CSP'!$A:$BM,COLUMN('Solar PV - CSP'!BG:BG),TRUE)</f>
        <v>0</v>
      </c>
      <c r="G20" s="11" cm="1">
        <f t="array" ref="G20">VLOOKUP($A20,'Solar PV - CSP'!$A:$BM,COLUMN('Solar PV - CSP'!BJ:BJ),TRUE)</f>
        <v>0</v>
      </c>
      <c r="H20" s="11" cm="1">
        <f t="array" ref="H20">VLOOKUP($A20,Wind!$A:$N,COLUMN(Wind!B:B),TRUE)</f>
        <v>28</v>
      </c>
      <c r="I20" s="11" cm="1">
        <f t="array" ref="I20">VLOOKUP($A20,Wind!$A:$N,COLUMN(Wind!E:E),TRUE)</f>
        <v>12</v>
      </c>
      <c r="J20" s="11" cm="1">
        <f t="array" ref="J20">VLOOKUP($A20,Wind!$A:$N,COLUMN(Wind!H:H),TRUE)</f>
        <v>186</v>
      </c>
      <c r="K20" s="11" cm="1">
        <f t="array" ref="K20">VLOOKUP($A20,Wind!$A:$N,COLUMN(Wind!K:K),TRUE)</f>
        <v>51</v>
      </c>
      <c r="L20" s="11" cm="1">
        <f t="array" ref="L20">VLOOKUP($A20,Nuclear!$A:$L,COLUMN(Nuclear!I:I),TRUE)</f>
        <v>0</v>
      </c>
      <c r="M20" s="11" cm="1">
        <f t="array" ref="M20">VLOOKUP($A20,Hydro!$A:$H,COLUMN(Hydro!E:E),TRUE)</f>
        <v>0</v>
      </c>
      <c r="N20" s="11" cm="1">
        <f t="array" ref="N20">VLOOKUP($A20,Biomass!$A:$J,COLUMN(Biomass!G:G),TRUE)</f>
        <v>0</v>
      </c>
      <c r="O20" s="11" cm="1">
        <f t="array" ref="O20">VLOOKUP($A20,Geothermal!$A:$K,COLUMN(Geothermal!H:H),TRUE)</f>
        <v>0</v>
      </c>
      <c r="P20" s="11" cm="1">
        <f t="array" ref="P20">VLOOKUP($A20,'Fossil energy'!$A:$AH,COLUMN('Fossil energy'!H:H),TRUE)</f>
        <v>0</v>
      </c>
      <c r="Q20" s="11" cm="1">
        <f t="array" ref="Q20">VLOOKUP($A20,'Fossil energy'!$A:$AH,COLUMN('Fossil energy'!Q:Q),TRUE)</f>
        <v>0</v>
      </c>
      <c r="R20" s="11" cm="1">
        <f t="array" ref="R20">VLOOKUP($A20,'Fossil energy'!$A:$AH,COLUMN('Fossil energy'!X:X),TRUE)</f>
        <v>0</v>
      </c>
      <c r="S20" s="11" cm="1">
        <f t="array" ref="S20">VLOOKUP($A20,'Fossil energy'!$A:$AH,COLUMN('Fossil energy'!AE:AE),TRUE)</f>
        <v>0</v>
      </c>
    </row>
    <row r="21" spans="1:19">
      <c r="A21" s="91" t="s">
        <v>40</v>
      </c>
      <c r="B21" s="11" cm="1">
        <f t="array" ref="B21">VLOOKUP($A21,'Solar PV - CSP'!$A:$BM,COLUMN('Solar PV - CSP'!R:R),TRUE)</f>
        <v>1.3</v>
      </c>
      <c r="C21" s="11" cm="1">
        <f t="array" ref="C21">VLOOKUP($A21,'Solar PV - CSP'!$A:$BM,COLUMN('Solar PV - CSP'!AC:AC),TRUE)</f>
        <v>16</v>
      </c>
      <c r="D21" s="11" cm="1">
        <f t="array" ref="D21">VLOOKUP($A21,'Solar PV - CSP'!$A:$BM,COLUMN('Solar PV - CSP'!AM:AM),TRUE)</f>
        <v>0</v>
      </c>
      <c r="E21" s="11" cm="1">
        <f t="array" ref="E21">VLOOKUP($A21,'Solar PV - CSP'!$A:$BM,COLUMN('Solar PV - CSP'!AT:AT),TRUE)</f>
        <v>0</v>
      </c>
      <c r="F21" s="11" cm="1">
        <f t="array" ref="F21">VLOOKUP($A21,'Solar PV - CSP'!$A:$BM,COLUMN('Solar PV - CSP'!BG:BG),TRUE)</f>
        <v>705.5</v>
      </c>
      <c r="G21" s="11" cm="1">
        <f t="array" ref="G21">VLOOKUP($A21,'Solar PV - CSP'!$A:$BM,COLUMN('Solar PV - CSP'!BJ:BJ),TRUE)</f>
        <v>1800</v>
      </c>
      <c r="H21" s="11" cm="1">
        <f t="array" ref="H21">VLOOKUP($A21,Wind!$A:$N,COLUMN(Wind!B:B),TRUE)</f>
        <v>340</v>
      </c>
      <c r="I21" s="11" cm="1">
        <f t="array" ref="I21">VLOOKUP($A21,Wind!$A:$N,COLUMN(Wind!E:E),TRUE)</f>
        <v>430</v>
      </c>
      <c r="J21" s="11" cm="1">
        <f t="array" ref="J21">VLOOKUP($A21,Wind!$A:$N,COLUMN(Wind!H:H),TRUE)</f>
        <v>240</v>
      </c>
      <c r="K21" s="11" cm="1">
        <f t="array" ref="K21">VLOOKUP($A21,Wind!$A:$N,COLUMN(Wind!K:K),TRUE)</f>
        <v>440</v>
      </c>
      <c r="L21" s="11" cm="1">
        <f t="array" ref="L21">VLOOKUP($A21,Nuclear!$A:$L,COLUMN(Nuclear!I:I),TRUE)</f>
        <v>1297.4000000000001</v>
      </c>
      <c r="M21" s="11" cm="1">
        <f t="array" ref="M21">VLOOKUP($A21,Hydro!$A:$H,COLUMN(Hydro!E:E),TRUE)</f>
        <v>0</v>
      </c>
      <c r="N21" s="11" cm="1">
        <f t="array" ref="N21">VLOOKUP($A21,Biomass!$A:$J,COLUMN(Biomass!G:G),TRUE)</f>
        <v>20</v>
      </c>
      <c r="O21" s="11" cm="1">
        <f t="array" ref="O21">VLOOKUP($A21,Geothermal!$A:$K,COLUMN(Geothermal!H:H),TRUE)</f>
        <v>120155</v>
      </c>
      <c r="P21" s="11" cm="1">
        <f t="array" ref="P21">VLOOKUP($A21,'Fossil energy'!$A:$AH,COLUMN('Fossil energy'!H:H),TRUE)</f>
        <v>721.04</v>
      </c>
      <c r="Q21" s="11" cm="1">
        <f t="array" ref="Q21">VLOOKUP($A21,'Fossil energy'!$A:$AH,COLUMN('Fossil energy'!Q:Q),TRUE)</f>
        <v>32.375</v>
      </c>
      <c r="R21" s="11" cm="1">
        <f t="array" ref="R21">VLOOKUP($A21,'Fossil energy'!$A:$AH,COLUMN('Fossil energy'!X:X),TRUE)</f>
        <v>676</v>
      </c>
      <c r="S21" s="11" cm="1">
        <f t="array" ref="S21">VLOOKUP($A21,'Fossil energy'!$A:$AH,COLUMN('Fossil energy'!AE:AE),TRUE)</f>
        <v>0</v>
      </c>
    </row>
    <row r="22" spans="1:19">
      <c r="A22" s="91" t="s">
        <v>42</v>
      </c>
      <c r="B22" s="11" cm="1">
        <f t="array" ref="B22">VLOOKUP($A22,'Solar PV - CSP'!$A:$BM,COLUMN('Solar PV - CSP'!R:R),TRUE)</f>
        <v>0</v>
      </c>
      <c r="C22" s="11" cm="1">
        <f t="array" ref="C22">VLOOKUP($A22,'Solar PV - CSP'!$A:$BM,COLUMN('Solar PV - CSP'!AC:AC),TRUE)</f>
        <v>0</v>
      </c>
      <c r="D22" s="11" cm="1">
        <f t="array" ref="D22">VLOOKUP($A22,'Solar PV - CSP'!$A:$BM,COLUMN('Solar PV - CSP'!AM:AM),TRUE)</f>
        <v>0</v>
      </c>
      <c r="E22" s="11" cm="1">
        <f t="array" ref="E22">VLOOKUP($A22,'Solar PV - CSP'!$A:$BM,COLUMN('Solar PV - CSP'!AT:AT),TRUE)</f>
        <v>0</v>
      </c>
      <c r="F22" s="11" cm="1">
        <f t="array" ref="F22">VLOOKUP($A22,'Solar PV - CSP'!$A:$BM,COLUMN('Solar PV - CSP'!BG:BG),TRUE)</f>
        <v>0</v>
      </c>
      <c r="G22" s="11" cm="1">
        <f t="array" ref="G22">VLOOKUP($A22,'Solar PV - CSP'!$A:$BM,COLUMN('Solar PV - CSP'!BJ:BJ),TRUE)</f>
        <v>140</v>
      </c>
      <c r="H22" s="11" cm="1">
        <f t="array" ref="H22">VLOOKUP($A22,Wind!$A:$N,COLUMN(Wind!B:B),TRUE)</f>
        <v>0</v>
      </c>
      <c r="I22" s="11" cm="1">
        <f t="array" ref="I22">VLOOKUP($A22,Wind!$A:$N,COLUMN(Wind!E:E),TRUE)</f>
        <v>0</v>
      </c>
      <c r="J22" s="11" cm="1">
        <f t="array" ref="J22">VLOOKUP($A22,Wind!$A:$N,COLUMN(Wind!H:H),TRUE)</f>
        <v>0</v>
      </c>
      <c r="K22" s="11" cm="1">
        <f t="array" ref="K22">VLOOKUP($A22,Wind!$A:$N,COLUMN(Wind!K:K),TRUE)</f>
        <v>0</v>
      </c>
      <c r="L22" s="11" cm="1">
        <f t="array" ref="L22">VLOOKUP($A22,Nuclear!$A:$L,COLUMN(Nuclear!I:I),TRUE)</f>
        <v>2</v>
      </c>
      <c r="M22" s="11" cm="1">
        <f t="array" ref="M22">VLOOKUP($A22,Hydro!$A:$H,COLUMN(Hydro!E:E),TRUE)</f>
        <v>0</v>
      </c>
      <c r="N22" s="11" cm="1">
        <f t="array" ref="N22">VLOOKUP($A22,Biomass!$A:$J,COLUMN(Biomass!G:G),TRUE)</f>
        <v>0</v>
      </c>
      <c r="O22" s="11" cm="1">
        <f t="array" ref="O22">VLOOKUP($A22,Geothermal!$A:$K,COLUMN(Geothermal!H:H),TRUE)</f>
        <v>128</v>
      </c>
      <c r="P22" s="11" cm="1">
        <f t="array" ref="P22">VLOOKUP($A22,'Fossil energy'!$A:$AH,COLUMN('Fossil energy'!H:H),TRUE)</f>
        <v>0</v>
      </c>
      <c r="Q22" s="11" cm="1">
        <f t="array" ref="Q22">VLOOKUP($A22,'Fossil energy'!$A:$AH,COLUMN('Fossil energy'!Q:Q),TRUE)</f>
        <v>0</v>
      </c>
      <c r="R22" s="11" cm="1">
        <f t="array" ref="R22">VLOOKUP($A22,'Fossil energy'!$A:$AH,COLUMN('Fossil energy'!X:X),TRUE)</f>
        <v>0</v>
      </c>
      <c r="S22" s="11" cm="1">
        <f t="array" ref="S22">VLOOKUP($A22,'Fossil energy'!$A:$AH,COLUMN('Fossil energy'!AE:AE),TRUE)</f>
        <v>0</v>
      </c>
    </row>
    <row r="23" spans="1:19">
      <c r="A23" s="65" t="s">
        <v>43</v>
      </c>
      <c r="B23" s="11" cm="1">
        <f t="array" ref="B23">VLOOKUP($A23,'Solar PV - CSP'!$A:$BM,COLUMN('Solar PV - CSP'!R:R),TRUE)</f>
        <v>8600</v>
      </c>
      <c r="C23" s="11" cm="1">
        <f t="array" ref="C23">VLOOKUP($A23,'Solar PV - CSP'!$A:$BM,COLUMN('Solar PV - CSP'!AC:AC),TRUE)</f>
        <v>8600</v>
      </c>
      <c r="D23" s="11" cm="1">
        <f t="array" ref="D23">VLOOKUP($A23,'Solar PV - CSP'!$A:$BM,COLUMN('Solar PV - CSP'!AM:AM),TRUE)</f>
        <v>8600</v>
      </c>
      <c r="E23" s="11" cm="1">
        <f t="array" ref="E23">VLOOKUP($A23,'Solar PV - CSP'!$A:$BM,COLUMN('Solar PV - CSP'!AT:AT),TRUE)</f>
        <v>8600</v>
      </c>
      <c r="F23" s="11" cm="1">
        <f t="array" ref="F23">VLOOKUP($A23,'Solar PV - CSP'!$A:$BM,COLUMN('Solar PV - CSP'!BG:BG),TRUE)</f>
        <v>100</v>
      </c>
      <c r="G23" s="11" cm="1">
        <f t="array" ref="G23">VLOOKUP($A23,'Solar PV - CSP'!$A:$BM,COLUMN('Solar PV - CSP'!BJ:BJ),TRUE)</f>
        <v>100</v>
      </c>
      <c r="H23" s="11" cm="1">
        <f t="array" ref="H23">VLOOKUP($A23,Wind!$A:$N,COLUMN(Wind!B:B),TRUE)</f>
        <v>4600</v>
      </c>
      <c r="I23" s="11" cm="1">
        <f t="array" ref="I23">VLOOKUP($A23,Wind!$A:$N,COLUMN(Wind!E:E),TRUE)</f>
        <v>4600</v>
      </c>
      <c r="J23" s="11" cm="1">
        <f t="array" ref="J23">VLOOKUP($A23,Wind!$A:$N,COLUMN(Wind!H:H),TRUE)</f>
        <v>4600</v>
      </c>
      <c r="K23" s="11" cm="1">
        <f t="array" ref="K23">VLOOKUP($A23,Wind!$A:$N,COLUMN(Wind!K:K),TRUE)</f>
        <v>4600</v>
      </c>
      <c r="L23" s="11" cm="1">
        <f t="array" ref="L23">VLOOKUP($A23,Nuclear!$A:$L,COLUMN(Nuclear!I:I),TRUE)</f>
        <v>0</v>
      </c>
      <c r="M23" s="11" cm="1">
        <f t="array" ref="M23">VLOOKUP($A23,Hydro!$A:$H,COLUMN(Hydro!E:E),TRUE)</f>
        <v>0</v>
      </c>
      <c r="N23" s="11" cm="1">
        <f t="array" ref="N23">VLOOKUP($A23,Biomass!$A:$J,COLUMN(Biomass!G:G),TRUE)</f>
        <v>0</v>
      </c>
      <c r="O23" s="11" cm="1">
        <f t="array" ref="O23">VLOOKUP($A23,Geothermal!$A:$K,COLUMN(Geothermal!H:H),TRUE)</f>
        <v>732</v>
      </c>
      <c r="P23" s="11" cm="1">
        <f t="array" ref="P23">VLOOKUP($A23,'Fossil energy'!$A:$AH,COLUMN('Fossil energy'!H:H),TRUE)</f>
        <v>0</v>
      </c>
      <c r="Q23" s="11" cm="1">
        <f t="array" ref="Q23">VLOOKUP($A23,'Fossil energy'!$A:$AH,COLUMN('Fossil energy'!Q:Q),TRUE)</f>
        <v>0</v>
      </c>
      <c r="R23" s="11" cm="1">
        <f t="array" ref="R23">VLOOKUP($A23,'Fossil energy'!$A:$AH,COLUMN('Fossil energy'!X:X),TRUE)</f>
        <v>0</v>
      </c>
      <c r="S23" s="11" cm="1">
        <f t="array" ref="S23">VLOOKUP($A23,'Fossil energy'!$A:$AH,COLUMN('Fossil energy'!AE:AE),TRUE)</f>
        <v>0</v>
      </c>
    </row>
    <row r="24" spans="1:19">
      <c r="A24" s="107" t="s">
        <v>44</v>
      </c>
      <c r="B24" s="11" cm="1">
        <f t="array" ref="B24">VLOOKUP($A24,'Solar PV - CSP'!$A:$BM,COLUMN('Solar PV - CSP'!R:R),TRUE)</f>
        <v>0</v>
      </c>
      <c r="C24" s="11" cm="1">
        <f t="array" ref="C24">VLOOKUP($A24,'Solar PV - CSP'!$A:$BM,COLUMN('Solar PV - CSP'!AC:AC),TRUE)</f>
        <v>0</v>
      </c>
      <c r="D24" s="11" cm="1">
        <f t="array" ref="D24">VLOOKUP($A24,'Solar PV - CSP'!$A:$BM,COLUMN('Solar PV - CSP'!AM:AM),TRUE)</f>
        <v>0</v>
      </c>
      <c r="E24" s="11" cm="1">
        <f t="array" ref="E24">VLOOKUP($A24,'Solar PV - CSP'!$A:$BM,COLUMN('Solar PV - CSP'!AT:AT),TRUE)</f>
        <v>0</v>
      </c>
      <c r="F24" s="11" cm="1">
        <f t="array" ref="F24">VLOOKUP($A24,'Solar PV - CSP'!$A:$BM,COLUMN('Solar PV - CSP'!BG:BG),TRUE)</f>
        <v>0</v>
      </c>
      <c r="G24" s="11" cm="1">
        <f t="array" ref="G24">VLOOKUP($A24,'Solar PV - CSP'!$A:$BM,COLUMN('Solar PV - CSP'!BJ:BJ),TRUE)</f>
        <v>0</v>
      </c>
      <c r="H24" s="11" cm="1">
        <f t="array" ref="H24">VLOOKUP($A24,Wind!$A:$N,COLUMN(Wind!B:B),TRUE)</f>
        <v>9</v>
      </c>
      <c r="I24" s="11" cm="1">
        <f t="array" ref="I24">VLOOKUP($A24,Wind!$A:$N,COLUMN(Wind!E:E),TRUE)</f>
        <v>0</v>
      </c>
      <c r="J24" s="11" cm="1">
        <f t="array" ref="J24">VLOOKUP($A24,Wind!$A:$N,COLUMN(Wind!H:H),TRUE)</f>
        <v>35</v>
      </c>
      <c r="K24" s="11" cm="1">
        <f t="array" ref="K24">VLOOKUP($A24,Wind!$A:$N,COLUMN(Wind!K:K),TRUE)</f>
        <v>4</v>
      </c>
      <c r="L24" s="11" cm="1">
        <f t="array" ref="L24">VLOOKUP($A24,Nuclear!$A:$L,COLUMN(Nuclear!I:I),TRUE)</f>
        <v>0</v>
      </c>
      <c r="M24" s="11" cm="1">
        <f t="array" ref="M24">VLOOKUP($A24,Hydro!$A:$H,COLUMN(Hydro!E:E),TRUE)</f>
        <v>0</v>
      </c>
      <c r="N24" s="11" cm="1">
        <f t="array" ref="N24">VLOOKUP($A24,Biomass!$A:$J,COLUMN(Biomass!G:G),TRUE)</f>
        <v>0</v>
      </c>
      <c r="O24" s="11" cm="1">
        <f t="array" ref="O24">VLOOKUP($A24,Geothermal!$A:$K,COLUMN(Geothermal!H:H),TRUE)</f>
        <v>0</v>
      </c>
      <c r="P24" s="11" cm="1">
        <f t="array" ref="P24">VLOOKUP($A24,'Fossil energy'!$A:$AH,COLUMN('Fossil energy'!H:H),TRUE)</f>
        <v>0</v>
      </c>
      <c r="Q24" s="11" cm="1">
        <f t="array" ref="Q24">VLOOKUP($A24,'Fossil energy'!$A:$AH,COLUMN('Fossil energy'!Q:Q),TRUE)</f>
        <v>0</v>
      </c>
      <c r="R24" s="11" cm="1">
        <f t="array" ref="R24">VLOOKUP($A24,'Fossil energy'!$A:$AH,COLUMN('Fossil energy'!X:X),TRUE)</f>
        <v>0</v>
      </c>
      <c r="S24" s="11" cm="1">
        <f t="array" ref="S24">VLOOKUP($A24,'Fossil energy'!$A:$AH,COLUMN('Fossil energy'!AE:AE),TRUE)</f>
        <v>0</v>
      </c>
    </row>
    <row r="25" spans="1:19">
      <c r="A25" s="28" t="s">
        <v>45</v>
      </c>
      <c r="B25" s="11" cm="1">
        <f t="array" ref="B25">VLOOKUP($A25,'Solar PV - CSP'!$A:$BM,COLUMN('Solar PV - CSP'!R:R),TRUE)</f>
        <v>0</v>
      </c>
      <c r="C25" s="11" cm="1">
        <f t="array" ref="C25">VLOOKUP($A25,'Solar PV - CSP'!$A:$BM,COLUMN('Solar PV - CSP'!AC:AC),TRUE)</f>
        <v>0</v>
      </c>
      <c r="D25" s="11" cm="1">
        <f t="array" ref="D25">VLOOKUP($A25,'Solar PV - CSP'!$A:$BM,COLUMN('Solar PV - CSP'!AM:AM),TRUE)</f>
        <v>91.8</v>
      </c>
      <c r="E25" s="11" cm="1">
        <f t="array" ref="E25">VLOOKUP($A25,'Solar PV - CSP'!$A:$BM,COLUMN('Solar PV - CSP'!AT:AT),TRUE)</f>
        <v>0</v>
      </c>
      <c r="F25" s="11" cm="1">
        <f t="array" ref="F25">VLOOKUP($A25,'Solar PV - CSP'!$A:$BM,COLUMN('Solar PV - CSP'!BG:BG),TRUE)</f>
        <v>0</v>
      </c>
      <c r="G25" s="11" cm="1">
        <f t="array" ref="G25">VLOOKUP($A25,'Solar PV - CSP'!$A:$BM,COLUMN('Solar PV - CSP'!BJ:BJ),TRUE)</f>
        <v>0</v>
      </c>
      <c r="H25" s="11" cm="1">
        <f t="array" ref="H25">VLOOKUP($A25,Wind!$A:$N,COLUMN(Wind!B:B),TRUE)</f>
        <v>0</v>
      </c>
      <c r="I25" s="11" cm="1">
        <f t="array" ref="I25">VLOOKUP($A25,Wind!$A:$N,COLUMN(Wind!E:E),TRUE)</f>
        <v>0</v>
      </c>
      <c r="J25" s="11" cm="1">
        <f t="array" ref="J25">VLOOKUP($A25,Wind!$A:$N,COLUMN(Wind!H:H),TRUE)</f>
        <v>0</v>
      </c>
      <c r="K25" s="11" cm="1">
        <f t="array" ref="K25">VLOOKUP($A25,Wind!$A:$N,COLUMN(Wind!K:K),TRUE)</f>
        <v>0</v>
      </c>
      <c r="L25" s="11" cm="1">
        <f t="array" ref="L25">VLOOKUP($A25,Nuclear!$A:$L,COLUMN(Nuclear!I:I),TRUE)</f>
        <v>0</v>
      </c>
      <c r="M25" s="11" cm="1">
        <f t="array" ref="M25">VLOOKUP($A25,Hydro!$A:$H,COLUMN(Hydro!E:E),TRUE)</f>
        <v>0</v>
      </c>
      <c r="N25" s="11" cm="1">
        <f t="array" ref="N25">VLOOKUP($A25,Biomass!$A:$J,COLUMN(Biomass!G:G),TRUE)</f>
        <v>0</v>
      </c>
      <c r="O25" s="11" cm="1">
        <f t="array" ref="O25">VLOOKUP($A25,Geothermal!$A:$K,COLUMN(Geothermal!H:H),TRUE)</f>
        <v>0</v>
      </c>
      <c r="P25" s="11" cm="1">
        <f t="array" ref="P25">VLOOKUP($A25,'Fossil energy'!$A:$AH,COLUMN('Fossil energy'!H:H),TRUE)</f>
        <v>0</v>
      </c>
      <c r="Q25" s="11" cm="1">
        <f t="array" ref="Q25">VLOOKUP($A25,'Fossil energy'!$A:$AH,COLUMN('Fossil energy'!Q:Q),TRUE)</f>
        <v>0</v>
      </c>
      <c r="R25" s="11" cm="1">
        <f t="array" ref="R25">VLOOKUP($A25,'Fossil energy'!$A:$AH,COLUMN('Fossil energy'!X:X),TRUE)</f>
        <v>0</v>
      </c>
      <c r="S25" s="11" cm="1">
        <f t="array" ref="S25">VLOOKUP($A25,'Fossil energy'!$A:$AH,COLUMN('Fossil energy'!AE:AE),TRUE)</f>
        <v>0</v>
      </c>
    </row>
    <row r="26" spans="1:19">
      <c r="A26" s="28" t="s">
        <v>46</v>
      </c>
      <c r="B26" s="11" cm="1">
        <f t="array" ref="B26">VLOOKUP($A26,'Solar PV - CSP'!$A:$BM,COLUMN('Solar PV - CSP'!R:R),TRUE)</f>
        <v>5921.75</v>
      </c>
      <c r="C26" s="11" cm="1">
        <f t="array" ref="C26">VLOOKUP($A26,'Solar PV - CSP'!$A:$BM,COLUMN('Solar PV - CSP'!AC:AC),TRUE)</f>
        <v>0</v>
      </c>
      <c r="D26" s="11" cm="1">
        <f t="array" ref="D26">VLOOKUP($A26,'Solar PV - CSP'!$A:$BM,COLUMN('Solar PV - CSP'!AM:AM),TRUE)</f>
        <v>0</v>
      </c>
      <c r="E26" s="11" cm="1">
        <f t="array" ref="E26">VLOOKUP($A26,'Solar PV - CSP'!$A:$BM,COLUMN('Solar PV - CSP'!AT:AT),TRUE)</f>
        <v>150</v>
      </c>
      <c r="F26" s="11" cm="1">
        <f t="array" ref="F26">VLOOKUP($A26,'Solar PV - CSP'!$A:$BM,COLUMN('Solar PV - CSP'!BG:BG),TRUE)</f>
        <v>0</v>
      </c>
      <c r="G26" s="11" cm="1">
        <f t="array" ref="G26">VLOOKUP($A26,'Solar PV - CSP'!$A:$BM,COLUMN('Solar PV - CSP'!BJ:BJ),TRUE)</f>
        <v>0</v>
      </c>
      <c r="H26" s="11" cm="1">
        <f t="array" ref="H26">VLOOKUP($A26,Wind!$A:$N,COLUMN(Wind!B:B),TRUE)</f>
        <v>0</v>
      </c>
      <c r="I26" s="11" cm="1">
        <f t="array" ref="I26">VLOOKUP($A26,Wind!$A:$N,COLUMN(Wind!E:E),TRUE)</f>
        <v>0</v>
      </c>
      <c r="J26" s="11" cm="1">
        <f t="array" ref="J26">VLOOKUP($A26,Wind!$A:$N,COLUMN(Wind!H:H),TRUE)</f>
        <v>0</v>
      </c>
      <c r="K26" s="11" cm="1">
        <f t="array" ref="K26">VLOOKUP($A26,Wind!$A:$N,COLUMN(Wind!K:K),TRUE)</f>
        <v>0</v>
      </c>
      <c r="L26" s="11" cm="1">
        <f t="array" ref="L26">VLOOKUP($A26,Nuclear!$A:$L,COLUMN(Nuclear!I:I),TRUE)</f>
        <v>0</v>
      </c>
      <c r="M26" s="11" cm="1">
        <f t="array" ref="M26">VLOOKUP($A26,Hydro!$A:$H,COLUMN(Hydro!E:E),TRUE)</f>
        <v>0</v>
      </c>
      <c r="N26" s="11" cm="1">
        <f t="array" ref="N26">VLOOKUP($A26,Biomass!$A:$J,COLUMN(Biomass!G:G),TRUE)</f>
        <v>0</v>
      </c>
      <c r="O26" s="11" cm="1">
        <f t="array" ref="O26">VLOOKUP($A26,Geothermal!$A:$K,COLUMN(Geothermal!H:H),TRUE)</f>
        <v>0</v>
      </c>
      <c r="P26" s="11" cm="1">
        <f t="array" ref="P26">VLOOKUP($A26,'Fossil energy'!$A:$AH,COLUMN('Fossil energy'!H:H),TRUE)</f>
        <v>0</v>
      </c>
      <c r="Q26" s="11" cm="1">
        <f t="array" ref="Q26">VLOOKUP($A26,'Fossil energy'!$A:$AH,COLUMN('Fossil energy'!Q:Q),TRUE)</f>
        <v>0</v>
      </c>
      <c r="R26" s="11" cm="1">
        <f t="array" ref="R26">VLOOKUP($A26,'Fossil energy'!$A:$AH,COLUMN('Fossil energy'!X:X),TRUE)</f>
        <v>0</v>
      </c>
      <c r="S26" s="11" cm="1">
        <f t="array" ref="S26">VLOOKUP($A26,'Fossil energy'!$A:$AH,COLUMN('Fossil energy'!AE:AE),TRUE)</f>
        <v>0</v>
      </c>
    </row>
    <row r="27" spans="1:19">
      <c r="A27" s="28" t="s">
        <v>47</v>
      </c>
      <c r="B27" s="11" cm="1">
        <f t="array" ref="B27">VLOOKUP($A27,'Solar PV - CSP'!$A:$BM,COLUMN('Solar PV - CSP'!R:R),TRUE)</f>
        <v>24.3</v>
      </c>
      <c r="C27" s="11" cm="1">
        <f t="array" ref="C27">VLOOKUP($A27,'Solar PV - CSP'!$A:$BM,COLUMN('Solar PV - CSP'!AC:AC),TRUE)</f>
        <v>0</v>
      </c>
      <c r="D27" s="11" cm="1">
        <f t="array" ref="D27">VLOOKUP($A27,'Solar PV - CSP'!$A:$BM,COLUMN('Solar PV - CSP'!AM:AM),TRUE)</f>
        <v>0</v>
      </c>
      <c r="E27" s="11" cm="1">
        <f t="array" ref="E27">VLOOKUP($A27,'Solar PV - CSP'!$A:$BM,COLUMN('Solar PV - CSP'!AT:AT),TRUE)</f>
        <v>0</v>
      </c>
      <c r="F27" s="11" cm="1">
        <f t="array" ref="F27">VLOOKUP($A27,'Solar PV - CSP'!$A:$BM,COLUMN('Solar PV - CSP'!BG:BG),TRUE)</f>
        <v>10.5</v>
      </c>
      <c r="G27" s="11" cm="1">
        <f t="array" ref="G27">VLOOKUP($A27,'Solar PV - CSP'!$A:$BM,COLUMN('Solar PV - CSP'!BJ:BJ),TRUE)</f>
        <v>14</v>
      </c>
      <c r="H27" s="11" cm="1">
        <f t="array" ref="H27">VLOOKUP($A27,Wind!$A:$N,COLUMN(Wind!B:B),TRUE)</f>
        <v>0</v>
      </c>
      <c r="I27" s="11" cm="1">
        <f t="array" ref="I27">VLOOKUP($A27,Wind!$A:$N,COLUMN(Wind!E:E),TRUE)</f>
        <v>0</v>
      </c>
      <c r="J27" s="11" cm="1">
        <f t="array" ref="J27">VLOOKUP($A27,Wind!$A:$N,COLUMN(Wind!H:H),TRUE)</f>
        <v>0</v>
      </c>
      <c r="K27" s="11" cm="1">
        <f t="array" ref="K27">VLOOKUP($A27,Wind!$A:$N,COLUMN(Wind!K:K),TRUE)</f>
        <v>0</v>
      </c>
      <c r="L27" s="11" cm="1">
        <f t="array" ref="L27">VLOOKUP($A27,Nuclear!$A:$L,COLUMN(Nuclear!I:I),TRUE)</f>
        <v>8.3000000000000007</v>
      </c>
      <c r="M27" s="11" cm="1">
        <f t="array" ref="M27">VLOOKUP($A27,Hydro!$A:$H,COLUMN(Hydro!E:E),TRUE)</f>
        <v>0</v>
      </c>
      <c r="N27" s="11" cm="1">
        <f t="array" ref="N27">VLOOKUP($A27,Biomass!$A:$J,COLUMN(Biomass!G:G),TRUE)</f>
        <v>0</v>
      </c>
      <c r="O27" s="11" cm="1">
        <f t="array" ref="O27">VLOOKUP($A27,Geothermal!$A:$K,COLUMN(Geothermal!H:H),TRUE)</f>
        <v>0</v>
      </c>
      <c r="P27" s="11" cm="1">
        <f t="array" ref="P27">VLOOKUP($A27,'Fossil energy'!$A:$AH,COLUMN('Fossil energy'!H:H),TRUE)</f>
        <v>0</v>
      </c>
      <c r="Q27" s="11" cm="1">
        <f t="array" ref="Q27">VLOOKUP($A27,'Fossil energy'!$A:$AH,COLUMN('Fossil energy'!Q:Q),TRUE)</f>
        <v>0</v>
      </c>
      <c r="R27" s="11" cm="1">
        <f t="array" ref="R27">VLOOKUP($A27,'Fossil energy'!$A:$AH,COLUMN('Fossil energy'!X:X),TRUE)</f>
        <v>0</v>
      </c>
      <c r="S27" s="11" cm="1">
        <f t="array" ref="S27">VLOOKUP($A27,'Fossil energy'!$A:$AH,COLUMN('Fossil energy'!AE:AE),TRUE)</f>
        <v>0</v>
      </c>
    </row>
    <row r="28" spans="1:19" s="1" customFormat="1">
      <c r="A28" s="91" t="s">
        <v>51</v>
      </c>
      <c r="B28" s="11" cm="1">
        <f t="array" ref="B28">VLOOKUP($A28,'Solar PV - CSP'!$A:$BM,COLUMN('Solar PV - CSP'!R:R),TRUE)</f>
        <v>0</v>
      </c>
      <c r="C28" s="11" cm="1">
        <f t="array" ref="C28">VLOOKUP($A28,'Solar PV - CSP'!$A:$BM,COLUMN('Solar PV - CSP'!AC:AC),TRUE)</f>
        <v>0</v>
      </c>
      <c r="D28" s="11" cm="1">
        <f t="array" ref="D28">VLOOKUP($A28,'Solar PV - CSP'!$A:$BM,COLUMN('Solar PV - CSP'!AM:AM),TRUE)</f>
        <v>0</v>
      </c>
      <c r="E28" s="11" cm="1">
        <f t="array" ref="E28">VLOOKUP($A28,'Solar PV - CSP'!$A:$BM,COLUMN('Solar PV - CSP'!AT:AT),TRUE)</f>
        <v>0</v>
      </c>
      <c r="F28" s="11" cm="1">
        <f t="array" ref="F28">VLOOKUP($A28,'Solar PV - CSP'!$A:$BM,COLUMN('Solar PV - CSP'!BG:BG),TRUE)</f>
        <v>0</v>
      </c>
      <c r="G28" s="11" cm="1">
        <f t="array" ref="G28">VLOOKUP($A28,'Solar PV - CSP'!$A:$BM,COLUMN('Solar PV - CSP'!BJ:BJ),TRUE)</f>
        <v>0</v>
      </c>
      <c r="H28" s="11" cm="1">
        <f t="array" ref="H28">VLOOKUP($A28,Wind!$A:$N,COLUMN(Wind!B:B),TRUE)</f>
        <v>0</v>
      </c>
      <c r="I28" s="11" cm="1">
        <f t="array" ref="I28">VLOOKUP($A28,Wind!$A:$N,COLUMN(Wind!E:E),TRUE)</f>
        <v>0</v>
      </c>
      <c r="J28" s="11" cm="1">
        <f t="array" ref="J28">VLOOKUP($A28,Wind!$A:$N,COLUMN(Wind!H:H),TRUE)</f>
        <v>0</v>
      </c>
      <c r="K28" s="11" cm="1">
        <f t="array" ref="K28">VLOOKUP($A28,Wind!$A:$N,COLUMN(Wind!K:K),TRUE)</f>
        <v>0</v>
      </c>
      <c r="L28" s="11" cm="1">
        <f t="array" ref="L28">VLOOKUP($A28,Nuclear!$A:$L,COLUMN(Nuclear!I:I),TRUE)</f>
        <v>0</v>
      </c>
      <c r="M28" s="11" cm="1">
        <f t="array" ref="M28">VLOOKUP($A28,Hydro!$A:$H,COLUMN(Hydro!E:E),TRUE)</f>
        <v>0</v>
      </c>
      <c r="N28" s="11" cm="1">
        <f t="array" ref="N28">VLOOKUP($A28,Biomass!$A:$J,COLUMN(Biomass!G:G),TRUE)</f>
        <v>0</v>
      </c>
      <c r="O28" s="11" cm="1">
        <f t="array" ref="O28">VLOOKUP($A28,Geothermal!$A:$K,COLUMN(Geothermal!H:H),TRUE)</f>
        <v>64</v>
      </c>
      <c r="P28" s="11" cm="1">
        <f t="array" ref="P28">VLOOKUP($A28,'Fossil energy'!$A:$AH,COLUMN('Fossil energy'!H:H),TRUE)</f>
        <v>0</v>
      </c>
      <c r="Q28" s="11" cm="1">
        <f t="array" ref="Q28">VLOOKUP($A28,'Fossil energy'!$A:$AH,COLUMN('Fossil energy'!Q:Q),TRUE)</f>
        <v>0</v>
      </c>
      <c r="R28" s="11" cm="1">
        <f t="array" ref="R28">VLOOKUP($A28,'Fossil energy'!$A:$AH,COLUMN('Fossil energy'!X:X),TRUE)</f>
        <v>0</v>
      </c>
      <c r="S28" s="11" cm="1">
        <f t="array" ref="S28">VLOOKUP($A28,'Fossil energy'!$A:$AH,COLUMN('Fossil energy'!AE:AE),TRUE)</f>
        <v>0</v>
      </c>
    </row>
    <row r="29" spans="1:19" s="1" customFormat="1">
      <c r="A29" s="91" t="s">
        <v>52</v>
      </c>
      <c r="B29" s="11" cm="1">
        <f t="array" ref="B29">VLOOKUP($A29,'Solar PV - CSP'!$A:$BM,COLUMN('Solar PV - CSP'!R:R),TRUE)</f>
        <v>0</v>
      </c>
      <c r="C29" s="11" cm="1">
        <f t="array" ref="C29">VLOOKUP($A29,'Solar PV - CSP'!$A:$BM,COLUMN('Solar PV - CSP'!AC:AC),TRUE)</f>
        <v>77.039999999999992</v>
      </c>
      <c r="D29" s="11" cm="1">
        <f t="array" ref="D29">VLOOKUP($A29,'Solar PV - CSP'!$A:$BM,COLUMN('Solar PV - CSP'!AM:AM),TRUE)</f>
        <v>0</v>
      </c>
      <c r="E29" s="11" cm="1">
        <f t="array" ref="E29">VLOOKUP($A29,'Solar PV - CSP'!$A:$BM,COLUMN('Solar PV - CSP'!AT:AT),TRUE)</f>
        <v>0</v>
      </c>
      <c r="F29" s="11" cm="1">
        <f t="array" ref="F29">VLOOKUP($A29,'Solar PV - CSP'!$A:$BM,COLUMN('Solar PV - CSP'!BG:BG),TRUE)</f>
        <v>0</v>
      </c>
      <c r="G29" s="11" cm="1">
        <f t="array" ref="G29">VLOOKUP($A29,'Solar PV - CSP'!$A:$BM,COLUMN('Solar PV - CSP'!BJ:BJ),TRUE)</f>
        <v>0</v>
      </c>
      <c r="H29" s="11" cm="1">
        <f t="array" ref="H29">VLOOKUP($A29,Wind!$A:$N,COLUMN(Wind!B:B),TRUE)</f>
        <v>0</v>
      </c>
      <c r="I29" s="11" cm="1">
        <f t="array" ref="I29">VLOOKUP($A29,Wind!$A:$N,COLUMN(Wind!E:E),TRUE)</f>
        <v>0</v>
      </c>
      <c r="J29" s="11" cm="1">
        <f t="array" ref="J29">VLOOKUP($A29,Wind!$A:$N,COLUMN(Wind!H:H),TRUE)</f>
        <v>0</v>
      </c>
      <c r="K29" s="11" cm="1">
        <f t="array" ref="K29">VLOOKUP($A29,Wind!$A:$N,COLUMN(Wind!K:K),TRUE)</f>
        <v>0</v>
      </c>
      <c r="L29" s="11" cm="1">
        <f t="array" ref="L29">VLOOKUP($A29,Nuclear!$A:$L,COLUMN(Nuclear!I:I),TRUE)</f>
        <v>0</v>
      </c>
      <c r="M29" s="11" cm="1">
        <f t="array" ref="M29">VLOOKUP($A29,Hydro!$A:$H,COLUMN(Hydro!E:E),TRUE)</f>
        <v>0</v>
      </c>
      <c r="N29" s="11" cm="1">
        <f t="array" ref="N29">VLOOKUP($A29,Biomass!$A:$J,COLUMN(Biomass!G:G),TRUE)</f>
        <v>0</v>
      </c>
      <c r="O29" s="11" cm="1">
        <f t="array" ref="O29">VLOOKUP($A29,Geothermal!$A:$K,COLUMN(Geothermal!H:H),TRUE)</f>
        <v>0</v>
      </c>
      <c r="P29" s="11" cm="1">
        <f t="array" ref="P29">VLOOKUP($A29,'Fossil energy'!$A:$AH,COLUMN('Fossil energy'!H:H),TRUE)</f>
        <v>0</v>
      </c>
      <c r="Q29" s="11" cm="1">
        <f t="array" ref="Q29">VLOOKUP($A29,'Fossil energy'!$A:$AH,COLUMN('Fossil energy'!Q:Q),TRUE)</f>
        <v>0</v>
      </c>
      <c r="R29" s="11" cm="1">
        <f t="array" ref="R29">VLOOKUP($A29,'Fossil energy'!$A:$AH,COLUMN('Fossil energy'!X:X),TRUE)</f>
        <v>0</v>
      </c>
      <c r="S29" s="11" cm="1">
        <f t="array" ref="S29">VLOOKUP($A29,'Fossil energy'!$A:$AH,COLUMN('Fossil energy'!AE:AE),TRUE)</f>
        <v>0</v>
      </c>
    </row>
    <row r="30" spans="1:19" s="1" customFormat="1">
      <c r="A30" s="107" t="s">
        <v>54</v>
      </c>
      <c r="B30" s="11" cm="1">
        <f t="array" ref="B30">VLOOKUP($A30,'Solar PV - CSP'!$A:$BM,COLUMN('Solar PV - CSP'!R:R),TRUE)</f>
        <v>0</v>
      </c>
      <c r="C30" s="11" cm="1">
        <f t="array" ref="C30">VLOOKUP($A30,'Solar PV - CSP'!$A:$BM,COLUMN('Solar PV - CSP'!AC:AC),TRUE)</f>
        <v>0</v>
      </c>
      <c r="D30" s="11" cm="1">
        <f t="array" ref="D30">VLOOKUP($A30,'Solar PV - CSP'!$A:$BM,COLUMN('Solar PV - CSP'!AM:AM),TRUE)</f>
        <v>0</v>
      </c>
      <c r="E30" s="11" cm="1">
        <f t="array" ref="E30">VLOOKUP($A30,'Solar PV - CSP'!$A:$BM,COLUMN('Solar PV - CSP'!AT:AT),TRUE)</f>
        <v>0</v>
      </c>
      <c r="F30" s="11" cm="1">
        <f t="array" ref="F30">VLOOKUP($A30,'Solar PV - CSP'!$A:$BM,COLUMN('Solar PV - CSP'!BG:BG),TRUE)</f>
        <v>0</v>
      </c>
      <c r="G30" s="11" cm="1">
        <f t="array" ref="G30">VLOOKUP($A30,'Solar PV - CSP'!$A:$BM,COLUMN('Solar PV - CSP'!BJ:BJ),TRUE)</f>
        <v>0</v>
      </c>
      <c r="H30" s="11" cm="1">
        <f t="array" ref="H30">VLOOKUP($A30,Wind!$A:$N,COLUMN(Wind!B:B),TRUE)</f>
        <v>1</v>
      </c>
      <c r="I30" s="11" cm="1">
        <f t="array" ref="I30">VLOOKUP($A30,Wind!$A:$N,COLUMN(Wind!E:E),TRUE)</f>
        <v>0</v>
      </c>
      <c r="J30" s="11" cm="1">
        <f t="array" ref="J30">VLOOKUP($A30,Wind!$A:$N,COLUMN(Wind!H:H),TRUE)</f>
        <v>7</v>
      </c>
      <c r="K30" s="11" cm="1">
        <f t="array" ref="K30">VLOOKUP($A30,Wind!$A:$N,COLUMN(Wind!K:K),TRUE)</f>
        <v>1</v>
      </c>
      <c r="L30" s="11" cm="1">
        <f t="array" ref="L30">VLOOKUP($A30,Nuclear!$A:$L,COLUMN(Nuclear!I:I),TRUE)</f>
        <v>0</v>
      </c>
      <c r="M30" s="11" cm="1">
        <f t="array" ref="M30">VLOOKUP($A30,Hydro!$A:$H,COLUMN(Hydro!E:E),TRUE)</f>
        <v>0</v>
      </c>
      <c r="N30" s="11" cm="1">
        <f t="array" ref="N30">VLOOKUP($A30,Biomass!$A:$J,COLUMN(Biomass!G:G),TRUE)</f>
        <v>0</v>
      </c>
      <c r="O30" s="11" cm="1">
        <f t="array" ref="O30">VLOOKUP($A30,Geothermal!$A:$K,COLUMN(Geothermal!H:H),TRUE)</f>
        <v>0</v>
      </c>
      <c r="P30" s="11" cm="1">
        <f t="array" ref="P30">VLOOKUP($A30,'Fossil energy'!$A:$AH,COLUMN('Fossil energy'!H:H),TRUE)</f>
        <v>0</v>
      </c>
      <c r="Q30" s="11" cm="1">
        <f t="array" ref="Q30">VLOOKUP($A30,'Fossil energy'!$A:$AH,COLUMN('Fossil energy'!Q:Q),TRUE)</f>
        <v>0</v>
      </c>
      <c r="R30" s="11" cm="1">
        <f t="array" ref="R30">VLOOKUP($A30,'Fossil energy'!$A:$AH,COLUMN('Fossil energy'!X:X),TRUE)</f>
        <v>0</v>
      </c>
      <c r="S30" s="11" cm="1">
        <f t="array" ref="S30">VLOOKUP($A30,'Fossil energy'!$A:$AH,COLUMN('Fossil energy'!AE:AE),TRUE)</f>
        <v>0</v>
      </c>
    </row>
    <row r="31" spans="1:19" s="1" customFormat="1">
      <c r="A31" s="91" t="s">
        <v>55</v>
      </c>
      <c r="B31" s="11" cm="1">
        <f t="array" ref="B31">VLOOKUP($A31,'Solar PV - CSP'!$A:$BM,COLUMN('Solar PV - CSP'!R:R),TRUE)</f>
        <v>454.5</v>
      </c>
      <c r="C31" s="11" cm="1">
        <f t="array" ref="C31">VLOOKUP($A31,'Solar PV - CSP'!$A:$BM,COLUMN('Solar PV - CSP'!AC:AC),TRUE)</f>
        <v>332</v>
      </c>
      <c r="D31" s="11" cm="1">
        <f t="array" ref="D31">VLOOKUP($A31,'Solar PV - CSP'!$A:$BM,COLUMN('Solar PV - CSP'!AM:AM),TRUE)</f>
        <v>332</v>
      </c>
      <c r="E31" s="11" cm="1">
        <f t="array" ref="E31">VLOOKUP($A31,'Solar PV - CSP'!$A:$BM,COLUMN('Solar PV - CSP'!AT:AT),TRUE)</f>
        <v>332</v>
      </c>
      <c r="F31" s="11" cm="1">
        <f t="array" ref="F31">VLOOKUP($A31,'Solar PV - CSP'!$A:$BM,COLUMN('Solar PV - CSP'!BG:BG),TRUE)</f>
        <v>0</v>
      </c>
      <c r="G31" s="11" cm="1">
        <f t="array" ref="G31">VLOOKUP($A31,'Solar PV - CSP'!$A:$BM,COLUMN('Solar PV - CSP'!BJ:BJ),TRUE)</f>
        <v>0</v>
      </c>
      <c r="H31" s="11" cm="1">
        <f t="array" ref="H31">VLOOKUP($A31,Wind!$A:$N,COLUMN(Wind!B:B),TRUE)</f>
        <v>0</v>
      </c>
      <c r="I31" s="11" cm="1">
        <f t="array" ref="I31">VLOOKUP($A31,Wind!$A:$N,COLUMN(Wind!E:E),TRUE)</f>
        <v>0</v>
      </c>
      <c r="J31" s="11" cm="1">
        <f t="array" ref="J31">VLOOKUP($A31,Wind!$A:$N,COLUMN(Wind!H:H),TRUE)</f>
        <v>0</v>
      </c>
      <c r="K31" s="11" cm="1">
        <f t="array" ref="K31">VLOOKUP($A31,Wind!$A:$N,COLUMN(Wind!K:K),TRUE)</f>
        <v>0</v>
      </c>
      <c r="L31" s="11" cm="1">
        <f t="array" ref="L31">VLOOKUP($A31,Nuclear!$A:$L,COLUMN(Nuclear!I:I),TRUE)</f>
        <v>5</v>
      </c>
      <c r="M31" s="11" cm="1">
        <f t="array" ref="M31">VLOOKUP($A31,Hydro!$A:$H,COLUMN(Hydro!E:E),TRUE)</f>
        <v>0</v>
      </c>
      <c r="N31" s="11" cm="1">
        <f t="array" ref="N31">VLOOKUP($A31,Biomass!$A:$J,COLUMN(Biomass!G:G),TRUE)</f>
        <v>0</v>
      </c>
      <c r="O31" s="11" cm="1">
        <f t="array" ref="O31">VLOOKUP($A31,Geothermal!$A:$K,COLUMN(Geothermal!H:H),TRUE)</f>
        <v>0</v>
      </c>
      <c r="P31" s="11" cm="1">
        <f t="array" ref="P31">VLOOKUP($A31,'Fossil energy'!$A:$AH,COLUMN('Fossil energy'!H:H),TRUE)</f>
        <v>0</v>
      </c>
      <c r="Q31" s="11" cm="1">
        <f t="array" ref="Q31">VLOOKUP($A31,'Fossil energy'!$A:$AH,COLUMN('Fossil energy'!Q:Q),TRUE)</f>
        <v>0</v>
      </c>
      <c r="R31" s="11" cm="1">
        <f t="array" ref="R31">VLOOKUP($A31,'Fossil energy'!$A:$AH,COLUMN('Fossil energy'!X:X),TRUE)</f>
        <v>0</v>
      </c>
      <c r="S31" s="11" cm="1">
        <f t="array" ref="S31">VLOOKUP($A31,'Fossil energy'!$A:$AH,COLUMN('Fossil energy'!AE:AE),TRUE)</f>
        <v>0</v>
      </c>
    </row>
    <row r="32" spans="1:19" s="1" customFormat="1">
      <c r="A32" s="91" t="s">
        <v>56</v>
      </c>
      <c r="B32" s="11" cm="1">
        <f t="array" ref="B32">VLOOKUP($A32,'Solar PV - CSP'!$A:$BM,COLUMN('Solar PV - CSP'!R:R),TRUE)</f>
        <v>0</v>
      </c>
      <c r="C32" s="11" cm="1">
        <f t="array" ref="C32">VLOOKUP($A32,'Solar PV - CSP'!$A:$BM,COLUMN('Solar PV - CSP'!AC:AC),TRUE)</f>
        <v>0</v>
      </c>
      <c r="D32" s="11" cm="1">
        <f t="array" ref="D32">VLOOKUP($A32,'Solar PV - CSP'!$A:$BM,COLUMN('Solar PV - CSP'!AM:AM),TRUE)</f>
        <v>0</v>
      </c>
      <c r="E32" s="11" cm="1">
        <f t="array" ref="E32">VLOOKUP($A32,'Solar PV - CSP'!$A:$BM,COLUMN('Solar PV - CSP'!AT:AT),TRUE)</f>
        <v>0</v>
      </c>
      <c r="F32" s="11" cm="1">
        <f t="array" ref="F32">VLOOKUP($A32,'Solar PV - CSP'!$A:$BM,COLUMN('Solar PV - CSP'!BG:BG),TRUE)</f>
        <v>0</v>
      </c>
      <c r="G32" s="11" cm="1">
        <f t="array" ref="G32">VLOOKUP($A32,'Solar PV - CSP'!$A:$BM,COLUMN('Solar PV - CSP'!BJ:BJ),TRUE)</f>
        <v>0</v>
      </c>
      <c r="H32" s="11" cm="1">
        <f t="array" ref="H32">VLOOKUP($A32,Wind!$A:$N,COLUMN(Wind!B:B),TRUE)</f>
        <v>0</v>
      </c>
      <c r="I32" s="11" cm="1">
        <f t="array" ref="I32">VLOOKUP($A32,Wind!$A:$N,COLUMN(Wind!E:E),TRUE)</f>
        <v>0</v>
      </c>
      <c r="J32" s="11" cm="1">
        <f t="array" ref="J32">VLOOKUP($A32,Wind!$A:$N,COLUMN(Wind!H:H),TRUE)</f>
        <v>0</v>
      </c>
      <c r="K32" s="11" cm="1">
        <f t="array" ref="K32">VLOOKUP($A32,Wind!$A:$N,COLUMN(Wind!K:K),TRUE)</f>
        <v>0</v>
      </c>
      <c r="L32" s="11" cm="1">
        <f t="array" ref="L32">VLOOKUP($A32,Nuclear!$A:$L,COLUMN(Nuclear!I:I),TRUE)</f>
        <v>5</v>
      </c>
      <c r="M32" s="11" cm="1">
        <f t="array" ref="M32">VLOOKUP($A32,Hydro!$A:$H,COLUMN(Hydro!E:E),TRUE)</f>
        <v>0</v>
      </c>
      <c r="N32" s="11" cm="1">
        <f t="array" ref="N32">VLOOKUP($A32,Biomass!$A:$J,COLUMN(Biomass!G:G),TRUE)</f>
        <v>0</v>
      </c>
      <c r="O32" s="11" cm="1">
        <f t="array" ref="O32">VLOOKUP($A32,Geothermal!$A:$K,COLUMN(Geothermal!H:H),TRUE)</f>
        <v>0</v>
      </c>
      <c r="P32" s="11" cm="1">
        <f t="array" ref="P32">VLOOKUP($A32,'Fossil energy'!$A:$AH,COLUMN('Fossil energy'!H:H),TRUE)</f>
        <v>0</v>
      </c>
      <c r="Q32" s="11" cm="1">
        <f t="array" ref="Q32">VLOOKUP($A32,'Fossil energy'!$A:$AH,COLUMN('Fossil energy'!Q:Q),TRUE)</f>
        <v>0</v>
      </c>
      <c r="R32" s="11" cm="1">
        <f t="array" ref="R32">VLOOKUP($A32,'Fossil energy'!$A:$AH,COLUMN('Fossil energy'!X:X),TRUE)</f>
        <v>0</v>
      </c>
      <c r="S32" s="11" cm="1">
        <f t="array" ref="S32">VLOOKUP($A32,'Fossil energy'!$A:$AH,COLUMN('Fossil energy'!AE:AE),TRUE)</f>
        <v>0</v>
      </c>
    </row>
    <row r="33" spans="1:19" s="1" customFormat="1">
      <c r="A33" s="91" t="s">
        <v>77</v>
      </c>
      <c r="B33" s="11" cm="1">
        <f t="array" ref="B33">VLOOKUP($A33,'Solar PV - CSP'!$A:$BM,COLUMN('Solar PV - CSP'!R:R),TRUE)</f>
        <v>0</v>
      </c>
      <c r="C33" s="11" cm="1">
        <f t="array" ref="C33">VLOOKUP($A33,'Solar PV - CSP'!$A:$BM,COLUMN('Solar PV - CSP'!AC:AC),TRUE)</f>
        <v>0</v>
      </c>
      <c r="D33" s="11" cm="1">
        <f t="array" ref="D33">VLOOKUP($A33,'Solar PV - CSP'!$A:$BM,COLUMN('Solar PV - CSP'!AM:AM),TRUE)</f>
        <v>0</v>
      </c>
      <c r="E33" s="11" cm="1">
        <f t="array" ref="E33">VLOOKUP($A33,'Solar PV - CSP'!$A:$BM,COLUMN('Solar PV - CSP'!AT:AT),TRUE)</f>
        <v>0</v>
      </c>
      <c r="F33" s="11" cm="1">
        <f t="array" ref="F33">VLOOKUP($A33,'Solar PV - CSP'!$A:$BM,COLUMN('Solar PV - CSP'!BG:BG),TRUE)</f>
        <v>2</v>
      </c>
      <c r="G33" s="11" cm="1">
        <f t="array" ref="G33">VLOOKUP($A33,'Solar PV - CSP'!$A:$BM,COLUMN('Solar PV - CSP'!BJ:BJ),TRUE)</f>
        <v>2</v>
      </c>
      <c r="H33" s="11" cm="1">
        <f t="array" ref="H33">VLOOKUP($A33,Wind!$A:$N,COLUMN(Wind!B:B),TRUE)</f>
        <v>0</v>
      </c>
      <c r="I33" s="11" cm="1">
        <f t="array" ref="I33">VLOOKUP($A33,Wind!$A:$N,COLUMN(Wind!E:E),TRUE)</f>
        <v>0</v>
      </c>
      <c r="J33" s="11" cm="1">
        <f t="array" ref="J33">VLOOKUP($A33,Wind!$A:$N,COLUMN(Wind!H:H),TRUE)</f>
        <v>0</v>
      </c>
      <c r="K33" s="11" cm="1">
        <f t="array" ref="K33">VLOOKUP($A33,Wind!$A:$N,COLUMN(Wind!K:K),TRUE)</f>
        <v>0</v>
      </c>
      <c r="L33" s="11" cm="1">
        <f t="array" ref="L33">VLOOKUP($A33,Nuclear!$A:$L,COLUMN(Nuclear!I:I),TRUE)</f>
        <v>1</v>
      </c>
      <c r="M33" s="11" cm="1">
        <f t="array" ref="M33">VLOOKUP($A33,Hydro!$A:$H,COLUMN(Hydro!E:E),TRUE)</f>
        <v>0</v>
      </c>
      <c r="N33" s="11" cm="1">
        <f t="array" ref="N33">VLOOKUP($A33,Biomass!$A:$J,COLUMN(Biomass!G:G),TRUE)</f>
        <v>0</v>
      </c>
      <c r="O33" s="11" cm="1">
        <f t="array" ref="O33">VLOOKUP($A33,Geothermal!$A:$K,COLUMN(Geothermal!H:H),TRUE)</f>
        <v>0</v>
      </c>
      <c r="P33" s="11" cm="1">
        <f t="array" ref="P33">VLOOKUP($A33,'Fossil energy'!$A:$AH,COLUMN('Fossil energy'!H:H),TRUE)</f>
        <v>0</v>
      </c>
      <c r="Q33" s="11" cm="1">
        <f t="array" ref="Q33">VLOOKUP($A33,'Fossil energy'!$A:$AH,COLUMN('Fossil energy'!Q:Q),TRUE)</f>
        <v>0</v>
      </c>
      <c r="R33" s="11" cm="1">
        <f t="array" ref="R33">VLOOKUP($A33,'Fossil energy'!$A:$AH,COLUMN('Fossil energy'!X:X),TRUE)</f>
        <v>0</v>
      </c>
      <c r="S33" s="11" cm="1">
        <f t="array" ref="S33">VLOOKUP($A33,'Fossil energy'!$A:$AH,COLUMN('Fossil energy'!AE:AE),TRUE)</f>
        <v>0</v>
      </c>
    </row>
    <row r="34" spans="1:19" s="1" customFormat="1">
      <c r="A34" s="28" t="s">
        <v>57</v>
      </c>
      <c r="B34" s="11" cm="1">
        <f t="array" ref="B34">VLOOKUP($A34,'Solar PV - CSP'!$A:$BM,COLUMN('Solar PV - CSP'!R:R),TRUE)</f>
        <v>0</v>
      </c>
      <c r="C34" s="11" cm="1">
        <f t="array" ref="C34">VLOOKUP($A34,'Solar PV - CSP'!$A:$BM,COLUMN('Solar PV - CSP'!AC:AC),TRUE)</f>
        <v>0</v>
      </c>
      <c r="D34" s="11" cm="1">
        <f t="array" ref="D34">VLOOKUP($A34,'Solar PV - CSP'!$A:$BM,COLUMN('Solar PV - CSP'!AM:AM),TRUE)</f>
        <v>0</v>
      </c>
      <c r="E34" s="11" cm="1">
        <f t="array" ref="E34">VLOOKUP($A34,'Solar PV - CSP'!$A:$BM,COLUMN('Solar PV - CSP'!AT:AT),TRUE)</f>
        <v>0</v>
      </c>
      <c r="F34" s="11" cm="1">
        <f t="array" ref="F34">VLOOKUP($A34,'Solar PV - CSP'!$A:$BM,COLUMN('Solar PV - CSP'!BG:BG),TRUE)</f>
        <v>0</v>
      </c>
      <c r="G34" s="11" cm="1">
        <f t="array" ref="G34">VLOOKUP($A34,'Solar PV - CSP'!$A:$BM,COLUMN('Solar PV - CSP'!BJ:BJ),TRUE)</f>
        <v>0</v>
      </c>
      <c r="H34" s="11" cm="1">
        <f t="array" ref="H34">VLOOKUP($A34,Wind!$A:$N,COLUMN(Wind!B:B),TRUE)</f>
        <v>0</v>
      </c>
      <c r="I34" s="11" cm="1">
        <f t="array" ref="I34">VLOOKUP($A34,Wind!$A:$N,COLUMN(Wind!E:E),TRUE)</f>
        <v>0</v>
      </c>
      <c r="J34" s="11" cm="1">
        <f t="array" ref="J34">VLOOKUP($A34,Wind!$A:$N,COLUMN(Wind!H:H),TRUE)</f>
        <v>0</v>
      </c>
      <c r="K34" s="11" cm="1">
        <f t="array" ref="K34">VLOOKUP($A34,Wind!$A:$N,COLUMN(Wind!K:K),TRUE)</f>
        <v>0</v>
      </c>
      <c r="L34" s="11" cm="1">
        <f t="array" ref="L34">VLOOKUP($A34,Nuclear!$A:$L,COLUMN(Nuclear!I:I),TRUE)</f>
        <v>1</v>
      </c>
      <c r="M34" s="11" cm="1">
        <f t="array" ref="M34">VLOOKUP($A34,Hydro!$A:$H,COLUMN(Hydro!E:E),TRUE)</f>
        <v>0</v>
      </c>
      <c r="N34" s="11" cm="1">
        <f t="array" ref="N34">VLOOKUP($A34,Biomass!$A:$J,COLUMN(Biomass!G:G),TRUE)</f>
        <v>0</v>
      </c>
      <c r="O34" s="11" cm="1">
        <f t="array" ref="O34">VLOOKUP($A34,Geothermal!$A:$K,COLUMN(Geothermal!H:H),TRUE)</f>
        <v>0</v>
      </c>
      <c r="P34" s="11" cm="1">
        <f t="array" ref="P34">VLOOKUP($A34,'Fossil energy'!$A:$AH,COLUMN('Fossil energy'!H:H),TRUE)</f>
        <v>0</v>
      </c>
      <c r="Q34" s="11" cm="1">
        <f t="array" ref="Q34">VLOOKUP($A34,'Fossil energy'!$A:$AH,COLUMN('Fossil energy'!Q:Q),TRUE)</f>
        <v>0</v>
      </c>
      <c r="R34" s="11" cm="1">
        <f t="array" ref="R34">VLOOKUP($A34,'Fossil energy'!$A:$AH,COLUMN('Fossil energy'!X:X),TRUE)</f>
        <v>0</v>
      </c>
      <c r="S34" s="11" cm="1">
        <f t="array" ref="S34">VLOOKUP($A34,'Fossil energy'!$A:$AH,COLUMN('Fossil energy'!AE:AE),TRUE)</f>
        <v>0</v>
      </c>
    </row>
    <row r="35" spans="1:19" s="1" customFormat="1">
      <c r="A35" s="91" t="s">
        <v>58</v>
      </c>
      <c r="B35" s="11" cm="1">
        <f t="array" ref="B35">VLOOKUP($A35,'Solar PV - CSP'!$A:$BM,COLUMN('Solar PV - CSP'!R:R),TRUE)</f>
        <v>1009.7574999999999</v>
      </c>
      <c r="C35" s="11" cm="1">
        <f t="array" ref="C35">VLOOKUP($A35,'Solar PV - CSP'!$A:$BM,COLUMN('Solar PV - CSP'!AC:AC),TRUE)</f>
        <v>505.33</v>
      </c>
      <c r="D35" s="11" cm="1">
        <f t="array" ref="D35">VLOOKUP($A35,'Solar PV - CSP'!$A:$BM,COLUMN('Solar PV - CSP'!AM:AM),TRUE)</f>
        <v>505.33</v>
      </c>
      <c r="E35" s="11" cm="1">
        <f t="array" ref="E35">VLOOKUP($A35,'Solar PV - CSP'!$A:$BM,COLUMN('Solar PV - CSP'!AT:AT),TRUE)</f>
        <v>505.33</v>
      </c>
      <c r="F35" s="11" cm="1">
        <f t="array" ref="F35">VLOOKUP($A35,'Solar PV - CSP'!$A:$BM,COLUMN('Solar PV - CSP'!BG:BG),TRUE)</f>
        <v>650</v>
      </c>
      <c r="G35" s="11" cm="1">
        <f t="array" ref="G35">VLOOKUP($A35,'Solar PV - CSP'!$A:$BM,COLUMN('Solar PV - CSP'!BJ:BJ),TRUE)</f>
        <v>1400</v>
      </c>
      <c r="H35" s="11" cm="1">
        <f t="array" ref="H35">VLOOKUP($A35,Wind!$A:$N,COLUMN(Wind!B:B),TRUE)</f>
        <v>5500</v>
      </c>
      <c r="I35" s="11" cm="1">
        <f t="array" ref="I35">VLOOKUP($A35,Wind!$A:$N,COLUMN(Wind!E:E),TRUE)</f>
        <v>5500</v>
      </c>
      <c r="J35" s="11" cm="1">
        <f t="array" ref="J35">VLOOKUP($A35,Wind!$A:$N,COLUMN(Wind!H:H),TRUE)</f>
        <v>5500</v>
      </c>
      <c r="K35" s="11" cm="1">
        <f t="array" ref="K35">VLOOKUP($A35,Wind!$A:$N,COLUMN(Wind!K:K),TRUE)</f>
        <v>5500</v>
      </c>
      <c r="L35" s="11" cm="1">
        <f t="array" ref="L35">VLOOKUP($A35,Nuclear!$A:$L,COLUMN(Nuclear!I:I),TRUE)</f>
        <v>67.5</v>
      </c>
      <c r="M35" s="11" cm="1">
        <f t="array" ref="M35">VLOOKUP($A35,Hydro!$A:$H,COLUMN(Hydro!E:E),TRUE)</f>
        <v>400</v>
      </c>
      <c r="N35" s="11" cm="1">
        <f t="array" ref="N35">VLOOKUP($A35,Biomass!$A:$J,COLUMN(Biomass!G:G),TRUE)</f>
        <v>160</v>
      </c>
      <c r="O35" s="11" cm="1">
        <f t="array" ref="O35">VLOOKUP($A35,Geothermal!$A:$K,COLUMN(Geothermal!H:H),TRUE)</f>
        <v>0</v>
      </c>
      <c r="P35" s="11" cm="1">
        <f t="array" ref="P35">VLOOKUP($A35,'Fossil energy'!$A:$AH,COLUMN('Fossil energy'!H:H),TRUE)</f>
        <v>0</v>
      </c>
      <c r="Q35" s="11" cm="1">
        <f t="array" ref="Q35">VLOOKUP($A35,'Fossil energy'!$A:$AH,COLUMN('Fossil energy'!Q:Q),TRUE)</f>
        <v>20</v>
      </c>
      <c r="R35" s="11" cm="1">
        <f t="array" ref="R35">VLOOKUP($A35,'Fossil energy'!$A:$AH,COLUMN('Fossil energy'!X:X),TRUE)</f>
        <v>40</v>
      </c>
      <c r="S35" s="11" cm="1">
        <f t="array" ref="S35">VLOOKUP($A35,'Fossil energy'!$A:$AH,COLUMN('Fossil energy'!AE:AE),TRUE)</f>
        <v>0</v>
      </c>
    </row>
    <row r="36" spans="1:19" s="1" customFormat="1">
      <c r="A36" s="28" t="s">
        <v>60</v>
      </c>
      <c r="B36" s="11" cm="1">
        <f t="array" ref="B36">VLOOKUP($A36,'Solar PV - CSP'!$A:$BM,COLUMN('Solar PV - CSP'!R:R),TRUE)</f>
        <v>0</v>
      </c>
      <c r="C36" s="11" cm="1">
        <f t="array" ref="C36">VLOOKUP($A36,'Solar PV - CSP'!$A:$BM,COLUMN('Solar PV - CSP'!AC:AC),TRUE)</f>
        <v>0</v>
      </c>
      <c r="D36" s="11" cm="1">
        <f t="array" ref="D36">VLOOKUP($A36,'Solar PV - CSP'!$A:$BM,COLUMN('Solar PV - CSP'!AM:AM),TRUE)</f>
        <v>0</v>
      </c>
      <c r="E36" s="11" cm="1">
        <f t="array" ref="E36">VLOOKUP($A36,'Solar PV - CSP'!$A:$BM,COLUMN('Solar PV - CSP'!AT:AT),TRUE)</f>
        <v>0</v>
      </c>
      <c r="F36" s="11" cm="1">
        <f t="array" ref="F36">VLOOKUP($A36,'Solar PV - CSP'!$A:$BM,COLUMN('Solar PV - CSP'!BG:BG),TRUE)</f>
        <v>0</v>
      </c>
      <c r="G36" s="11" cm="1">
        <f t="array" ref="G36">VLOOKUP($A36,'Solar PV - CSP'!$A:$BM,COLUMN('Solar PV - CSP'!BJ:BJ),TRUE)</f>
        <v>0</v>
      </c>
      <c r="H36" s="11" cm="1">
        <f t="array" ref="H36">VLOOKUP($A36,Wind!$A:$N,COLUMN(Wind!B:B),TRUE)</f>
        <v>0</v>
      </c>
      <c r="I36" s="11" cm="1">
        <f t="array" ref="I36">VLOOKUP($A36,Wind!$A:$N,COLUMN(Wind!E:E),TRUE)</f>
        <v>0</v>
      </c>
      <c r="J36" s="11" cm="1">
        <f t="array" ref="J36">VLOOKUP($A36,Wind!$A:$N,COLUMN(Wind!H:H),TRUE)</f>
        <v>0</v>
      </c>
      <c r="K36" s="11" cm="1">
        <f t="array" ref="K36">VLOOKUP($A36,Wind!$A:$N,COLUMN(Wind!K:K),TRUE)</f>
        <v>0</v>
      </c>
      <c r="L36" s="11" cm="1">
        <f t="array" ref="L36">VLOOKUP($A36,Nuclear!$A:$L,COLUMN(Nuclear!I:I),TRUE)</f>
        <v>31</v>
      </c>
      <c r="M36" s="11" cm="1">
        <f t="array" ref="M36">VLOOKUP($A36,Hydro!$A:$H,COLUMN(Hydro!E:E),TRUE)</f>
        <v>0</v>
      </c>
      <c r="N36" s="11" cm="1">
        <f t="array" ref="N36">VLOOKUP($A36,Biomass!$A:$J,COLUMN(Biomass!G:G),TRUE)</f>
        <v>0</v>
      </c>
      <c r="O36" s="11" cm="1">
        <f t="array" ref="O36">VLOOKUP($A36,Geothermal!$A:$K,COLUMN(Geothermal!H:H),TRUE)</f>
        <v>0</v>
      </c>
      <c r="P36" s="11" cm="1">
        <f t="array" ref="P36">VLOOKUP($A36,'Fossil energy'!$A:$AH,COLUMN('Fossil energy'!H:H),TRUE)</f>
        <v>0</v>
      </c>
      <c r="Q36" s="11" cm="1">
        <f t="array" ref="Q36">VLOOKUP($A36,'Fossil energy'!$A:$AH,COLUMN('Fossil energy'!Q:Q),TRUE)</f>
        <v>0</v>
      </c>
      <c r="R36" s="11" cm="1">
        <f t="array" ref="R36">VLOOKUP($A36,'Fossil energy'!$A:$AH,COLUMN('Fossil energy'!X:X),TRUE)</f>
        <v>0</v>
      </c>
      <c r="S36" s="11" cm="1">
        <f t="array" ref="S36">VLOOKUP($A36,'Fossil energy'!$A:$AH,COLUMN('Fossil energy'!AE:AE),TRUE)</f>
        <v>0</v>
      </c>
    </row>
    <row r="37" spans="1:19" s="1" customFormat="1"/>
    <row r="38" spans="1:19" s="1" customFormat="1"/>
    <row r="39" spans="1:19" s="1" customFormat="1"/>
    <row r="40" spans="1:19" s="1" customFormat="1"/>
    <row r="41" spans="1:19" s="1" customFormat="1"/>
    <row r="42" spans="1:19" s="1" customFormat="1"/>
    <row r="43" spans="1:19" s="1" customFormat="1"/>
    <row r="44" spans="1:19" s="1" customFormat="1"/>
    <row r="45" spans="1:19" s="1" customFormat="1"/>
    <row r="46" spans="1:19" s="1" customFormat="1"/>
    <row r="47" spans="1:19" s="1" customFormat="1"/>
    <row r="48" spans="1:19"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sheetData>
  <pageMargins left="0.7" right="0.7" top="0.75" bottom="0.75" header="0.3" footer="0.3"/>
  <ignoredErrors>
    <ignoredError sqref="N15" formula="1"/>
  </ignoredErrors>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90F7D-7E10-4CA5-B5E8-803A36B609BD}">
  <sheetPr>
    <tabColor theme="7" tint="0.79998168889431442"/>
  </sheetPr>
  <dimension ref="A1:F3"/>
  <sheetViews>
    <sheetView workbookViewId="0">
      <selection activeCell="F8" sqref="F8"/>
    </sheetView>
  </sheetViews>
  <sheetFormatPr baseColWidth="10" defaultRowHeight="14.5"/>
  <sheetData>
    <row r="1" spans="1:6">
      <c r="B1" s="28" t="s">
        <v>290</v>
      </c>
      <c r="C1" s="35" t="s">
        <v>291</v>
      </c>
      <c r="D1" s="91" t="s">
        <v>292</v>
      </c>
      <c r="F1" s="707" t="s">
        <v>309</v>
      </c>
    </row>
    <row r="2" spans="1:6">
      <c r="A2" s="589" t="s">
        <v>293</v>
      </c>
      <c r="B2" s="590">
        <v>0.08</v>
      </c>
      <c r="C2" s="590">
        <v>0.05</v>
      </c>
      <c r="D2" s="590">
        <v>0</v>
      </c>
      <c r="F2" s="707" t="s">
        <v>310</v>
      </c>
    </row>
    <row r="3" spans="1:6">
      <c r="A3" s="589" t="s">
        <v>294</v>
      </c>
      <c r="B3" s="590">
        <v>0.05</v>
      </c>
      <c r="C3" s="590">
        <v>0.02</v>
      </c>
      <c r="D3" s="59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F6BB1-FA87-4BCF-B55A-56DD2FB9B0FC}">
  <sheetPr>
    <tabColor theme="7" tint="0.79998168889431442"/>
  </sheetPr>
  <dimension ref="A1:E36"/>
  <sheetViews>
    <sheetView workbookViewId="0">
      <selection activeCell="M26" sqref="M26"/>
    </sheetView>
  </sheetViews>
  <sheetFormatPr baseColWidth="10" defaultRowHeight="14.5"/>
  <cols>
    <col min="2" max="2" width="11.90625" bestFit="1" customWidth="1"/>
    <col min="3" max="3" width="13.453125" bestFit="1" customWidth="1"/>
  </cols>
  <sheetData>
    <row r="1" spans="1:5">
      <c r="B1" s="591" t="s">
        <v>295</v>
      </c>
      <c r="C1" t="s">
        <v>296</v>
      </c>
      <c r="E1" s="707" t="s">
        <v>311</v>
      </c>
    </row>
    <row r="2" spans="1:5">
      <c r="A2" t="str">
        <f>'[1]IM par tech full'!A12</f>
        <v>Aluminium</v>
      </c>
      <c r="B2">
        <f>0.45*[2]MI!D2+0.45*[2]MI!E2+0.01*[2]MI!F2</f>
        <v>9967.2300000000014</v>
      </c>
      <c r="C2">
        <v>1217.3015873015872</v>
      </c>
    </row>
    <row r="3" spans="1:5">
      <c r="A3" t="str">
        <f>'[1]IM par tech full'!A13</f>
        <v>Boron</v>
      </c>
      <c r="B3">
        <f>0.45*[2]MI!D3+0.45*[2]MI!E3+0.01*[2]MI!F3</f>
        <v>0</v>
      </c>
      <c r="C3">
        <v>1.2809523809523804</v>
      </c>
    </row>
    <row r="4" spans="1:5">
      <c r="A4" t="str">
        <f>'[1]IM par tech full'!A14</f>
        <v>Cadmium</v>
      </c>
      <c r="B4">
        <f>0.45*[2]MI!D4+0.45*[2]MI!E4+0.01*[2]MI!F4</f>
        <v>41.25</v>
      </c>
      <c r="C4">
        <v>0</v>
      </c>
    </row>
    <row r="5" spans="1:5">
      <c r="A5" t="str">
        <f>'[1]IM par tech full'!A15</f>
        <v>Chromium</v>
      </c>
      <c r="B5">
        <f>0.45*[2]MI!D5+0.45*[2]MI!E5+0.01*[2]MI!F5</f>
        <v>3422.51</v>
      </c>
      <c r="C5">
        <v>499.94444444444434</v>
      </c>
    </row>
    <row r="6" spans="1:5">
      <c r="A6" t="str">
        <f>'[1]IM par tech full'!A16</f>
        <v>Cobalt</v>
      </c>
      <c r="B6">
        <f>0.45*[2]MI!D6+0.45*[2]MI!E6+0.01*[2]MI!F6</f>
        <v>0</v>
      </c>
      <c r="C6">
        <v>0</v>
      </c>
    </row>
    <row r="7" spans="1:5">
      <c r="A7" t="str">
        <f>'[1]IM par tech full'!A17</f>
        <v>Concrete</v>
      </c>
      <c r="B7">
        <f>0.45*[2]MI!D7+0.45*[2]MI!E7+0.01*[2]MI!F7</f>
        <v>55237</v>
      </c>
      <c r="C7">
        <v>343250.79365079361</v>
      </c>
    </row>
    <row r="8" spans="1:5">
      <c r="A8" t="str">
        <f>'[1]IM par tech full'!A18</f>
        <v>Copper</v>
      </c>
      <c r="B8">
        <f>0.45*[2]MI!D8+0.45*[2]MI!E8+0.01*[2]MI!F8</f>
        <v>3101.5322000000001</v>
      </c>
      <c r="C8">
        <v>2797.3809523809514</v>
      </c>
    </row>
    <row r="9" spans="1:5">
      <c r="A9" t="str">
        <f>'[1]IM par tech full'!A19</f>
        <v>Dysprosium</v>
      </c>
      <c r="B9">
        <f>0.45*[2]MI!D9+0.45*[2]MI!E9+0.01*[2]MI!F9</f>
        <v>0</v>
      </c>
      <c r="C9">
        <v>5.6650793650793618</v>
      </c>
    </row>
    <row r="10" spans="1:5">
      <c r="A10" t="str">
        <f>'[1]IM par tech full'!A20</f>
        <v>Gallium</v>
      </c>
      <c r="B10">
        <f>0.45*[2]MI!D10+0.45*[2]MI!E10+0.01*[2]MI!F10</f>
        <v>4.05</v>
      </c>
      <c r="C10">
        <v>0</v>
      </c>
    </row>
    <row r="11" spans="1:5">
      <c r="A11" t="str">
        <f>'[1]IM par tech full'!A21</f>
        <v>Germanium</v>
      </c>
      <c r="B11">
        <f>0.45*[2]MI!D11+0.45*[2]MI!E11+0.01*[2]MI!F11</f>
        <v>0.48</v>
      </c>
      <c r="C11">
        <v>0</v>
      </c>
    </row>
    <row r="12" spans="1:5">
      <c r="A12" t="str">
        <f>'[1]IM par tech full'!A22</f>
        <v>Glass</v>
      </c>
      <c r="B12">
        <f>0.45*[2]MI!D12+0.45*[2]MI!E12+0.01*[2]MI!F12</f>
        <v>42224</v>
      </c>
      <c r="C12">
        <v>7903.0158730158719</v>
      </c>
    </row>
    <row r="13" spans="1:5">
      <c r="A13" t="str">
        <f>'[1]IM par tech full'!A23</f>
        <v>Hafnium</v>
      </c>
      <c r="B13">
        <f>0.45*[2]MI!D13+0.45*[2]MI!E13+0.01*[2]MI!F13</f>
        <v>0</v>
      </c>
      <c r="C13">
        <v>0</v>
      </c>
    </row>
    <row r="14" spans="1:5">
      <c r="A14" t="str">
        <f>'[1]IM par tech full'!A24</f>
        <v>Indium</v>
      </c>
      <c r="B14">
        <f>0.45*[2]MI!D14+0.45*[2]MI!E14+0.01*[2]MI!F14</f>
        <v>9.8407</v>
      </c>
      <c r="C14">
        <v>0</v>
      </c>
    </row>
    <row r="15" spans="1:5">
      <c r="A15" t="str">
        <f>'[1]IM par tech full'!A25</f>
        <v>Iron</v>
      </c>
      <c r="B15">
        <f>0.45*[2]MI!D15+0.45*[2]MI!E15+0.01*[2]MI!F15</f>
        <v>664.46940000000006</v>
      </c>
      <c r="C15">
        <v>161676.00427977776</v>
      </c>
    </row>
    <row r="16" spans="1:5">
      <c r="A16" t="str">
        <f>'[1]IM par tech full'!A26</f>
        <v>Lead</v>
      </c>
      <c r="B16">
        <f>0.45*[2]MI!D16+0.45*[2]MI!E16+0.01*[2]MI!F16</f>
        <v>3.6</v>
      </c>
      <c r="C16">
        <v>0</v>
      </c>
    </row>
    <row r="17" spans="1:3">
      <c r="A17" t="str">
        <f>'[1]IM par tech full'!A27</f>
        <v>Magnesium</v>
      </c>
      <c r="B17">
        <f>0.45*[2]MI!D17+0.45*[2]MI!E17+0.01*[2]MI!F17</f>
        <v>0</v>
      </c>
      <c r="C17">
        <v>0</v>
      </c>
    </row>
    <row r="18" spans="1:3">
      <c r="A18" t="str">
        <f>'[1]IM par tech full'!A28</f>
        <v>Manganese</v>
      </c>
      <c r="B18">
        <f>0.45*[2]MI!D18+0.45*[2]MI!E18+0.01*[2]MI!F18</f>
        <v>0</v>
      </c>
      <c r="C18">
        <v>785.44444444444457</v>
      </c>
    </row>
    <row r="19" spans="1:3">
      <c r="A19" t="str">
        <f>'[1]IM par tech full'!A29</f>
        <v>Molybdenum</v>
      </c>
      <c r="B19">
        <f>0.45*[2]MI!D19+0.45*[2]MI!E19+0.01*[2]MI!F19</f>
        <v>69.975000000000009</v>
      </c>
      <c r="C19">
        <v>104.44444444444443</v>
      </c>
    </row>
    <row r="20" spans="1:3">
      <c r="A20" t="str">
        <f>'[1]IM par tech full'!A30</f>
        <v>Neodymium</v>
      </c>
      <c r="B20">
        <f>0.45*[2]MI!D20+0.45*[2]MI!E20+0.01*[2]MI!F20</f>
        <v>0</v>
      </c>
      <c r="C20">
        <v>51.58888888888886</v>
      </c>
    </row>
    <row r="21" spans="1:3">
      <c r="A21" t="str">
        <f>'[1]IM par tech full'!A31</f>
        <v>Nickel</v>
      </c>
      <c r="B21">
        <f>0.45*[2]MI!D21+0.45*[2]MI!E21+0.01*[2]MI!F21</f>
        <v>7.2</v>
      </c>
      <c r="C21">
        <v>390.15873015873018</v>
      </c>
    </row>
    <row r="22" spans="1:3">
      <c r="A22" t="str">
        <f>'[1]IM par tech full'!A32</f>
        <v>Niobium</v>
      </c>
      <c r="B22">
        <f>0.45*[2]MI!D22+0.45*[2]MI!E22+0.01*[2]MI!F22</f>
        <v>0</v>
      </c>
      <c r="C22">
        <v>0</v>
      </c>
    </row>
    <row r="23" spans="1:3">
      <c r="A23" t="str">
        <f>'[1]IM par tech full'!A33</f>
        <v>Polymers</v>
      </c>
      <c r="B23">
        <f>0.45*[2]MI!D23+0.45*[2]MI!E23+0.01*[2]MI!F23</f>
        <v>7826</v>
      </c>
      <c r="C23">
        <v>4600</v>
      </c>
    </row>
    <row r="24" spans="1:3">
      <c r="A24" t="str">
        <f>'[1]IM par tech full'!A34</f>
        <v>Praesodymium</v>
      </c>
      <c r="B24">
        <f>0.45*[2]MI!D24+0.45*[2]MI!E24+0.01*[2]MI!F24</f>
        <v>0</v>
      </c>
      <c r="C24">
        <v>7.74444444444444</v>
      </c>
    </row>
    <row r="25" spans="1:3">
      <c r="A25" t="str">
        <f>'[1]IM par tech full'!A35</f>
        <v>Selenium</v>
      </c>
      <c r="B25">
        <f>0.45*[2]MI!D25+0.45*[2]MI!E25+0.01*[2]MI!F25</f>
        <v>41.31</v>
      </c>
      <c r="C25">
        <v>0</v>
      </c>
    </row>
    <row r="26" spans="1:3">
      <c r="A26" t="str">
        <f>'[1]IM par tech full'!A36</f>
        <v>Silicon</v>
      </c>
      <c r="B26">
        <f>0.45*[2]MI!D26+0.45*[2]MI!E26+0.01*[2]MI!F26</f>
        <v>1.5</v>
      </c>
      <c r="C26">
        <v>0</v>
      </c>
    </row>
    <row r="27" spans="1:3">
      <c r="A27" t="str">
        <f>'[1]IM par tech full'!A37</f>
        <v>Silver</v>
      </c>
      <c r="B27">
        <f>0.45*[2]MI!D27+0.45*[2]MI!E27+0.01*[2]MI!F27</f>
        <v>0</v>
      </c>
      <c r="C27">
        <v>0</v>
      </c>
    </row>
    <row r="28" spans="1:3">
      <c r="A28" t="str">
        <f>'[1]IM par tech full'!A39</f>
        <v>Tantalum</v>
      </c>
      <c r="B28">
        <f>0.45*[2]MI!D28+0.45*[2]MI!E28+0.01*[2]MI!F28</f>
        <v>0</v>
      </c>
      <c r="C28">
        <v>0</v>
      </c>
    </row>
    <row r="29" spans="1:3">
      <c r="A29" t="str">
        <f>'[1]IM par tech full'!A40</f>
        <v>Tellurium</v>
      </c>
      <c r="B29">
        <f>0.45*[2]MI!D29+0.45*[2]MI!E29+0.01*[2]MI!F29</f>
        <v>34.667999999999999</v>
      </c>
      <c r="C29">
        <v>0</v>
      </c>
    </row>
    <row r="30" spans="1:3">
      <c r="A30" t="str">
        <f>'[1]IM par tech full'!A41</f>
        <v>Terbium</v>
      </c>
      <c r="B30">
        <f>0.45*[2]MI!D30+0.45*[2]MI!E30+0.01*[2]MI!F30</f>
        <v>0</v>
      </c>
      <c r="C30">
        <v>1.5301587301587292</v>
      </c>
    </row>
    <row r="31" spans="1:3">
      <c r="A31" t="str">
        <f>'[1]IM par tech full'!A42</f>
        <v>Tin</v>
      </c>
      <c r="B31">
        <f>0.45*[2]MI!D31+0.45*[2]MI!E31+0.01*[2]MI!F31</f>
        <v>302.12</v>
      </c>
      <c r="C31">
        <v>0</v>
      </c>
    </row>
    <row r="32" spans="1:3">
      <c r="A32" t="str">
        <f>'[1]IM par tech full'!A43</f>
        <v>Tungsten</v>
      </c>
      <c r="B32">
        <f>0.45*[2]MI!D32+0.45*[2]MI!E32+0.01*[2]MI!F32</f>
        <v>0</v>
      </c>
      <c r="C32">
        <v>0</v>
      </c>
    </row>
    <row r="33" spans="1:3">
      <c r="A33" t="str">
        <f>'[1]IM par tech full'!A44</f>
        <v>Vanadium</v>
      </c>
      <c r="B33">
        <f>0.45*[2]MI!D33+0.45*[2]MI!E33+0.01*[2]MI!F33</f>
        <v>0</v>
      </c>
      <c r="C33">
        <v>0</v>
      </c>
    </row>
    <row r="34" spans="1:3">
      <c r="A34" t="str">
        <f>'[1]IM par tech full'!A45</f>
        <v>Yttrium</v>
      </c>
      <c r="B34">
        <f>0.45*[2]MI!D34+0.45*[2]MI!E34+0.01*[2]MI!F34</f>
        <v>0</v>
      </c>
      <c r="C34">
        <v>0</v>
      </c>
    </row>
    <row r="35" spans="1:3">
      <c r="A35" t="str">
        <f>'[1]IM par tech full'!A46</f>
        <v>Zinc</v>
      </c>
      <c r="B35">
        <f>0.45*[2]MI!D35+0.45*[2]MI!E35+0.01*[2]MI!F35</f>
        <v>459.85029999999995</v>
      </c>
      <c r="C35">
        <v>5500</v>
      </c>
    </row>
    <row r="36" spans="1:3">
      <c r="A36" t="str">
        <f>'[1]IM par tech full'!A47</f>
        <v>Zirconium</v>
      </c>
      <c r="B36">
        <f>0.45*[2]MI!D36+0.45*[2]MI!E36+0.01*[2]MI!F36</f>
        <v>0</v>
      </c>
      <c r="C3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37929-1D94-4E8D-BB40-B5963F00E42A}">
  <sheetPr>
    <tabColor theme="7" tint="0.79998168889431442"/>
  </sheetPr>
  <dimension ref="A1:E31"/>
  <sheetViews>
    <sheetView workbookViewId="0">
      <selection activeCell="C39" sqref="C39"/>
    </sheetView>
  </sheetViews>
  <sheetFormatPr baseColWidth="10" defaultRowHeight="14.5"/>
  <cols>
    <col min="3" max="3" width="17.08984375" bestFit="1" customWidth="1"/>
  </cols>
  <sheetData>
    <row r="1" spans="1:5">
      <c r="A1" t="s">
        <v>312</v>
      </c>
      <c r="B1" s="589" t="s">
        <v>293</v>
      </c>
      <c r="C1" s="589" t="s">
        <v>294</v>
      </c>
      <c r="E1" s="707" t="s">
        <v>313</v>
      </c>
    </row>
    <row r="2" spans="1:5">
      <c r="A2" s="708" t="s">
        <v>21</v>
      </c>
      <c r="B2" s="20" t="s">
        <v>314</v>
      </c>
      <c r="C2" s="20"/>
    </row>
    <row r="3" spans="1:5">
      <c r="A3" s="709" t="s">
        <v>23</v>
      </c>
      <c r="B3" s="20"/>
      <c r="C3" s="20" t="s">
        <v>314</v>
      </c>
    </row>
    <row r="4" spans="1:5">
      <c r="A4" s="709" t="s">
        <v>24</v>
      </c>
      <c r="B4" s="20"/>
      <c r="C4" s="20" t="s">
        <v>314</v>
      </c>
    </row>
    <row r="5" spans="1:5">
      <c r="A5" s="709" t="s">
        <v>72</v>
      </c>
      <c r="B5" s="20" t="s">
        <v>314</v>
      </c>
      <c r="C5" s="20"/>
    </row>
    <row r="6" spans="1:5">
      <c r="A6" s="708" t="s">
        <v>73</v>
      </c>
      <c r="B6" s="20" t="s">
        <v>314</v>
      </c>
      <c r="C6" s="20"/>
    </row>
    <row r="7" spans="1:5">
      <c r="A7" s="708" t="s">
        <v>74</v>
      </c>
      <c r="B7" s="20" t="s">
        <v>314</v>
      </c>
      <c r="C7" s="20"/>
    </row>
    <row r="8" spans="1:5">
      <c r="A8" s="710" t="s">
        <v>28</v>
      </c>
      <c r="B8" s="20"/>
      <c r="C8" s="20" t="s">
        <v>314</v>
      </c>
    </row>
    <row r="9" spans="1:5">
      <c r="A9" s="708" t="s">
        <v>315</v>
      </c>
      <c r="B9" s="20"/>
      <c r="C9" s="20" t="s">
        <v>314</v>
      </c>
    </row>
    <row r="10" spans="1:5">
      <c r="A10" s="709" t="s">
        <v>316</v>
      </c>
      <c r="B10" s="20"/>
      <c r="C10" s="20" t="s">
        <v>314</v>
      </c>
    </row>
    <row r="11" spans="1:5">
      <c r="A11" s="709" t="s">
        <v>31</v>
      </c>
      <c r="B11" s="20"/>
      <c r="C11" s="20" t="s">
        <v>314</v>
      </c>
    </row>
    <row r="12" spans="1:5">
      <c r="A12" s="710" t="s">
        <v>32</v>
      </c>
      <c r="B12" s="20"/>
      <c r="C12" s="20" t="s">
        <v>314</v>
      </c>
    </row>
    <row r="13" spans="1:5">
      <c r="A13" s="708" t="s">
        <v>33</v>
      </c>
      <c r="B13" s="20" t="s">
        <v>314</v>
      </c>
      <c r="C13" s="20"/>
    </row>
    <row r="14" spans="1:5">
      <c r="A14" s="709" t="s">
        <v>35</v>
      </c>
      <c r="B14" s="711" t="s">
        <v>314</v>
      </c>
      <c r="C14" s="20"/>
    </row>
    <row r="15" spans="1:5">
      <c r="A15" s="708" t="s">
        <v>76</v>
      </c>
      <c r="B15" s="20" t="s">
        <v>314</v>
      </c>
      <c r="C15" s="20"/>
    </row>
    <row r="16" spans="1:5">
      <c r="A16" s="710" t="s">
        <v>39</v>
      </c>
      <c r="B16" s="20"/>
      <c r="C16" s="20" t="s">
        <v>314</v>
      </c>
    </row>
    <row r="17" spans="1:3">
      <c r="A17" s="708" t="s">
        <v>40</v>
      </c>
      <c r="B17" s="20" t="s">
        <v>314</v>
      </c>
      <c r="C17" s="20"/>
    </row>
    <row r="18" spans="1:3">
      <c r="A18" s="709" t="s">
        <v>42</v>
      </c>
      <c r="B18" s="20"/>
      <c r="C18" s="20" t="s">
        <v>314</v>
      </c>
    </row>
    <row r="19" spans="1:3">
      <c r="A19" s="710" t="s">
        <v>44</v>
      </c>
      <c r="B19" s="20"/>
      <c r="C19" s="20" t="s">
        <v>314</v>
      </c>
    </row>
    <row r="20" spans="1:3">
      <c r="A20" s="709" t="s">
        <v>317</v>
      </c>
      <c r="B20" s="711"/>
      <c r="C20" s="20" t="s">
        <v>314</v>
      </c>
    </row>
    <row r="21" spans="1:3">
      <c r="A21" s="708" t="s">
        <v>318</v>
      </c>
      <c r="B21" s="711" t="s">
        <v>314</v>
      </c>
      <c r="C21" s="20"/>
    </row>
    <row r="22" spans="1:3">
      <c r="A22" s="708" t="s">
        <v>47</v>
      </c>
      <c r="B22" s="711" t="s">
        <v>314</v>
      </c>
      <c r="C22" s="20"/>
    </row>
    <row r="23" spans="1:3">
      <c r="A23" s="708" t="s">
        <v>51</v>
      </c>
      <c r="B23" s="711"/>
      <c r="C23" s="20" t="s">
        <v>314</v>
      </c>
    </row>
    <row r="24" spans="1:3">
      <c r="A24" s="708" t="s">
        <v>319</v>
      </c>
      <c r="B24" s="711"/>
      <c r="C24" s="20" t="s">
        <v>314</v>
      </c>
    </row>
    <row r="25" spans="1:3">
      <c r="A25" s="710" t="s">
        <v>54</v>
      </c>
      <c r="B25" s="711"/>
      <c r="C25" s="20" t="s">
        <v>314</v>
      </c>
    </row>
    <row r="26" spans="1:3">
      <c r="A26" s="708" t="s">
        <v>55</v>
      </c>
      <c r="B26" s="711" t="s">
        <v>314</v>
      </c>
      <c r="C26" s="20"/>
    </row>
    <row r="27" spans="1:3">
      <c r="A27" s="708" t="s">
        <v>56</v>
      </c>
      <c r="B27" s="711"/>
      <c r="C27" s="20" t="s">
        <v>314</v>
      </c>
    </row>
    <row r="28" spans="1:3">
      <c r="A28" s="708" t="s">
        <v>77</v>
      </c>
      <c r="B28" s="711" t="s">
        <v>314</v>
      </c>
      <c r="C28" s="20"/>
    </row>
    <row r="29" spans="1:3">
      <c r="A29" s="709" t="s">
        <v>57</v>
      </c>
      <c r="B29" s="711"/>
      <c r="C29" s="20" t="s">
        <v>314</v>
      </c>
    </row>
    <row r="30" spans="1:3">
      <c r="A30" s="708" t="s">
        <v>58</v>
      </c>
      <c r="B30" s="711" t="s">
        <v>314</v>
      </c>
      <c r="C30" s="20"/>
    </row>
    <row r="31" spans="1:3">
      <c r="A31" s="708" t="s">
        <v>60</v>
      </c>
      <c r="B31" s="711"/>
      <c r="C31" s="20" t="s">
        <v>314</v>
      </c>
    </row>
  </sheetData>
  <conditionalFormatting sqref="A15:A21">
    <cfRule type="duplicateValues" dxfId="2" priority="1"/>
    <cfRule type="duplicateValues" dxfId="1" priority="2"/>
    <cfRule type="duplicateValues" dxfId="0" priority="3"/>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B46F6-D1AD-4ADA-A4DC-DB031174D8EB}">
  <sheetPr>
    <tabColor theme="4" tint="0.79998168889431442"/>
  </sheetPr>
  <dimension ref="A1:B13"/>
  <sheetViews>
    <sheetView workbookViewId="0">
      <selection activeCell="D7" sqref="D7"/>
    </sheetView>
  </sheetViews>
  <sheetFormatPr baseColWidth="10" defaultRowHeight="14.5"/>
  <cols>
    <col min="2" max="2" width="28.08984375" customWidth="1"/>
  </cols>
  <sheetData>
    <row r="1" spans="1:2">
      <c r="A1" s="3" t="s">
        <v>256</v>
      </c>
    </row>
    <row r="2" spans="1:2">
      <c r="A2" s="3"/>
    </row>
    <row r="3" spans="1:2">
      <c r="A3" s="3" t="s">
        <v>257</v>
      </c>
    </row>
    <row r="4" spans="1:2">
      <c r="A4" s="107"/>
      <c r="B4" t="s">
        <v>258</v>
      </c>
    </row>
    <row r="5" spans="1:2">
      <c r="A5" s="91"/>
      <c r="B5" t="s">
        <v>259</v>
      </c>
    </row>
    <row r="6" spans="1:2">
      <c r="A6" s="28"/>
      <c r="B6" t="s">
        <v>260</v>
      </c>
    </row>
    <row r="7" spans="1:2">
      <c r="A7" s="65"/>
      <c r="B7" t="s">
        <v>261</v>
      </c>
    </row>
    <row r="9" spans="1:2">
      <c r="A9" s="3" t="s">
        <v>66</v>
      </c>
    </row>
    <row r="10" spans="1:2">
      <c r="A10" s="35"/>
      <c r="B10" t="s">
        <v>62</v>
      </c>
    </row>
    <row r="11" spans="1:2">
      <c r="A11" s="91"/>
      <c r="B11" t="s">
        <v>63</v>
      </c>
    </row>
    <row r="12" spans="1:2">
      <c r="A12" s="65"/>
      <c r="B12" t="s">
        <v>64</v>
      </c>
    </row>
    <row r="13" spans="1:2">
      <c r="A13" s="28"/>
      <c r="B13" t="s">
        <v>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sheetPr>
  <dimension ref="A1:HL299"/>
  <sheetViews>
    <sheetView zoomScale="55" zoomScaleNormal="55" workbookViewId="0">
      <pane xSplit="1" ySplit="2" topLeftCell="AZ3" activePane="bottomRight" state="frozen"/>
      <selection activeCell="V40" sqref="V40"/>
      <selection pane="topRight" activeCell="V40" sqref="V40"/>
      <selection pane="bottomLeft" activeCell="V40" sqref="V40"/>
      <selection pane="bottomRight" activeCell="N2" sqref="N2"/>
    </sheetView>
  </sheetViews>
  <sheetFormatPr baseColWidth="10" defaultRowHeight="14.5"/>
  <cols>
    <col min="1" max="2" width="16.36328125" customWidth="1"/>
    <col min="3" max="3" width="31.81640625" customWidth="1"/>
    <col min="4" max="4" width="45.90625" customWidth="1"/>
    <col min="5" max="5" width="24.08984375" style="1" customWidth="1"/>
    <col min="6" max="7" width="21.81640625" customWidth="1"/>
    <col min="8" max="10" width="21.81640625" style="1" customWidth="1"/>
    <col min="11" max="11" width="21.81640625" customWidth="1"/>
    <col min="12" max="12" width="28" bestFit="1" customWidth="1"/>
    <col min="13" max="13" width="31" customWidth="1"/>
    <col min="14" max="17" width="21.81640625" customWidth="1"/>
    <col min="18" max="18" width="39.81640625" customWidth="1"/>
    <col min="19" max="19" width="18.36328125" customWidth="1"/>
    <col min="20" max="20" width="24.54296875" customWidth="1"/>
    <col min="21" max="21" width="65.36328125" bestFit="1" customWidth="1"/>
    <col min="22" max="22" width="28.453125" customWidth="1"/>
    <col min="23" max="23" width="21.81640625" style="36" customWidth="1"/>
    <col min="24" max="24" width="21.81640625" customWidth="1"/>
    <col min="25" max="25" width="19.90625" customWidth="1"/>
    <col min="26" max="26" width="21.26953125" customWidth="1"/>
    <col min="27" max="34" width="19.90625" customWidth="1"/>
    <col min="35" max="35" width="13.08984375" bestFit="1" customWidth="1"/>
    <col min="36" max="36" width="16.453125" bestFit="1" customWidth="1"/>
    <col min="37" max="37" width="24.1796875" customWidth="1"/>
    <col min="38" max="41" width="16.453125" customWidth="1"/>
    <col min="42" max="42" width="26.7265625" customWidth="1"/>
    <col min="43" max="43" width="16.453125" style="1" customWidth="1"/>
    <col min="44" max="44" width="28.36328125" bestFit="1" customWidth="1"/>
    <col min="45" max="48" width="21.81640625" customWidth="1"/>
    <col min="49" max="49" width="51.81640625" customWidth="1"/>
    <col min="50" max="50" width="10.90625" style="1"/>
    <col min="51" max="51" width="19.36328125" bestFit="1" customWidth="1"/>
    <col min="52" max="52" width="28.26953125" bestFit="1" customWidth="1"/>
    <col min="54" max="54" width="21.453125" bestFit="1" customWidth="1"/>
    <col min="55" max="58" width="21.453125" customWidth="1"/>
    <col min="59" max="64" width="36.08984375" style="2" customWidth="1"/>
    <col min="65" max="65" width="26.453125" customWidth="1"/>
    <col min="66" max="220" width="10.90625" style="1"/>
  </cols>
  <sheetData>
    <row r="1" spans="1:220" ht="87" customHeight="1" thickBot="1">
      <c r="A1" s="420" t="s">
        <v>193</v>
      </c>
      <c r="B1" s="596" t="s">
        <v>175</v>
      </c>
      <c r="C1" s="597"/>
      <c r="D1" s="557" t="s">
        <v>175</v>
      </c>
      <c r="E1" s="4" t="s">
        <v>0</v>
      </c>
      <c r="F1" s="555" t="s">
        <v>1</v>
      </c>
      <c r="G1" s="555" t="s">
        <v>2</v>
      </c>
      <c r="H1" s="267" t="s">
        <v>12</v>
      </c>
      <c r="I1" s="267" t="s">
        <v>13</v>
      </c>
      <c r="J1" s="151"/>
      <c r="K1" s="632" t="s">
        <v>4</v>
      </c>
      <c r="L1" s="633"/>
      <c r="M1" s="633"/>
      <c r="N1" s="633"/>
      <c r="O1" s="633"/>
      <c r="P1" s="633"/>
      <c r="Q1" s="634"/>
      <c r="R1" s="610" t="s">
        <v>188</v>
      </c>
      <c r="S1" s="606" t="s">
        <v>144</v>
      </c>
      <c r="T1" s="608" t="s">
        <v>145</v>
      </c>
      <c r="U1" s="387" t="s">
        <v>288</v>
      </c>
      <c r="V1" s="94"/>
      <c r="W1" s="619" t="s">
        <v>6</v>
      </c>
      <c r="X1" s="620"/>
      <c r="Y1" s="620"/>
      <c r="Z1" s="620"/>
      <c r="AA1" s="620"/>
      <c r="AB1" s="621"/>
      <c r="AC1" s="639" t="s">
        <v>189</v>
      </c>
      <c r="AD1" s="612" t="s">
        <v>144</v>
      </c>
      <c r="AE1" s="635" t="s">
        <v>145</v>
      </c>
      <c r="AF1" s="387" t="s">
        <v>5</v>
      </c>
      <c r="AG1" s="6"/>
      <c r="AH1" s="599" t="s">
        <v>7</v>
      </c>
      <c r="AI1" s="600"/>
      <c r="AJ1" s="600"/>
      <c r="AK1" s="600"/>
      <c r="AL1" s="601"/>
      <c r="AM1" s="639" t="s">
        <v>191</v>
      </c>
      <c r="AN1" s="622" t="s">
        <v>144</v>
      </c>
      <c r="AO1" s="630" t="s">
        <v>145</v>
      </c>
      <c r="AP1" s="387" t="s">
        <v>288</v>
      </c>
      <c r="AQ1" s="6"/>
      <c r="AR1" s="8" t="s">
        <v>8</v>
      </c>
      <c r="AS1" s="468" t="s">
        <v>9</v>
      </c>
      <c r="AT1" s="604" t="s">
        <v>190</v>
      </c>
      <c r="AU1" s="622" t="s">
        <v>144</v>
      </c>
      <c r="AV1" s="630" t="s">
        <v>145</v>
      </c>
      <c r="AW1" s="387" t="s">
        <v>288</v>
      </c>
      <c r="AY1" s="602" t="s">
        <v>213</v>
      </c>
      <c r="AZ1" s="603"/>
      <c r="BA1" s="616" t="s">
        <v>184</v>
      </c>
      <c r="BB1" s="614" t="s">
        <v>177</v>
      </c>
      <c r="BC1" s="592" t="s">
        <v>10</v>
      </c>
      <c r="BD1" s="593"/>
      <c r="BE1" s="594" t="s">
        <v>174</v>
      </c>
      <c r="BF1" s="595"/>
      <c r="BG1" s="624" t="s">
        <v>186</v>
      </c>
      <c r="BH1" s="626" t="s">
        <v>144</v>
      </c>
      <c r="BI1" s="628" t="s">
        <v>145</v>
      </c>
      <c r="BJ1" s="624" t="s">
        <v>187</v>
      </c>
      <c r="BK1" s="626" t="s">
        <v>144</v>
      </c>
      <c r="BL1" s="628" t="s">
        <v>145</v>
      </c>
      <c r="BM1" s="387" t="s">
        <v>288</v>
      </c>
    </row>
    <row r="2" spans="1:220" s="5" customFormat="1" ht="69" customHeight="1" thickBot="1">
      <c r="A2" s="556" t="s">
        <v>67</v>
      </c>
      <c r="B2" s="271" t="s">
        <v>177</v>
      </c>
      <c r="C2" s="560" t="s">
        <v>220</v>
      </c>
      <c r="D2" s="558" t="s">
        <v>212</v>
      </c>
      <c r="E2" s="426" t="s">
        <v>11</v>
      </c>
      <c r="F2" s="617" t="s">
        <v>174</v>
      </c>
      <c r="G2" s="618"/>
      <c r="H2" s="598" t="s">
        <v>225</v>
      </c>
      <c r="I2" s="598"/>
      <c r="J2" s="151"/>
      <c r="K2" s="427" t="s">
        <v>182</v>
      </c>
      <c r="L2" s="412" t="s">
        <v>212</v>
      </c>
      <c r="M2" s="392" t="s">
        <v>228</v>
      </c>
      <c r="N2" s="412" t="s">
        <v>226</v>
      </c>
      <c r="O2" s="412" t="s">
        <v>213</v>
      </c>
      <c r="P2" s="393" t="s">
        <v>174</v>
      </c>
      <c r="Q2" s="428" t="s">
        <v>227</v>
      </c>
      <c r="R2" s="611"/>
      <c r="S2" s="607"/>
      <c r="T2" s="609"/>
      <c r="U2" s="413" t="s">
        <v>14</v>
      </c>
      <c r="V2" s="553"/>
      <c r="W2" s="454" t="s">
        <v>240</v>
      </c>
      <c r="X2" s="455" t="s">
        <v>182</v>
      </c>
      <c r="Y2" s="455" t="s">
        <v>212</v>
      </c>
      <c r="Z2" s="456" t="s">
        <v>15</v>
      </c>
      <c r="AA2" s="455" t="s">
        <v>213</v>
      </c>
      <c r="AB2" s="457" t="s">
        <v>174</v>
      </c>
      <c r="AC2" s="640"/>
      <c r="AD2" s="613"/>
      <c r="AE2" s="636"/>
      <c r="AF2" s="398" t="s">
        <v>16</v>
      </c>
      <c r="AG2" s="553"/>
      <c r="AH2" s="490" t="s">
        <v>182</v>
      </c>
      <c r="AI2" s="491" t="s">
        <v>212</v>
      </c>
      <c r="AJ2" s="492" t="s">
        <v>15</v>
      </c>
      <c r="AK2" s="5" t="s">
        <v>213</v>
      </c>
      <c r="AL2" s="493" t="s">
        <v>174</v>
      </c>
      <c r="AM2" s="641"/>
      <c r="AN2" s="637"/>
      <c r="AO2" s="638"/>
      <c r="AP2" s="494" t="s">
        <v>16</v>
      </c>
      <c r="AQ2" s="553"/>
      <c r="AR2" s="427" t="s">
        <v>212</v>
      </c>
      <c r="AS2" s="469" t="s">
        <v>213</v>
      </c>
      <c r="AT2" s="605"/>
      <c r="AU2" s="623"/>
      <c r="AV2" s="631"/>
      <c r="AW2" s="400" t="s">
        <v>243</v>
      </c>
      <c r="AX2" s="151"/>
      <c r="AY2" s="271" t="s">
        <v>17</v>
      </c>
      <c r="AZ2" s="125" t="s">
        <v>18</v>
      </c>
      <c r="BA2" s="594"/>
      <c r="BB2" s="615"/>
      <c r="BC2" s="9" t="s">
        <v>19</v>
      </c>
      <c r="BD2" s="9" t="s">
        <v>20</v>
      </c>
      <c r="BE2" s="9" t="s">
        <v>19</v>
      </c>
      <c r="BF2" s="17" t="s">
        <v>20</v>
      </c>
      <c r="BG2" s="625"/>
      <c r="BH2" s="627"/>
      <c r="BI2" s="629"/>
      <c r="BJ2" s="625"/>
      <c r="BK2" s="627"/>
      <c r="BL2" s="629"/>
      <c r="BM2" s="399"/>
      <c r="BN2" s="151"/>
      <c r="BO2" s="151"/>
      <c r="BP2" s="151"/>
      <c r="BQ2" s="151"/>
      <c r="BR2" s="151"/>
      <c r="BS2" s="151"/>
      <c r="BT2" s="151"/>
      <c r="BU2" s="151"/>
      <c r="BV2" s="151"/>
      <c r="BW2" s="151"/>
      <c r="BX2" s="151"/>
      <c r="BY2" s="151"/>
      <c r="BZ2" s="151"/>
      <c r="CA2" s="151"/>
      <c r="CB2" s="151"/>
      <c r="CC2" s="151"/>
      <c r="CD2" s="151"/>
      <c r="CE2" s="151"/>
      <c r="CF2" s="151"/>
      <c r="CG2" s="151"/>
      <c r="CH2" s="151"/>
      <c r="CI2" s="151"/>
      <c r="CJ2" s="151"/>
      <c r="CK2" s="151"/>
      <c r="CL2" s="151"/>
      <c r="CM2" s="151"/>
      <c r="CN2" s="151"/>
      <c r="CO2" s="151"/>
      <c r="CP2" s="151"/>
      <c r="CQ2" s="151"/>
      <c r="CR2" s="151"/>
      <c r="CS2" s="151"/>
      <c r="CT2" s="151"/>
      <c r="CU2" s="151"/>
      <c r="CV2" s="151"/>
      <c r="CW2" s="151"/>
      <c r="CX2" s="151"/>
      <c r="CY2" s="151"/>
      <c r="CZ2" s="151"/>
      <c r="DA2" s="151"/>
      <c r="DB2" s="151"/>
      <c r="DC2" s="151"/>
      <c r="DD2" s="151"/>
      <c r="DE2" s="151"/>
      <c r="DF2" s="151"/>
      <c r="DG2" s="151"/>
      <c r="DH2" s="151"/>
      <c r="DI2" s="151"/>
      <c r="DJ2" s="151"/>
      <c r="DK2" s="151"/>
      <c r="DL2" s="151"/>
      <c r="DM2" s="151"/>
      <c r="DN2" s="151"/>
      <c r="DO2" s="151"/>
      <c r="DP2" s="151"/>
      <c r="DQ2" s="151"/>
      <c r="DR2" s="151"/>
      <c r="DS2" s="151"/>
      <c r="DT2" s="151"/>
      <c r="DU2" s="151"/>
      <c r="DV2" s="151"/>
      <c r="DW2" s="151"/>
      <c r="DX2" s="151"/>
      <c r="DY2" s="151"/>
      <c r="DZ2" s="151"/>
      <c r="EA2" s="151"/>
      <c r="EB2" s="151"/>
      <c r="EC2" s="151"/>
      <c r="ED2" s="151"/>
      <c r="EE2" s="151"/>
      <c r="EF2" s="151"/>
      <c r="EG2" s="151"/>
      <c r="EH2" s="151"/>
      <c r="EI2" s="151"/>
      <c r="EJ2" s="151"/>
      <c r="EK2" s="151"/>
      <c r="EL2" s="151"/>
      <c r="EM2" s="151"/>
      <c r="EN2" s="151"/>
      <c r="EO2" s="151"/>
      <c r="EP2" s="151"/>
      <c r="EQ2" s="151"/>
      <c r="ER2" s="151"/>
      <c r="ES2" s="151"/>
      <c r="ET2" s="151"/>
      <c r="EU2" s="151"/>
      <c r="EV2" s="151"/>
      <c r="EW2" s="151"/>
      <c r="EX2" s="151"/>
      <c r="EY2" s="151"/>
      <c r="EZ2" s="151"/>
      <c r="FA2" s="151"/>
      <c r="FB2" s="151"/>
      <c r="FC2" s="151"/>
      <c r="FD2" s="151"/>
      <c r="FE2" s="151"/>
      <c r="FF2" s="151"/>
      <c r="FG2" s="151"/>
      <c r="FH2" s="151"/>
      <c r="FI2" s="151"/>
      <c r="FJ2" s="151"/>
      <c r="FK2" s="151"/>
      <c r="FL2" s="151"/>
      <c r="FM2" s="151"/>
      <c r="FN2" s="151"/>
      <c r="FO2" s="151"/>
      <c r="FP2" s="151"/>
      <c r="FQ2" s="151"/>
      <c r="FR2" s="151"/>
      <c r="FS2" s="151"/>
      <c r="FT2" s="151"/>
      <c r="FU2" s="151"/>
      <c r="FV2" s="151"/>
      <c r="FW2" s="151"/>
      <c r="FX2" s="151"/>
      <c r="FY2" s="151"/>
      <c r="FZ2" s="151"/>
      <c r="GA2" s="151"/>
      <c r="GB2" s="151"/>
      <c r="GC2" s="151"/>
      <c r="GD2" s="151"/>
      <c r="GE2" s="151"/>
      <c r="GF2" s="151"/>
      <c r="GG2" s="151"/>
      <c r="GH2" s="151"/>
      <c r="GI2" s="151"/>
      <c r="GJ2" s="151"/>
      <c r="GK2" s="151"/>
      <c r="GL2" s="151"/>
      <c r="GM2" s="151"/>
      <c r="GN2" s="151"/>
      <c r="GO2" s="151"/>
      <c r="GP2" s="151"/>
      <c r="GQ2" s="151"/>
      <c r="GR2" s="151"/>
      <c r="GS2" s="151"/>
      <c r="GT2" s="151"/>
      <c r="GU2" s="151"/>
      <c r="GV2" s="151"/>
      <c r="GW2" s="151"/>
      <c r="GX2" s="151"/>
      <c r="GY2" s="151"/>
      <c r="GZ2" s="151"/>
      <c r="HA2" s="151"/>
      <c r="HB2" s="151"/>
      <c r="HC2" s="151"/>
      <c r="HD2" s="151"/>
      <c r="HE2" s="151"/>
      <c r="HF2" s="151"/>
      <c r="HG2" s="151"/>
      <c r="HH2" s="151"/>
      <c r="HI2" s="151"/>
      <c r="HJ2" s="151"/>
      <c r="HK2" s="151"/>
      <c r="HL2" s="151"/>
    </row>
    <row r="3" spans="1:220" ht="48" customHeight="1">
      <c r="A3" s="21" t="s">
        <v>21</v>
      </c>
      <c r="B3" s="561" t="s">
        <v>22</v>
      </c>
      <c r="C3" s="166">
        <f>9.4*80000/100</f>
        <v>7520</v>
      </c>
      <c r="D3" s="38"/>
      <c r="E3" s="24">
        <v>7288</v>
      </c>
      <c r="F3" s="24">
        <v>1051</v>
      </c>
      <c r="G3" s="25">
        <v>33500</v>
      </c>
      <c r="H3" s="27">
        <v>38500</v>
      </c>
      <c r="I3" s="27">
        <v>31300</v>
      </c>
      <c r="J3" s="151"/>
      <c r="K3" s="391"/>
      <c r="L3" s="389"/>
      <c r="M3" s="323">
        <v>31407.3</v>
      </c>
      <c r="N3" s="389"/>
      <c r="O3" s="389"/>
      <c r="P3" s="306"/>
      <c r="Q3" s="307">
        <v>10953</v>
      </c>
      <c r="R3" s="75">
        <v>10953</v>
      </c>
      <c r="S3" s="429">
        <f>E3</f>
        <v>7288</v>
      </c>
      <c r="T3" s="429">
        <f>MAX(D3:R3)</f>
        <v>38500</v>
      </c>
      <c r="U3" s="15" t="s">
        <v>230</v>
      </c>
      <c r="V3" s="101"/>
      <c r="W3" s="295"/>
      <c r="X3" s="389"/>
      <c r="Y3" s="389"/>
      <c r="Z3" s="389"/>
      <c r="AA3" s="389"/>
      <c r="AB3" s="486"/>
      <c r="AC3" s="404">
        <v>10953</v>
      </c>
      <c r="AD3" s="474">
        <f>7288</f>
        <v>7288</v>
      </c>
      <c r="AE3" s="475">
        <f>MAX(O3:AC3)</f>
        <v>38500</v>
      </c>
      <c r="AF3" s="15" t="s">
        <v>230</v>
      </c>
      <c r="AG3" s="30"/>
      <c r="AH3" s="495"/>
      <c r="AI3" s="496"/>
      <c r="AJ3" s="496"/>
      <c r="AK3" s="496"/>
      <c r="AL3" s="497"/>
      <c r="AM3" s="404">
        <v>10953</v>
      </c>
      <c r="AN3" s="474">
        <f>7288</f>
        <v>7288</v>
      </c>
      <c r="AO3" s="475">
        <f>MAX(Y3:AM3)</f>
        <v>38500</v>
      </c>
      <c r="AP3" s="466" t="s">
        <v>230</v>
      </c>
      <c r="AQ3" s="30"/>
      <c r="AR3" s="482">
        <v>0</v>
      </c>
      <c r="AS3" s="483">
        <v>0</v>
      </c>
      <c r="AT3" s="404">
        <v>10953</v>
      </c>
      <c r="AU3" s="474">
        <f>7288</f>
        <v>7288</v>
      </c>
      <c r="AV3" s="475">
        <f>MAX(AF3:AT3)</f>
        <v>38500</v>
      </c>
      <c r="AW3" s="470" t="s">
        <v>230</v>
      </c>
      <c r="AY3" s="18"/>
      <c r="AZ3" s="20"/>
      <c r="BA3" s="28">
        <v>200</v>
      </c>
      <c r="BB3" s="33"/>
      <c r="BC3" s="34">
        <v>0</v>
      </c>
      <c r="BD3" s="59">
        <v>11000</v>
      </c>
      <c r="BE3" s="28">
        <v>285</v>
      </c>
      <c r="BF3" s="59">
        <v>72967</v>
      </c>
      <c r="BG3" s="404">
        <f>AVERAGE(BE3,BA3)</f>
        <v>242.5</v>
      </c>
      <c r="BH3" s="28">
        <v>200</v>
      </c>
      <c r="BI3" s="28">
        <v>285</v>
      </c>
      <c r="BJ3" s="508">
        <f>AVERAGE(BF3,BD3)</f>
        <v>41983.5</v>
      </c>
      <c r="BK3" s="59">
        <v>11000</v>
      </c>
      <c r="BL3" s="407">
        <v>72967</v>
      </c>
      <c r="BM3" s="408" t="s">
        <v>244</v>
      </c>
    </row>
    <row r="4" spans="1:220">
      <c r="A4" s="37" t="s">
        <v>23</v>
      </c>
      <c r="B4" s="18"/>
      <c r="C4" s="33"/>
      <c r="D4" s="559"/>
      <c r="E4" s="11"/>
      <c r="F4" s="20"/>
      <c r="G4" s="34"/>
      <c r="H4" s="11"/>
      <c r="I4" s="11"/>
      <c r="J4" s="151"/>
      <c r="K4" s="147"/>
      <c r="L4" s="146"/>
      <c r="M4" s="20"/>
      <c r="N4" s="146"/>
      <c r="O4" s="146"/>
      <c r="P4" s="146"/>
      <c r="Q4" s="148"/>
      <c r="R4" s="147">
        <v>0</v>
      </c>
      <c r="S4" s="147">
        <v>0</v>
      </c>
      <c r="T4" s="147">
        <v>0</v>
      </c>
      <c r="U4" s="431"/>
      <c r="V4" s="1"/>
      <c r="W4" s="280"/>
      <c r="X4" s="267"/>
      <c r="Y4" s="267"/>
      <c r="Z4" s="267"/>
      <c r="AA4" s="267"/>
      <c r="AB4" s="100"/>
      <c r="AC4" s="280"/>
      <c r="AD4" s="267"/>
      <c r="AE4" s="279"/>
      <c r="AF4" s="445"/>
      <c r="AG4" s="1"/>
      <c r="AH4" s="280"/>
      <c r="AI4" s="267"/>
      <c r="AJ4" s="267"/>
      <c r="AK4" s="267"/>
      <c r="AL4" s="279"/>
      <c r="AM4" s="280">
        <v>0</v>
      </c>
      <c r="AN4" s="267"/>
      <c r="AO4" s="279"/>
      <c r="AP4" s="334"/>
      <c r="AR4" s="444">
        <v>0</v>
      </c>
      <c r="AS4" s="445">
        <v>0</v>
      </c>
      <c r="AT4" s="280">
        <v>0</v>
      </c>
      <c r="AU4" s="267"/>
      <c r="AV4" s="279"/>
      <c r="AW4" s="471"/>
      <c r="AY4" s="280"/>
      <c r="AZ4" s="267"/>
      <c r="BA4" s="267"/>
      <c r="BB4" s="279"/>
      <c r="BC4" s="100"/>
      <c r="BD4" s="100"/>
      <c r="BE4" s="267"/>
      <c r="BF4" s="100"/>
      <c r="BG4" s="509"/>
      <c r="BH4" s="510"/>
      <c r="BI4" s="511"/>
      <c r="BJ4" s="509"/>
      <c r="BK4" s="510"/>
      <c r="BL4" s="511"/>
      <c r="BM4" s="446"/>
    </row>
    <row r="5" spans="1:220" ht="58">
      <c r="A5" s="37" t="s">
        <v>24</v>
      </c>
      <c r="B5" s="22"/>
      <c r="C5" s="219"/>
      <c r="D5" s="38"/>
      <c r="E5" s="23"/>
      <c r="F5" s="38"/>
      <c r="G5" s="39"/>
      <c r="H5" s="26"/>
      <c r="I5" s="26"/>
      <c r="J5" s="30"/>
      <c r="K5" s="432"/>
      <c r="L5" s="433"/>
      <c r="M5" s="40">
        <v>0.3</v>
      </c>
      <c r="N5" s="433"/>
      <c r="O5" s="433"/>
      <c r="P5" s="433"/>
      <c r="Q5" s="514"/>
      <c r="R5" s="515">
        <v>0</v>
      </c>
      <c r="S5" s="515">
        <v>0</v>
      </c>
      <c r="T5" s="515">
        <v>0</v>
      </c>
      <c r="U5" s="430"/>
      <c r="V5" s="101"/>
      <c r="W5" s="82"/>
      <c r="X5" s="27">
        <v>138</v>
      </c>
      <c r="Y5" s="27">
        <v>50</v>
      </c>
      <c r="Z5" s="27">
        <v>138</v>
      </c>
      <c r="AA5" s="14"/>
      <c r="AB5" s="59">
        <v>87</v>
      </c>
      <c r="AC5" s="62">
        <f>(X5+Y5+AB5)/3</f>
        <v>91.666666666666671</v>
      </c>
      <c r="AD5" s="61">
        <f>MIN(X5:AB5)</f>
        <v>50</v>
      </c>
      <c r="AE5" s="395">
        <f>MAX(W5:AB5)</f>
        <v>138</v>
      </c>
      <c r="AF5" s="504" t="s">
        <v>239</v>
      </c>
      <c r="AG5" s="30"/>
      <c r="AH5" s="440"/>
      <c r="AI5" s="441"/>
      <c r="AJ5" s="441"/>
      <c r="AK5" s="441"/>
      <c r="AL5" s="442"/>
      <c r="AM5" s="458">
        <v>0</v>
      </c>
      <c r="AN5" s="459"/>
      <c r="AO5" s="460"/>
      <c r="AP5" s="447"/>
      <c r="AQ5" s="30"/>
      <c r="AR5" s="458">
        <v>0</v>
      </c>
      <c r="AS5" s="460">
        <v>0</v>
      </c>
      <c r="AT5" s="458">
        <v>0</v>
      </c>
      <c r="AU5" s="459"/>
      <c r="AV5" s="460"/>
      <c r="AW5" s="471"/>
      <c r="AY5" s="280"/>
      <c r="AZ5" s="267"/>
      <c r="BA5" s="267"/>
      <c r="BB5" s="279"/>
      <c r="BC5" s="100"/>
      <c r="BD5" s="100"/>
      <c r="BE5" s="267"/>
      <c r="BF5" s="100"/>
      <c r="BG5" s="509">
        <f>SUM(AY5:BB5)/2</f>
        <v>0</v>
      </c>
      <c r="BH5" s="510"/>
      <c r="BI5" s="511"/>
      <c r="BJ5" s="509"/>
      <c r="BK5" s="510"/>
      <c r="BL5" s="511"/>
      <c r="BM5" s="334"/>
    </row>
    <row r="6" spans="1:220">
      <c r="A6" s="21" t="s">
        <v>72</v>
      </c>
      <c r="B6" s="22"/>
      <c r="C6" s="219"/>
      <c r="D6" s="38"/>
      <c r="E6" s="23"/>
      <c r="F6" s="92">
        <v>61</v>
      </c>
      <c r="G6" s="93">
        <v>3700</v>
      </c>
      <c r="H6" s="49"/>
      <c r="I6" s="49"/>
      <c r="J6" s="554"/>
      <c r="K6" s="22"/>
      <c r="L6" s="14"/>
      <c r="M6" s="14"/>
      <c r="N6" s="14"/>
      <c r="O6" s="14"/>
      <c r="P6" s="14"/>
      <c r="Q6" s="41"/>
      <c r="R6" s="529">
        <f>(G6+F6)</f>
        <v>3761</v>
      </c>
      <c r="S6" s="56">
        <v>3761</v>
      </c>
      <c r="T6" s="56">
        <v>3761</v>
      </c>
      <c r="U6" s="29" t="s">
        <v>162</v>
      </c>
      <c r="V6" s="101"/>
      <c r="W6" s="82"/>
      <c r="X6" s="14"/>
      <c r="Y6" s="14"/>
      <c r="Z6" s="14"/>
      <c r="AA6" s="14"/>
      <c r="AB6" s="31"/>
      <c r="AC6" s="55">
        <f>(R6+Q6)</f>
        <v>3761</v>
      </c>
      <c r="AD6" s="54">
        <v>3761</v>
      </c>
      <c r="AE6" s="394">
        <v>3761</v>
      </c>
      <c r="AF6" s="29" t="s">
        <v>162</v>
      </c>
      <c r="AG6" s="30"/>
      <c r="AH6" s="22"/>
      <c r="AI6" s="14"/>
      <c r="AJ6" s="14"/>
      <c r="AK6" s="14"/>
      <c r="AL6" s="219"/>
      <c r="AM6" s="55">
        <v>3761</v>
      </c>
      <c r="AN6" s="55">
        <v>3761</v>
      </c>
      <c r="AO6" s="476">
        <v>3761</v>
      </c>
      <c r="AP6" s="467" t="s">
        <v>162</v>
      </c>
      <c r="AQ6" s="30"/>
      <c r="AR6" s="46">
        <v>0</v>
      </c>
      <c r="AS6" s="484">
        <v>0</v>
      </c>
      <c r="AT6" s="55">
        <v>3761</v>
      </c>
      <c r="AU6" s="55">
        <v>3761</v>
      </c>
      <c r="AV6" s="476">
        <v>3761</v>
      </c>
      <c r="AW6" s="29" t="s">
        <v>162</v>
      </c>
      <c r="AY6" s="18"/>
      <c r="AZ6" s="20"/>
      <c r="BA6" s="28">
        <v>3000</v>
      </c>
      <c r="BB6" s="33"/>
      <c r="BC6" s="34"/>
      <c r="BD6" s="34"/>
      <c r="BE6" s="28">
        <v>4733</v>
      </c>
      <c r="BF6" s="513">
        <v>3700</v>
      </c>
      <c r="BG6" s="402">
        <f>BE6</f>
        <v>4733</v>
      </c>
      <c r="BH6" s="402">
        <f t="shared" ref="BH6:BI6" si="0">BF6</f>
        <v>3700</v>
      </c>
      <c r="BI6" s="402">
        <f t="shared" si="0"/>
        <v>4733</v>
      </c>
      <c r="BJ6" s="402">
        <v>3700</v>
      </c>
      <c r="BK6" s="402">
        <v>3700</v>
      </c>
      <c r="BL6" s="402">
        <v>3700</v>
      </c>
      <c r="BM6" s="171" t="s">
        <v>162</v>
      </c>
    </row>
    <row r="7" spans="1:220">
      <c r="A7" s="21" t="s">
        <v>73</v>
      </c>
      <c r="B7" s="22"/>
      <c r="C7" s="219"/>
      <c r="D7" s="38"/>
      <c r="E7" s="23"/>
      <c r="F7" s="47"/>
      <c r="G7" s="48"/>
      <c r="H7" s="49"/>
      <c r="I7" s="49"/>
      <c r="J7" s="554"/>
      <c r="K7" s="432"/>
      <c r="L7" s="433"/>
      <c r="M7" s="433"/>
      <c r="N7" s="433"/>
      <c r="O7" s="433"/>
      <c r="P7" s="433"/>
      <c r="Q7" s="514"/>
      <c r="R7" s="515">
        <v>0</v>
      </c>
      <c r="S7" s="515">
        <v>0</v>
      </c>
      <c r="T7" s="515">
        <v>0</v>
      </c>
      <c r="U7" s="430"/>
      <c r="V7" s="101"/>
      <c r="W7" s="440"/>
      <c r="X7" s="441"/>
      <c r="Y7" s="441"/>
      <c r="Z7" s="441"/>
      <c r="AA7" s="441"/>
      <c r="AB7" s="487"/>
      <c r="AC7" s="443"/>
      <c r="AD7" s="449"/>
      <c r="AE7" s="450"/>
      <c r="AF7" s="505"/>
      <c r="AG7" s="30"/>
      <c r="AH7" s="440"/>
      <c r="AI7" s="441"/>
      <c r="AJ7" s="441"/>
      <c r="AK7" s="441"/>
      <c r="AL7" s="442"/>
      <c r="AM7" s="458">
        <v>0</v>
      </c>
      <c r="AN7" s="459"/>
      <c r="AO7" s="460"/>
      <c r="AP7" s="447"/>
      <c r="AQ7" s="30"/>
      <c r="AR7" s="458">
        <v>0</v>
      </c>
      <c r="AS7" s="460">
        <v>0</v>
      </c>
      <c r="AT7" s="458">
        <v>0</v>
      </c>
      <c r="AU7" s="459"/>
      <c r="AV7" s="460"/>
      <c r="AW7" s="471"/>
      <c r="AY7" s="18"/>
      <c r="AZ7" s="18"/>
      <c r="BA7" s="18"/>
      <c r="BB7" s="406">
        <v>326</v>
      </c>
      <c r="BC7" s="34"/>
      <c r="BD7" s="34"/>
      <c r="BE7" s="34"/>
      <c r="BF7" s="34"/>
      <c r="BG7" s="406">
        <v>326</v>
      </c>
      <c r="BH7" s="406">
        <v>326</v>
      </c>
      <c r="BI7" s="406">
        <v>326</v>
      </c>
      <c r="BJ7" s="406">
        <v>326</v>
      </c>
      <c r="BK7" s="406">
        <v>326</v>
      </c>
      <c r="BL7" s="406">
        <v>326</v>
      </c>
      <c r="BM7" s="171" t="s">
        <v>162</v>
      </c>
    </row>
    <row r="8" spans="1:220">
      <c r="A8" s="52" t="s">
        <v>25</v>
      </c>
      <c r="B8" s="22"/>
      <c r="C8" s="219"/>
      <c r="D8" s="448">
        <v>60700</v>
      </c>
      <c r="E8" s="23">
        <v>0</v>
      </c>
      <c r="F8" s="38"/>
      <c r="G8" s="39"/>
      <c r="H8" s="26"/>
      <c r="I8" s="26"/>
      <c r="J8" s="30"/>
      <c r="K8" s="22"/>
      <c r="L8" s="40">
        <v>60700</v>
      </c>
      <c r="M8" s="14"/>
      <c r="N8" s="14"/>
      <c r="O8" s="14"/>
      <c r="P8" s="14"/>
      <c r="Q8" s="41"/>
      <c r="R8" s="56">
        <v>60700</v>
      </c>
      <c r="S8" s="56">
        <v>60700</v>
      </c>
      <c r="T8" s="56">
        <v>60700</v>
      </c>
      <c r="U8" s="29" t="s">
        <v>162</v>
      </c>
      <c r="V8" s="101"/>
      <c r="W8" s="82"/>
      <c r="X8" s="14"/>
      <c r="Y8" s="40">
        <v>60700</v>
      </c>
      <c r="Z8" s="14"/>
      <c r="AA8" s="14"/>
      <c r="AB8" s="31"/>
      <c r="AC8" s="55">
        <v>60700</v>
      </c>
      <c r="AD8" s="54">
        <v>60700</v>
      </c>
      <c r="AE8" s="394">
        <v>60700</v>
      </c>
      <c r="AF8" s="29" t="s">
        <v>162</v>
      </c>
      <c r="AG8" s="30"/>
      <c r="AH8" s="22"/>
      <c r="AI8" s="40">
        <v>60700</v>
      </c>
      <c r="AJ8" s="14"/>
      <c r="AK8" s="14"/>
      <c r="AL8" s="219"/>
      <c r="AM8" s="55">
        <v>60700</v>
      </c>
      <c r="AN8" s="55">
        <v>60700</v>
      </c>
      <c r="AO8" s="476">
        <v>60700</v>
      </c>
      <c r="AP8" s="467" t="s">
        <v>162</v>
      </c>
      <c r="AQ8" s="30"/>
      <c r="AR8" s="56">
        <v>60700</v>
      </c>
      <c r="AS8" s="477"/>
      <c r="AT8" s="56">
        <v>60700</v>
      </c>
      <c r="AU8" s="56">
        <v>60700</v>
      </c>
      <c r="AV8" s="477">
        <v>60700</v>
      </c>
      <c r="AW8" s="472" t="s">
        <v>26</v>
      </c>
      <c r="AY8" s="18"/>
      <c r="AZ8" s="20"/>
      <c r="BA8" s="51">
        <v>1000000</v>
      </c>
      <c r="BB8" s="33"/>
      <c r="BC8" s="34"/>
      <c r="BD8" s="34"/>
      <c r="BE8" s="51"/>
      <c r="BF8" s="34"/>
      <c r="BG8" s="81">
        <f>BA8</f>
        <v>1000000</v>
      </c>
      <c r="BH8" s="81">
        <f t="shared" ref="BH8:BL8" si="1">BB8</f>
        <v>0</v>
      </c>
      <c r="BI8" s="81">
        <f t="shared" si="1"/>
        <v>0</v>
      </c>
      <c r="BJ8" s="81">
        <f t="shared" si="1"/>
        <v>0</v>
      </c>
      <c r="BK8" s="81">
        <f t="shared" si="1"/>
        <v>0</v>
      </c>
      <c r="BL8" s="81">
        <f t="shared" si="1"/>
        <v>0</v>
      </c>
      <c r="BM8" s="171" t="s">
        <v>162</v>
      </c>
    </row>
    <row r="9" spans="1:220" ht="101.5">
      <c r="A9" s="21" t="s">
        <v>74</v>
      </c>
      <c r="B9" s="69">
        <v>2822.1</v>
      </c>
      <c r="C9" s="166">
        <f>5.8*80000/100</f>
        <v>4640</v>
      </c>
      <c r="D9" s="38"/>
      <c r="E9" s="25">
        <v>3707</v>
      </c>
      <c r="F9" s="31"/>
      <c r="G9" s="59">
        <v>3765</v>
      </c>
      <c r="H9" s="26"/>
      <c r="I9" s="26"/>
      <c r="J9" s="30"/>
      <c r="K9" s="22"/>
      <c r="L9" s="14"/>
      <c r="M9" s="27">
        <v>5952.19</v>
      </c>
      <c r="N9" s="14"/>
      <c r="O9" s="60">
        <v>884</v>
      </c>
      <c r="P9" s="27">
        <v>458</v>
      </c>
      <c r="Q9" s="41" t="s">
        <v>27</v>
      </c>
      <c r="R9" s="68">
        <f>AVERAGE(B9,C9,O9,M9,E9,(P9+G9)/2)</f>
        <v>3352.7983333333336</v>
      </c>
      <c r="S9" s="106">
        <f>250</f>
        <v>250</v>
      </c>
      <c r="T9" s="139">
        <f>C9</f>
        <v>4640</v>
      </c>
      <c r="U9" s="29" t="s">
        <v>229</v>
      </c>
      <c r="V9" s="101"/>
      <c r="W9" s="82"/>
      <c r="X9" s="14"/>
      <c r="Y9" s="14"/>
      <c r="Z9" s="14"/>
      <c r="AA9" s="27">
        <v>5181</v>
      </c>
      <c r="AB9" s="59">
        <v>3091</v>
      </c>
      <c r="AC9" s="62">
        <f>(AA9+AB9+B9)/3</f>
        <v>3698.0333333333333</v>
      </c>
      <c r="AD9" s="27">
        <v>3091</v>
      </c>
      <c r="AE9" s="166">
        <v>5181</v>
      </c>
      <c r="AF9" s="504" t="s">
        <v>238</v>
      </c>
      <c r="AG9" s="30"/>
      <c r="AH9" s="22"/>
      <c r="AI9" s="43">
        <v>22</v>
      </c>
      <c r="AJ9" s="14"/>
      <c r="AK9" s="43">
        <v>450</v>
      </c>
      <c r="AL9" s="166">
        <v>233</v>
      </c>
      <c r="AM9" s="462">
        <f>AVERAGE(AK9,(AL9+G9),B9,C9,E9)</f>
        <v>3123.42</v>
      </c>
      <c r="AN9" s="43">
        <v>450</v>
      </c>
      <c r="AO9" s="434">
        <f>5.8*80000/100</f>
        <v>4640</v>
      </c>
      <c r="AP9" s="397" t="s">
        <v>242</v>
      </c>
      <c r="AQ9" s="30"/>
      <c r="AR9" s="46">
        <v>0</v>
      </c>
      <c r="AS9" s="139">
        <v>1005</v>
      </c>
      <c r="AT9" s="62">
        <f>AVERAGE(AS9,G9,B9,E9,C9)</f>
        <v>3187.82</v>
      </c>
      <c r="AU9" s="115">
        <v>1005</v>
      </c>
      <c r="AV9" s="57">
        <f>5.8*80000/100</f>
        <v>4640</v>
      </c>
      <c r="AW9" s="29" t="s">
        <v>229</v>
      </c>
      <c r="AY9" s="64">
        <v>3200</v>
      </c>
      <c r="AZ9" s="28">
        <v>1400</v>
      </c>
      <c r="BA9" s="37">
        <v>3000</v>
      </c>
      <c r="BB9" s="33"/>
      <c r="BC9" s="37">
        <v>3200</v>
      </c>
      <c r="BD9" s="37">
        <v>1400</v>
      </c>
      <c r="BE9" s="37">
        <v>3175</v>
      </c>
      <c r="BF9" s="37">
        <v>1400</v>
      </c>
      <c r="BG9" s="512">
        <f>BE9</f>
        <v>3175</v>
      </c>
      <c r="BH9" s="51">
        <v>3000</v>
      </c>
      <c r="BI9" s="51">
        <v>3200</v>
      </c>
      <c r="BJ9" s="401">
        <f>BF9</f>
        <v>1400</v>
      </c>
      <c r="BK9" s="37">
        <v>1400</v>
      </c>
      <c r="BL9" s="37">
        <v>1400</v>
      </c>
      <c r="BM9" s="171" t="s">
        <v>245</v>
      </c>
    </row>
    <row r="10" spans="1:220">
      <c r="A10" s="66" t="s">
        <v>28</v>
      </c>
      <c r="B10" s="69"/>
      <c r="C10" s="173"/>
      <c r="D10" s="38"/>
      <c r="E10" s="58"/>
      <c r="F10" s="39"/>
      <c r="G10" s="25"/>
      <c r="H10" s="26"/>
      <c r="I10" s="26"/>
      <c r="J10" s="30"/>
      <c r="K10" s="432"/>
      <c r="L10" s="433"/>
      <c r="M10" s="433"/>
      <c r="N10" s="433"/>
      <c r="O10" s="433"/>
      <c r="P10" s="433"/>
      <c r="Q10" s="514"/>
      <c r="R10" s="515">
        <v>0</v>
      </c>
      <c r="S10" s="515">
        <v>0</v>
      </c>
      <c r="T10" s="515">
        <v>0</v>
      </c>
      <c r="U10" s="430"/>
      <c r="V10" s="101"/>
      <c r="W10" s="440"/>
      <c r="X10" s="441"/>
      <c r="Y10" s="441"/>
      <c r="Z10" s="441"/>
      <c r="AA10" s="441"/>
      <c r="AB10" s="487"/>
      <c r="AC10" s="443"/>
      <c r="AD10" s="449"/>
      <c r="AE10" s="450"/>
      <c r="AF10" s="505"/>
      <c r="AG10" s="30"/>
      <c r="AH10" s="440"/>
      <c r="AI10" s="441"/>
      <c r="AJ10" s="441"/>
      <c r="AK10" s="441"/>
      <c r="AL10" s="442"/>
      <c r="AM10" s="458">
        <v>0</v>
      </c>
      <c r="AN10" s="459"/>
      <c r="AO10" s="460"/>
      <c r="AP10" s="461"/>
      <c r="AQ10" s="30"/>
      <c r="AR10" s="458">
        <v>0</v>
      </c>
      <c r="AS10" s="460">
        <v>0</v>
      </c>
      <c r="AT10" s="458">
        <v>0</v>
      </c>
      <c r="AU10" s="459"/>
      <c r="AV10" s="460"/>
      <c r="AW10" s="471"/>
      <c r="AY10" s="280"/>
      <c r="AZ10" s="267"/>
      <c r="BA10" s="100"/>
      <c r="BB10" s="279"/>
      <c r="BC10" s="100"/>
      <c r="BD10" s="100"/>
      <c r="BE10" s="100"/>
      <c r="BF10" s="100"/>
      <c r="BG10" s="509"/>
      <c r="BH10" s="267"/>
      <c r="BI10" s="279"/>
      <c r="BJ10" s="509"/>
      <c r="BK10" s="510"/>
      <c r="BL10" s="511"/>
      <c r="BM10" s="334"/>
    </row>
    <row r="11" spans="1:220" ht="43.5">
      <c r="A11" s="21" t="s">
        <v>29</v>
      </c>
      <c r="B11" s="22"/>
      <c r="C11" s="219"/>
      <c r="D11" s="38"/>
      <c r="E11" s="23"/>
      <c r="F11" s="38"/>
      <c r="G11" s="39"/>
      <c r="H11" s="26"/>
      <c r="I11" s="26"/>
      <c r="J11" s="30"/>
      <c r="K11" s="432"/>
      <c r="L11" s="433"/>
      <c r="M11" s="40">
        <v>9.6999999999999993</v>
      </c>
      <c r="N11" s="433"/>
      <c r="O11" s="433"/>
      <c r="P11" s="433"/>
      <c r="Q11" s="514"/>
      <c r="R11" s="515">
        <v>0</v>
      </c>
      <c r="S11" s="515">
        <v>0</v>
      </c>
      <c r="T11" s="515">
        <v>0</v>
      </c>
      <c r="U11" s="430"/>
      <c r="V11" s="101"/>
      <c r="W11" s="440"/>
      <c r="X11" s="441"/>
      <c r="Y11" s="441"/>
      <c r="Z11" s="441"/>
      <c r="AA11" s="441"/>
      <c r="AB11" s="487"/>
      <c r="AC11" s="443"/>
      <c r="AD11" s="449"/>
      <c r="AE11" s="450"/>
      <c r="AF11" s="505"/>
      <c r="AG11" s="30"/>
      <c r="AH11" s="69">
        <v>9</v>
      </c>
      <c r="AI11" s="27">
        <v>4</v>
      </c>
      <c r="AJ11" s="27">
        <v>9</v>
      </c>
      <c r="AK11" s="27">
        <v>4</v>
      </c>
      <c r="AL11" s="175">
        <v>19</v>
      </c>
      <c r="AM11" s="62">
        <f>AVERAGE(AH11:AL11)</f>
        <v>9</v>
      </c>
      <c r="AN11" s="27">
        <v>4</v>
      </c>
      <c r="AO11" s="175">
        <v>19</v>
      </c>
      <c r="AP11" s="467" t="s">
        <v>229</v>
      </c>
      <c r="AQ11" s="30"/>
      <c r="AR11" s="458">
        <v>0</v>
      </c>
      <c r="AS11" s="460">
        <v>0</v>
      </c>
      <c r="AT11" s="458">
        <v>0</v>
      </c>
      <c r="AU11" s="459"/>
      <c r="AV11" s="460"/>
      <c r="AW11" s="471"/>
      <c r="BA11" s="52">
        <v>692</v>
      </c>
      <c r="BB11" s="33"/>
      <c r="BC11" s="34"/>
      <c r="BD11" s="34"/>
      <c r="BE11" s="34"/>
      <c r="BF11" s="34"/>
      <c r="BG11" s="52">
        <v>692</v>
      </c>
      <c r="BH11" s="52">
        <v>692</v>
      </c>
      <c r="BI11" s="52">
        <v>692</v>
      </c>
      <c r="BJ11" s="52">
        <v>692</v>
      </c>
      <c r="BK11" s="52">
        <v>692</v>
      </c>
      <c r="BL11" s="52">
        <v>692</v>
      </c>
      <c r="BM11" s="171" t="s">
        <v>162</v>
      </c>
    </row>
    <row r="12" spans="1:220">
      <c r="A12" s="21" t="s">
        <v>75</v>
      </c>
      <c r="B12" s="22"/>
      <c r="C12" s="173"/>
      <c r="D12" s="38"/>
      <c r="E12" s="23"/>
      <c r="F12" s="38"/>
      <c r="G12" s="39"/>
      <c r="H12" s="26"/>
      <c r="I12" s="26"/>
      <c r="J12" s="30"/>
      <c r="K12" s="432"/>
      <c r="L12" s="433"/>
      <c r="M12" s="433"/>
      <c r="N12" s="433"/>
      <c r="O12" s="433"/>
      <c r="P12" s="433"/>
      <c r="Q12" s="514"/>
      <c r="R12" s="515">
        <v>0</v>
      </c>
      <c r="S12" s="515">
        <v>0</v>
      </c>
      <c r="T12" s="515">
        <v>0</v>
      </c>
      <c r="U12" s="430"/>
      <c r="V12" s="101"/>
      <c r="W12" s="440"/>
      <c r="X12" s="441"/>
      <c r="Y12" s="441"/>
      <c r="Z12" s="441"/>
      <c r="AA12" s="441"/>
      <c r="AB12" s="487"/>
      <c r="AC12" s="443"/>
      <c r="AD12" s="449"/>
      <c r="AE12" s="450"/>
      <c r="AF12" s="505"/>
      <c r="AG12" s="30"/>
      <c r="AH12" s="440"/>
      <c r="AI12" s="441"/>
      <c r="AJ12" s="441"/>
      <c r="AK12" s="441"/>
      <c r="AL12" s="442"/>
      <c r="AM12" s="458">
        <v>0</v>
      </c>
      <c r="AN12" s="459"/>
      <c r="AO12" s="460"/>
      <c r="AP12" s="447"/>
      <c r="AQ12" s="30"/>
      <c r="AR12" s="56">
        <v>48</v>
      </c>
      <c r="AS12" s="484">
        <v>0</v>
      </c>
      <c r="AT12" s="56">
        <v>48</v>
      </c>
      <c r="AU12" s="56">
        <v>48</v>
      </c>
      <c r="AV12" s="477">
        <v>48</v>
      </c>
      <c r="AW12" s="29" t="s">
        <v>162</v>
      </c>
      <c r="AY12" s="280"/>
      <c r="AZ12" s="267"/>
      <c r="BA12" s="100"/>
      <c r="BB12" s="279"/>
      <c r="BC12" s="100"/>
      <c r="BD12" s="100"/>
      <c r="BE12" s="100"/>
      <c r="BF12" s="100"/>
      <c r="BG12" s="509"/>
      <c r="BH12" s="267"/>
      <c r="BI12" s="279"/>
      <c r="BJ12" s="509"/>
      <c r="BK12" s="510"/>
      <c r="BL12" s="511"/>
      <c r="BM12" s="334"/>
    </row>
    <row r="13" spans="1:220">
      <c r="A13" s="37" t="s">
        <v>30</v>
      </c>
      <c r="B13" s="22"/>
      <c r="C13" s="173"/>
      <c r="D13" s="24">
        <v>46400</v>
      </c>
      <c r="E13" s="24">
        <v>60014</v>
      </c>
      <c r="F13" s="38"/>
      <c r="G13" s="39"/>
      <c r="H13" s="26"/>
      <c r="I13" s="26"/>
      <c r="J13" s="30"/>
      <c r="K13" s="22"/>
      <c r="L13" s="40">
        <v>46400</v>
      </c>
      <c r="M13" s="14"/>
      <c r="N13" s="14"/>
      <c r="O13" s="14"/>
      <c r="P13" s="14"/>
      <c r="Q13" s="41"/>
      <c r="R13" s="68">
        <v>46400</v>
      </c>
      <c r="S13" s="68">
        <v>46400</v>
      </c>
      <c r="T13" s="139">
        <f>E13</f>
        <v>60014</v>
      </c>
      <c r="U13" s="29" t="s">
        <v>231</v>
      </c>
      <c r="V13" s="101"/>
      <c r="W13" s="82"/>
      <c r="X13" s="14"/>
      <c r="Y13" s="40">
        <v>46400</v>
      </c>
      <c r="Z13" s="14"/>
      <c r="AA13" s="14"/>
      <c r="AB13" s="31"/>
      <c r="AC13" s="55">
        <v>46400</v>
      </c>
      <c r="AD13" s="54">
        <v>46400</v>
      </c>
      <c r="AE13" s="394">
        <v>46400</v>
      </c>
      <c r="AF13" s="29" t="s">
        <v>162</v>
      </c>
      <c r="AG13" s="30"/>
      <c r="AH13" s="22"/>
      <c r="AI13" s="40">
        <v>46400</v>
      </c>
      <c r="AJ13" s="14"/>
      <c r="AK13" s="14"/>
      <c r="AL13" s="219"/>
      <c r="AM13" s="56">
        <v>46400</v>
      </c>
      <c r="AN13" s="56">
        <v>46400</v>
      </c>
      <c r="AO13" s="477">
        <v>46400</v>
      </c>
      <c r="AP13" s="467" t="s">
        <v>162</v>
      </c>
      <c r="AQ13" s="30"/>
      <c r="AR13" s="56">
        <v>46400</v>
      </c>
      <c r="AS13" s="477"/>
      <c r="AT13" s="56">
        <v>46400</v>
      </c>
      <c r="AU13" s="56">
        <v>46400</v>
      </c>
      <c r="AV13" s="477">
        <v>46400</v>
      </c>
      <c r="AW13" s="29" t="s">
        <v>162</v>
      </c>
      <c r="AY13" s="18"/>
      <c r="AZ13" s="20"/>
      <c r="BA13" s="51">
        <v>100000</v>
      </c>
      <c r="BB13" s="33"/>
      <c r="BF13" s="34"/>
      <c r="BG13" s="402">
        <f>BA13</f>
        <v>100000</v>
      </c>
      <c r="BH13" s="402">
        <v>100000</v>
      </c>
      <c r="BI13" s="402">
        <v>100000</v>
      </c>
      <c r="BJ13" s="402">
        <v>100000</v>
      </c>
      <c r="BK13" s="402">
        <v>100000</v>
      </c>
      <c r="BL13" s="402">
        <v>100000</v>
      </c>
      <c r="BM13" s="171" t="s">
        <v>162</v>
      </c>
    </row>
    <row r="14" spans="1:220">
      <c r="A14" s="37" t="s">
        <v>31</v>
      </c>
      <c r="B14" s="22"/>
      <c r="C14" s="173"/>
      <c r="D14" s="38"/>
      <c r="E14" s="23"/>
      <c r="F14" s="38"/>
      <c r="G14" s="39"/>
      <c r="H14" s="26"/>
      <c r="I14" s="26"/>
      <c r="J14" s="30"/>
      <c r="K14" s="432"/>
      <c r="L14" s="433"/>
      <c r="M14" s="433"/>
      <c r="N14" s="433"/>
      <c r="O14" s="433"/>
      <c r="P14" s="433"/>
      <c r="Q14" s="514"/>
      <c r="R14" s="515">
        <v>0</v>
      </c>
      <c r="S14" s="515">
        <v>0</v>
      </c>
      <c r="T14" s="515">
        <v>0</v>
      </c>
      <c r="U14" s="430"/>
      <c r="V14" s="101"/>
      <c r="W14" s="440"/>
      <c r="X14" s="441"/>
      <c r="Y14" s="441"/>
      <c r="Z14" s="441"/>
      <c r="AA14" s="441"/>
      <c r="AB14" s="487"/>
      <c r="AC14" s="443"/>
      <c r="AD14" s="449"/>
      <c r="AE14" s="450"/>
      <c r="AF14" s="505"/>
      <c r="AG14" s="30"/>
      <c r="AH14" s="440"/>
      <c r="AI14" s="441"/>
      <c r="AJ14" s="441"/>
      <c r="AK14" s="441"/>
      <c r="AL14" s="442"/>
      <c r="AM14" s="440"/>
      <c r="AN14" s="441"/>
      <c r="AO14" s="442"/>
      <c r="AP14" s="447"/>
      <c r="AQ14" s="30"/>
      <c r="AR14" s="458">
        <v>0</v>
      </c>
      <c r="AS14" s="460">
        <v>0</v>
      </c>
      <c r="AT14" s="458">
        <v>0</v>
      </c>
      <c r="AU14" s="459"/>
      <c r="AV14" s="460"/>
      <c r="AW14" s="471"/>
      <c r="AY14" s="280"/>
      <c r="AZ14" s="267"/>
      <c r="BA14" s="100"/>
      <c r="BB14" s="279"/>
      <c r="BC14" s="100"/>
      <c r="BD14" s="100"/>
      <c r="BE14" s="100"/>
      <c r="BF14" s="100"/>
      <c r="BG14" s="509"/>
      <c r="BH14" s="267"/>
      <c r="BI14" s="279"/>
      <c r="BJ14" s="509"/>
      <c r="BK14" s="510"/>
      <c r="BL14" s="511"/>
      <c r="BM14" s="334"/>
    </row>
    <row r="15" spans="1:220" ht="43.5">
      <c r="A15" s="21" t="s">
        <v>32</v>
      </c>
      <c r="B15" s="22"/>
      <c r="C15" s="173"/>
      <c r="D15" s="38"/>
      <c r="E15" s="23"/>
      <c r="F15" s="38"/>
      <c r="G15" s="39"/>
      <c r="H15" s="26"/>
      <c r="I15" s="26"/>
      <c r="J15" s="30"/>
      <c r="K15" s="432"/>
      <c r="L15" s="433"/>
      <c r="M15" s="433"/>
      <c r="N15" s="433"/>
      <c r="O15" s="433"/>
      <c r="P15" s="433"/>
      <c r="Q15" s="514"/>
      <c r="R15" s="515">
        <v>0</v>
      </c>
      <c r="S15" s="515">
        <v>0</v>
      </c>
      <c r="T15" s="515">
        <v>0</v>
      </c>
      <c r="U15" s="430"/>
      <c r="V15" s="101"/>
      <c r="W15" s="440"/>
      <c r="X15" s="441"/>
      <c r="Y15" s="441"/>
      <c r="Z15" s="441"/>
      <c r="AA15" s="441"/>
      <c r="AB15" s="487"/>
      <c r="AC15" s="443"/>
      <c r="AD15" s="449"/>
      <c r="AE15" s="450"/>
      <c r="AF15" s="505"/>
      <c r="AG15" s="30"/>
      <c r="AH15" s="69">
        <v>28</v>
      </c>
      <c r="AI15" s="27">
        <v>15</v>
      </c>
      <c r="AJ15" s="27">
        <v>28</v>
      </c>
      <c r="AK15" s="27">
        <v>13</v>
      </c>
      <c r="AL15" s="166">
        <v>31</v>
      </c>
      <c r="AM15" s="68">
        <f>SUM(AI15:AL15)/4</f>
        <v>21.75</v>
      </c>
      <c r="AN15" s="61">
        <f>AK15</f>
        <v>13</v>
      </c>
      <c r="AO15" s="395">
        <f>AL15</f>
        <v>31</v>
      </c>
      <c r="AP15" s="467" t="s">
        <v>229</v>
      </c>
      <c r="AQ15" s="30"/>
      <c r="AR15" s="46">
        <v>0</v>
      </c>
      <c r="AS15" s="178">
        <v>5.32</v>
      </c>
      <c r="AT15" s="56">
        <v>5.32</v>
      </c>
      <c r="AU15" s="56">
        <v>5.32</v>
      </c>
      <c r="AV15" s="477">
        <v>5.32</v>
      </c>
      <c r="AW15" s="29" t="s">
        <v>162</v>
      </c>
      <c r="AY15" s="280"/>
      <c r="AZ15" s="267"/>
      <c r="BA15" s="100"/>
      <c r="BB15" s="279"/>
      <c r="BC15" s="100"/>
      <c r="BD15" s="100"/>
      <c r="BE15" s="100"/>
      <c r="BF15" s="100"/>
      <c r="BG15" s="509"/>
      <c r="BH15" s="267"/>
      <c r="BI15" s="279"/>
      <c r="BJ15" s="509"/>
      <c r="BK15" s="510"/>
      <c r="BL15" s="511"/>
      <c r="BM15" s="334"/>
    </row>
    <row r="16" spans="1:220">
      <c r="A16" s="37" t="s">
        <v>33</v>
      </c>
      <c r="B16" s="22"/>
      <c r="C16" s="173"/>
      <c r="D16" s="38"/>
      <c r="E16" s="23" t="s">
        <v>34</v>
      </c>
      <c r="F16" s="38"/>
      <c r="G16" s="39"/>
      <c r="H16" s="26"/>
      <c r="I16" s="26"/>
      <c r="J16" s="30"/>
      <c r="K16" s="432"/>
      <c r="L16" s="433"/>
      <c r="M16" s="433">
        <v>90926.9</v>
      </c>
      <c r="N16" s="433"/>
      <c r="O16" s="433"/>
      <c r="P16" s="433"/>
      <c r="Q16" s="514"/>
      <c r="R16" s="515">
        <v>0</v>
      </c>
      <c r="S16" s="515">
        <v>0</v>
      </c>
      <c r="T16" s="515">
        <v>0</v>
      </c>
      <c r="U16" s="430"/>
      <c r="V16" s="101"/>
      <c r="W16" s="440"/>
      <c r="X16" s="441"/>
      <c r="Y16" s="441"/>
      <c r="Z16" s="441"/>
      <c r="AA16" s="441"/>
      <c r="AB16" s="487"/>
      <c r="AC16" s="443"/>
      <c r="AD16" s="449"/>
      <c r="AE16" s="450"/>
      <c r="AF16" s="505"/>
      <c r="AG16" s="30"/>
      <c r="AH16" s="440"/>
      <c r="AI16" s="441"/>
      <c r="AJ16" s="441"/>
      <c r="AK16" s="441"/>
      <c r="AL16" s="442"/>
      <c r="AM16" s="458">
        <v>0</v>
      </c>
      <c r="AN16" s="459"/>
      <c r="AO16" s="460"/>
      <c r="AP16" s="447"/>
      <c r="AQ16" s="30"/>
      <c r="AR16" s="458">
        <v>0</v>
      </c>
      <c r="AS16" s="460">
        <v>0</v>
      </c>
      <c r="AT16" s="458">
        <v>0</v>
      </c>
      <c r="AU16" s="459"/>
      <c r="AV16" s="460"/>
      <c r="AW16" s="471"/>
      <c r="AY16" s="18"/>
      <c r="AZ16" s="20"/>
      <c r="BA16" s="34">
        <v>500000</v>
      </c>
      <c r="BB16" s="33"/>
      <c r="BC16" s="34">
        <v>650000</v>
      </c>
      <c r="BD16" s="34">
        <v>393000</v>
      </c>
      <c r="BE16" s="34"/>
      <c r="BF16" s="34"/>
      <c r="BG16" s="402">
        <f>BA16</f>
        <v>500000</v>
      </c>
      <c r="BH16" s="402">
        <v>500000</v>
      </c>
      <c r="BI16" s="402">
        <v>500000</v>
      </c>
      <c r="BJ16" s="402">
        <v>500000</v>
      </c>
      <c r="BK16" s="402">
        <v>500000</v>
      </c>
      <c r="BL16" s="402">
        <v>500000</v>
      </c>
      <c r="BM16" s="171" t="s">
        <v>162</v>
      </c>
    </row>
    <row r="17" spans="1:65">
      <c r="A17" s="37" t="s">
        <v>35</v>
      </c>
      <c r="B17" s="22"/>
      <c r="C17" s="173"/>
      <c r="D17" s="38"/>
      <c r="E17" s="23"/>
      <c r="F17" s="38"/>
      <c r="G17" s="39"/>
      <c r="H17" s="26"/>
      <c r="I17" s="26"/>
      <c r="J17" s="30"/>
      <c r="K17" s="22"/>
      <c r="L17" s="14"/>
      <c r="M17" s="43">
        <v>550.28</v>
      </c>
      <c r="N17" s="14"/>
      <c r="O17" s="14"/>
      <c r="P17" s="43">
        <v>39</v>
      </c>
      <c r="Q17" s="52" t="s">
        <v>36</v>
      </c>
      <c r="R17" s="137">
        <v>39</v>
      </c>
      <c r="S17" s="114">
        <v>6</v>
      </c>
      <c r="T17" s="138">
        <v>336</v>
      </c>
      <c r="U17" s="29" t="s">
        <v>233</v>
      </c>
      <c r="V17" s="101"/>
      <c r="W17" s="82"/>
      <c r="X17" s="14"/>
      <c r="Y17" s="14"/>
      <c r="Z17" s="14"/>
      <c r="AA17" s="14"/>
      <c r="AB17" s="488">
        <v>8</v>
      </c>
      <c r="AC17" s="55">
        <v>8</v>
      </c>
      <c r="AD17" s="54">
        <v>8</v>
      </c>
      <c r="AE17" s="394">
        <v>8</v>
      </c>
      <c r="AF17" s="29" t="s">
        <v>162</v>
      </c>
      <c r="AG17" s="30"/>
      <c r="AH17" s="440"/>
      <c r="AI17" s="441"/>
      <c r="AJ17" s="441"/>
      <c r="AK17" s="441"/>
      <c r="AL17" s="442"/>
      <c r="AM17" s="458">
        <v>0</v>
      </c>
      <c r="AN17" s="459"/>
      <c r="AO17" s="460"/>
      <c r="AP17" s="447"/>
      <c r="AQ17" s="30"/>
      <c r="AR17" s="458">
        <v>0</v>
      </c>
      <c r="AS17" s="460">
        <v>0</v>
      </c>
      <c r="AT17" s="458">
        <v>0</v>
      </c>
      <c r="AU17" s="459"/>
      <c r="AV17" s="460"/>
      <c r="AW17" s="471"/>
      <c r="AY17" s="280"/>
      <c r="AZ17" s="267"/>
      <c r="BA17" s="100"/>
      <c r="BB17" s="279"/>
      <c r="BC17" s="100"/>
      <c r="BD17" s="100"/>
      <c r="BE17" s="100"/>
      <c r="BF17" s="100"/>
      <c r="BG17" s="509"/>
      <c r="BH17" s="267"/>
      <c r="BI17" s="279"/>
      <c r="BJ17" s="509"/>
      <c r="BK17" s="510"/>
      <c r="BL17" s="511"/>
      <c r="BM17" s="334"/>
    </row>
    <row r="18" spans="1:65">
      <c r="A18" s="21" t="s">
        <v>37</v>
      </c>
      <c r="B18" s="22"/>
      <c r="C18" s="173"/>
      <c r="D18" s="38"/>
      <c r="E18" s="23"/>
      <c r="F18" s="38"/>
      <c r="G18" s="39"/>
      <c r="H18" s="26"/>
      <c r="I18" s="26"/>
      <c r="J18" s="30"/>
      <c r="K18" s="432"/>
      <c r="L18" s="433"/>
      <c r="M18" s="433"/>
      <c r="N18" s="433"/>
      <c r="O18" s="433"/>
      <c r="P18" s="433"/>
      <c r="Q18" s="514"/>
      <c r="R18" s="515">
        <v>0</v>
      </c>
      <c r="S18" s="515">
        <v>0</v>
      </c>
      <c r="T18" s="515">
        <v>0</v>
      </c>
      <c r="U18" s="430"/>
      <c r="V18" s="101"/>
      <c r="W18" s="440"/>
      <c r="X18" s="441"/>
      <c r="Y18" s="441"/>
      <c r="Z18" s="441"/>
      <c r="AA18" s="441"/>
      <c r="AB18" s="487"/>
      <c r="AC18" s="443"/>
      <c r="AD18" s="449"/>
      <c r="AE18" s="450"/>
      <c r="AF18" s="505"/>
      <c r="AG18" s="30"/>
      <c r="AH18" s="440"/>
      <c r="AI18" s="441"/>
      <c r="AJ18" s="441"/>
      <c r="AK18" s="441"/>
      <c r="AL18" s="442"/>
      <c r="AM18" s="458">
        <v>0</v>
      </c>
      <c r="AN18" s="459"/>
      <c r="AO18" s="460"/>
      <c r="AP18" s="447"/>
      <c r="AQ18" s="30"/>
      <c r="AR18" s="458">
        <v>0</v>
      </c>
      <c r="AS18" s="460">
        <v>0</v>
      </c>
      <c r="AT18" s="458">
        <v>0</v>
      </c>
      <c r="AU18" s="459"/>
      <c r="AV18" s="460"/>
      <c r="AW18" s="471"/>
      <c r="AY18" s="18"/>
      <c r="AZ18" s="20"/>
      <c r="BA18" s="37">
        <v>4000</v>
      </c>
      <c r="BB18" s="33"/>
      <c r="BC18" s="37">
        <v>3000</v>
      </c>
      <c r="BD18" s="37">
        <v>2600</v>
      </c>
      <c r="BE18" s="37">
        <v>1400</v>
      </c>
      <c r="BF18" s="37">
        <v>2600</v>
      </c>
      <c r="BG18" s="291">
        <f>BE18</f>
        <v>1400</v>
      </c>
      <c r="BH18" s="291">
        <f>BF18</f>
        <v>2600</v>
      </c>
      <c r="BI18" s="37">
        <v>3000</v>
      </c>
      <c r="BJ18" s="291">
        <f>BF18</f>
        <v>2600</v>
      </c>
      <c r="BK18" s="37">
        <v>2600</v>
      </c>
      <c r="BL18" s="37">
        <v>2600</v>
      </c>
      <c r="BM18" s="171" t="s">
        <v>245</v>
      </c>
    </row>
    <row r="19" spans="1:65">
      <c r="A19" s="21" t="s">
        <v>38</v>
      </c>
      <c r="B19" s="561" t="s">
        <v>22</v>
      </c>
      <c r="C19" s="173"/>
      <c r="D19" s="38"/>
      <c r="E19" s="23"/>
      <c r="F19" s="38"/>
      <c r="G19" s="39"/>
      <c r="H19" s="26"/>
      <c r="I19" s="26"/>
      <c r="J19" s="30"/>
      <c r="K19" s="432"/>
      <c r="L19" s="433"/>
      <c r="M19" s="433"/>
      <c r="N19" s="433"/>
      <c r="O19" s="433"/>
      <c r="P19" s="433"/>
      <c r="Q19" s="514"/>
      <c r="R19" s="515">
        <v>0</v>
      </c>
      <c r="S19" s="515">
        <v>0</v>
      </c>
      <c r="T19" s="515">
        <v>0</v>
      </c>
      <c r="U19" s="430"/>
      <c r="V19" s="101"/>
      <c r="W19" s="440"/>
      <c r="X19" s="441"/>
      <c r="Y19" s="441"/>
      <c r="Z19" s="441"/>
      <c r="AA19" s="441"/>
      <c r="AB19" s="487"/>
      <c r="AC19" s="443"/>
      <c r="AD19" s="449"/>
      <c r="AE19" s="450"/>
      <c r="AF19" s="505"/>
      <c r="AG19" s="30"/>
      <c r="AH19" s="440"/>
      <c r="AI19" s="441"/>
      <c r="AJ19" s="441"/>
      <c r="AK19" s="441"/>
      <c r="AL19" s="442"/>
      <c r="AM19" s="458">
        <v>0</v>
      </c>
      <c r="AN19" s="459"/>
      <c r="AO19" s="460"/>
      <c r="AP19" s="447"/>
      <c r="AQ19" s="30"/>
      <c r="AR19" s="458">
        <v>0</v>
      </c>
      <c r="AS19" s="460">
        <v>0</v>
      </c>
      <c r="AT19" s="458">
        <v>0</v>
      </c>
      <c r="AU19" s="459"/>
      <c r="AV19" s="460"/>
      <c r="AW19" s="471"/>
      <c r="AY19" s="18"/>
      <c r="AZ19" s="20"/>
      <c r="BA19" s="34">
        <v>100</v>
      </c>
      <c r="BB19" s="33"/>
      <c r="BC19" s="34">
        <v>2000</v>
      </c>
      <c r="BD19" s="34">
        <v>5700</v>
      </c>
      <c r="BE19" s="34">
        <v>736</v>
      </c>
      <c r="BF19" s="70">
        <v>5700</v>
      </c>
      <c r="BG19" s="403">
        <f>AVERAGE(BH19,BI19)</f>
        <v>1368</v>
      </c>
      <c r="BH19" s="403">
        <v>736</v>
      </c>
      <c r="BI19" s="52">
        <v>2000</v>
      </c>
      <c r="BJ19" s="291">
        <f>BF19</f>
        <v>5700</v>
      </c>
      <c r="BK19" s="291">
        <v>5700</v>
      </c>
      <c r="BL19" s="291">
        <f>BH19</f>
        <v>736</v>
      </c>
      <c r="BM19" s="171" t="s">
        <v>245</v>
      </c>
    </row>
    <row r="20" spans="1:65" ht="58">
      <c r="A20" s="21" t="s">
        <v>76</v>
      </c>
      <c r="B20" s="22"/>
      <c r="C20" s="173"/>
      <c r="D20" s="38"/>
      <c r="E20" s="23"/>
      <c r="F20" s="38"/>
      <c r="G20" s="25">
        <v>200</v>
      </c>
      <c r="H20" s="26"/>
      <c r="I20" s="26"/>
      <c r="J20" s="30"/>
      <c r="K20" s="432"/>
      <c r="L20" s="433"/>
      <c r="M20" s="433"/>
      <c r="N20" s="433"/>
      <c r="O20" s="433"/>
      <c r="P20" s="433"/>
      <c r="Q20" s="514"/>
      <c r="R20" s="515">
        <v>0</v>
      </c>
      <c r="S20" s="515">
        <v>0</v>
      </c>
      <c r="T20" s="515">
        <v>0</v>
      </c>
      <c r="U20" s="430"/>
      <c r="V20" s="101"/>
      <c r="W20" s="82"/>
      <c r="X20" s="14"/>
      <c r="Y20" s="14"/>
      <c r="Z20" s="14"/>
      <c r="AA20" s="14"/>
      <c r="AB20" s="59">
        <v>109</v>
      </c>
      <c r="AC20" s="62">
        <f>AVERAGE(109,G20)</f>
        <v>154.5</v>
      </c>
      <c r="AD20" s="27">
        <v>109</v>
      </c>
      <c r="AE20" s="395">
        <f>G20</f>
        <v>200</v>
      </c>
      <c r="AF20" s="504" t="s">
        <v>238</v>
      </c>
      <c r="AG20" s="30"/>
      <c r="AH20" s="22"/>
      <c r="AI20" s="14"/>
      <c r="AJ20" s="14"/>
      <c r="AK20" s="14"/>
      <c r="AL20" s="220">
        <v>1</v>
      </c>
      <c r="AM20" s="56">
        <v>1</v>
      </c>
      <c r="AN20" s="56">
        <v>1</v>
      </c>
      <c r="AO20" s="477">
        <v>1</v>
      </c>
      <c r="AP20" s="467" t="s">
        <v>162</v>
      </c>
      <c r="AQ20" s="30"/>
      <c r="AR20" s="458">
        <v>0</v>
      </c>
      <c r="AS20" s="460">
        <v>0</v>
      </c>
      <c r="AT20" s="458">
        <v>0</v>
      </c>
      <c r="AU20" s="459"/>
      <c r="AV20" s="460"/>
      <c r="AW20" s="471"/>
      <c r="AY20" s="18"/>
      <c r="AZ20" s="20"/>
      <c r="BA20" s="51">
        <v>3761</v>
      </c>
      <c r="BB20" s="33"/>
      <c r="BC20" s="34">
        <v>200</v>
      </c>
      <c r="BD20" s="34">
        <v>56</v>
      </c>
      <c r="BE20" s="51">
        <v>200</v>
      </c>
      <c r="BF20" s="70">
        <v>56</v>
      </c>
      <c r="BG20" s="402">
        <f>BE20</f>
        <v>200</v>
      </c>
      <c r="BH20" s="402">
        <v>200</v>
      </c>
      <c r="BI20" s="402">
        <f t="shared" ref="BI20" si="2">BG20</f>
        <v>200</v>
      </c>
      <c r="BJ20" s="81">
        <v>56</v>
      </c>
      <c r="BK20" s="81">
        <v>56</v>
      </c>
      <c r="BL20" s="81">
        <v>56</v>
      </c>
      <c r="BM20" s="171" t="s">
        <v>246</v>
      </c>
    </row>
    <row r="21" spans="1:65">
      <c r="A21" s="66" t="s">
        <v>39</v>
      </c>
      <c r="B21" s="22"/>
      <c r="C21" s="173"/>
      <c r="D21" s="38"/>
      <c r="E21" s="23"/>
      <c r="F21" s="38"/>
      <c r="G21" s="39"/>
      <c r="H21" s="26"/>
      <c r="I21" s="26"/>
      <c r="J21" s="30"/>
      <c r="K21" s="432"/>
      <c r="L21" s="433"/>
      <c r="M21" s="433"/>
      <c r="N21" s="433"/>
      <c r="O21" s="433"/>
      <c r="P21" s="433"/>
      <c r="Q21" s="514"/>
      <c r="R21" s="515">
        <v>0</v>
      </c>
      <c r="S21" s="515">
        <v>0</v>
      </c>
      <c r="T21" s="515">
        <v>0</v>
      </c>
      <c r="U21" s="430"/>
      <c r="V21" s="101"/>
      <c r="W21" s="440"/>
      <c r="X21" s="441"/>
      <c r="Y21" s="441"/>
      <c r="Z21" s="441"/>
      <c r="AA21" s="441"/>
      <c r="AB21" s="487"/>
      <c r="AC21" s="443"/>
      <c r="AD21" s="449"/>
      <c r="AE21" s="450"/>
      <c r="AF21" s="505"/>
      <c r="AG21" s="30"/>
      <c r="AH21" s="440"/>
      <c r="AI21" s="441"/>
      <c r="AJ21" s="441"/>
      <c r="AK21" s="441"/>
      <c r="AL21" s="442"/>
      <c r="AM21" s="440"/>
      <c r="AN21" s="441"/>
      <c r="AO21" s="442"/>
      <c r="AP21" s="447"/>
      <c r="AQ21" s="30"/>
      <c r="AR21" s="458">
        <v>0</v>
      </c>
      <c r="AS21" s="460">
        <v>0</v>
      </c>
      <c r="AT21" s="458">
        <v>0</v>
      </c>
      <c r="AU21" s="459"/>
      <c r="AV21" s="460"/>
      <c r="AW21" s="471"/>
      <c r="AY21" s="280"/>
      <c r="AZ21" s="267"/>
      <c r="BA21" s="100"/>
      <c r="BB21" s="279"/>
      <c r="BC21" s="100"/>
      <c r="BD21" s="100"/>
      <c r="BE21" s="100"/>
      <c r="BF21" s="100"/>
      <c r="BG21" s="509"/>
      <c r="BH21" s="267"/>
      <c r="BI21" s="279"/>
      <c r="BJ21" s="509"/>
      <c r="BK21" s="510"/>
      <c r="BL21" s="511"/>
      <c r="BM21" s="334"/>
    </row>
    <row r="22" spans="1:65" ht="21" customHeight="1">
      <c r="A22" s="21" t="s">
        <v>40</v>
      </c>
      <c r="B22" s="69">
        <v>1.3</v>
      </c>
      <c r="C22" s="173"/>
      <c r="D22" s="38"/>
      <c r="E22" s="24">
        <v>1</v>
      </c>
      <c r="F22" s="38"/>
      <c r="G22" s="72">
        <v>1800</v>
      </c>
      <c r="H22" s="26"/>
      <c r="I22" s="26"/>
      <c r="J22" s="30"/>
      <c r="K22" s="22"/>
      <c r="L22" s="14"/>
      <c r="M22" s="60">
        <v>1043.48</v>
      </c>
      <c r="N22" s="14"/>
      <c r="O22" s="14"/>
      <c r="P22" s="43">
        <v>1</v>
      </c>
      <c r="Q22" s="44" t="s">
        <v>41</v>
      </c>
      <c r="R22" s="137">
        <v>1.3</v>
      </c>
      <c r="S22" s="114">
        <v>1</v>
      </c>
      <c r="T22" s="138">
        <f>1800</f>
        <v>1800</v>
      </c>
      <c r="U22" s="29" t="s">
        <v>232</v>
      </c>
      <c r="V22" s="101"/>
      <c r="W22" s="82"/>
      <c r="X22" s="14"/>
      <c r="Y22" s="14"/>
      <c r="Z22" s="14"/>
      <c r="AA22" s="14"/>
      <c r="AB22" s="488">
        <v>16</v>
      </c>
      <c r="AC22" s="55">
        <v>16</v>
      </c>
      <c r="AD22" s="54">
        <v>16</v>
      </c>
      <c r="AE22" s="394">
        <v>16</v>
      </c>
      <c r="AF22" s="29" t="s">
        <v>162</v>
      </c>
      <c r="AG22" s="30"/>
      <c r="AH22" s="440"/>
      <c r="AI22" s="441"/>
      <c r="AJ22" s="441"/>
      <c r="AK22" s="441"/>
      <c r="AL22" s="442"/>
      <c r="AM22" s="440"/>
      <c r="AN22" s="441"/>
      <c r="AO22" s="442"/>
      <c r="AP22" s="447"/>
      <c r="AQ22" s="30"/>
      <c r="AR22" s="458">
        <v>0</v>
      </c>
      <c r="AS22" s="460">
        <v>0</v>
      </c>
      <c r="AT22" s="458"/>
      <c r="AU22" s="459"/>
      <c r="AV22" s="460"/>
      <c r="AW22" s="471"/>
      <c r="AY22" s="75">
        <v>940</v>
      </c>
      <c r="AZ22" s="28">
        <v>1800</v>
      </c>
      <c r="BA22" s="51">
        <v>1</v>
      </c>
      <c r="BB22" s="33"/>
      <c r="BC22" s="34">
        <v>940</v>
      </c>
      <c r="BD22" s="34">
        <v>1800</v>
      </c>
      <c r="BE22" s="51">
        <v>471</v>
      </c>
      <c r="BF22" s="70">
        <v>1800</v>
      </c>
      <c r="BG22" s="291">
        <f>AVERAGE(AY22,BE22)</f>
        <v>705.5</v>
      </c>
      <c r="BH22" s="37">
        <v>471</v>
      </c>
      <c r="BI22" s="37">
        <v>940</v>
      </c>
      <c r="BJ22" s="291">
        <f>1800</f>
        <v>1800</v>
      </c>
      <c r="BK22" s="291">
        <f>1800</f>
        <v>1800</v>
      </c>
      <c r="BL22" s="291">
        <f>1800</f>
        <v>1800</v>
      </c>
      <c r="BM22" s="171" t="s">
        <v>247</v>
      </c>
    </row>
    <row r="23" spans="1:65">
      <c r="A23" s="21" t="s">
        <v>42</v>
      </c>
      <c r="B23" s="82"/>
      <c r="C23" s="173"/>
      <c r="D23" s="38"/>
      <c r="E23" s="23"/>
      <c r="F23" s="38"/>
      <c r="G23" s="26"/>
      <c r="H23" s="26"/>
      <c r="I23" s="26"/>
      <c r="J23" s="30"/>
      <c r="K23" s="432"/>
      <c r="L23" s="433"/>
      <c r="M23" s="433"/>
      <c r="N23" s="433"/>
      <c r="O23" s="433"/>
      <c r="P23" s="433"/>
      <c r="Q23" s="514"/>
      <c r="R23" s="518"/>
      <c r="S23" s="519"/>
      <c r="T23" s="520"/>
      <c r="U23" s="430"/>
      <c r="V23" s="101"/>
      <c r="W23" s="440"/>
      <c r="X23" s="441"/>
      <c r="Y23" s="441"/>
      <c r="Z23" s="441"/>
      <c r="AA23" s="441"/>
      <c r="AB23" s="487"/>
      <c r="AC23" s="443"/>
      <c r="AD23" s="449"/>
      <c r="AE23" s="450"/>
      <c r="AF23" s="505"/>
      <c r="AG23" s="30"/>
      <c r="AH23" s="440"/>
      <c r="AI23" s="441"/>
      <c r="AJ23" s="441"/>
      <c r="AK23" s="441"/>
      <c r="AL23" s="442"/>
      <c r="AM23" s="458">
        <v>0</v>
      </c>
      <c r="AN23" s="459"/>
      <c r="AO23" s="460"/>
      <c r="AP23" s="447"/>
      <c r="AQ23" s="30"/>
      <c r="AR23" s="458">
        <v>0</v>
      </c>
      <c r="AS23" s="460">
        <v>0</v>
      </c>
      <c r="AT23" s="458">
        <v>0</v>
      </c>
      <c r="AU23" s="459"/>
      <c r="AV23" s="460"/>
      <c r="AW23" s="471"/>
      <c r="AY23" s="18"/>
      <c r="AZ23" s="20"/>
      <c r="BA23" s="37">
        <v>1145</v>
      </c>
      <c r="BB23" s="76">
        <v>2183</v>
      </c>
      <c r="BC23" s="34"/>
      <c r="BD23" s="34"/>
      <c r="BE23" s="34"/>
      <c r="BF23" s="70">
        <v>140</v>
      </c>
      <c r="BG23" s="11"/>
      <c r="BH23" s="11"/>
      <c r="BI23" s="78"/>
      <c r="BJ23" s="403">
        <v>140</v>
      </c>
      <c r="BK23" s="403">
        <v>140</v>
      </c>
      <c r="BL23" s="403">
        <v>140</v>
      </c>
      <c r="BM23" s="171" t="s">
        <v>248</v>
      </c>
    </row>
    <row r="24" spans="1:65">
      <c r="A24" s="52" t="s">
        <v>43</v>
      </c>
      <c r="B24" s="22"/>
      <c r="C24" s="173"/>
      <c r="D24" s="24">
        <v>8600</v>
      </c>
      <c r="E24" s="24">
        <v>7897</v>
      </c>
      <c r="F24" s="38"/>
      <c r="G24" s="39"/>
      <c r="H24" s="26"/>
      <c r="I24" s="26"/>
      <c r="J24" s="30"/>
      <c r="K24" s="22"/>
      <c r="L24" s="27">
        <v>8600</v>
      </c>
      <c r="M24" s="14"/>
      <c r="N24" s="14"/>
      <c r="O24" s="14"/>
      <c r="P24" s="14"/>
      <c r="Q24" s="41"/>
      <c r="R24" s="68">
        <v>8600</v>
      </c>
      <c r="S24" s="521">
        <v>7897</v>
      </c>
      <c r="T24" s="68">
        <v>8600</v>
      </c>
      <c r="U24" s="29" t="s">
        <v>234</v>
      </c>
      <c r="V24" s="101"/>
      <c r="W24" s="82"/>
      <c r="X24" s="14"/>
      <c r="Y24" s="40">
        <v>8600</v>
      </c>
      <c r="Z24" s="14"/>
      <c r="AA24" s="14"/>
      <c r="AB24" s="31"/>
      <c r="AC24" s="55">
        <v>8600</v>
      </c>
      <c r="AD24" s="54">
        <v>8600</v>
      </c>
      <c r="AE24" s="394">
        <v>8600</v>
      </c>
      <c r="AF24" s="29" t="s">
        <v>162</v>
      </c>
      <c r="AG24" s="30"/>
      <c r="AH24" s="22"/>
      <c r="AI24" s="40">
        <v>8600</v>
      </c>
      <c r="AJ24" s="14"/>
      <c r="AK24" s="14"/>
      <c r="AL24" s="219"/>
      <c r="AM24" s="56">
        <v>8600</v>
      </c>
      <c r="AN24" s="56">
        <v>8600</v>
      </c>
      <c r="AO24" s="477">
        <v>8600</v>
      </c>
      <c r="AP24" s="467" t="s">
        <v>162</v>
      </c>
      <c r="AQ24" s="30"/>
      <c r="AR24" s="56">
        <v>8600</v>
      </c>
      <c r="AS24" s="477"/>
      <c r="AT24" s="56">
        <v>8600</v>
      </c>
      <c r="AU24" s="56">
        <v>8600</v>
      </c>
      <c r="AV24" s="477">
        <v>8600</v>
      </c>
      <c r="AW24" s="29" t="s">
        <v>162</v>
      </c>
      <c r="AY24" s="77"/>
      <c r="AZ24" s="11"/>
      <c r="BA24" s="51">
        <v>100</v>
      </c>
      <c r="BB24" s="78"/>
      <c r="BC24" s="70"/>
      <c r="BD24" s="70"/>
      <c r="BE24" s="34"/>
      <c r="BF24" s="70"/>
      <c r="BG24" s="402">
        <v>100</v>
      </c>
      <c r="BH24" s="402">
        <v>100</v>
      </c>
      <c r="BI24" s="402">
        <v>100</v>
      </c>
      <c r="BJ24" s="402">
        <v>100</v>
      </c>
      <c r="BK24" s="402">
        <v>100</v>
      </c>
      <c r="BL24" s="402">
        <v>100</v>
      </c>
      <c r="BM24" s="171" t="s">
        <v>162</v>
      </c>
    </row>
    <row r="25" spans="1:65">
      <c r="A25" s="66" t="s">
        <v>44</v>
      </c>
      <c r="B25" s="22"/>
      <c r="C25" s="173"/>
      <c r="D25" s="448"/>
      <c r="E25" s="23"/>
      <c r="F25" s="38"/>
      <c r="G25" s="39"/>
      <c r="H25" s="26"/>
      <c r="I25" s="26"/>
      <c r="J25" s="30"/>
      <c r="K25" s="432"/>
      <c r="L25" s="433"/>
      <c r="M25" s="433"/>
      <c r="N25" s="433"/>
      <c r="O25" s="433"/>
      <c r="P25" s="433"/>
      <c r="Q25" s="514"/>
      <c r="R25" s="518"/>
      <c r="S25" s="519"/>
      <c r="T25" s="520"/>
      <c r="U25" s="430"/>
      <c r="V25" s="101"/>
      <c r="W25" s="440"/>
      <c r="X25" s="441"/>
      <c r="Y25" s="441"/>
      <c r="Z25" s="441"/>
      <c r="AA25" s="441"/>
      <c r="AB25" s="487"/>
      <c r="AC25" s="443"/>
      <c r="AD25" s="449"/>
      <c r="AE25" s="450"/>
      <c r="AF25" s="505"/>
      <c r="AG25" s="30"/>
      <c r="AH25" s="440"/>
      <c r="AI25" s="441"/>
      <c r="AJ25" s="441"/>
      <c r="AK25" s="441"/>
      <c r="AL25" s="442"/>
      <c r="AM25" s="440"/>
      <c r="AN25" s="441"/>
      <c r="AO25" s="442"/>
      <c r="AP25" s="447"/>
      <c r="AQ25" s="30"/>
      <c r="AR25" s="458">
        <v>0</v>
      </c>
      <c r="AS25" s="460">
        <v>0</v>
      </c>
      <c r="AT25" s="458">
        <v>0</v>
      </c>
      <c r="AU25" s="459"/>
      <c r="AV25" s="460"/>
      <c r="AW25" s="471"/>
      <c r="AY25" s="280"/>
      <c r="AZ25" s="267"/>
      <c r="BA25" s="100"/>
      <c r="BB25" s="279"/>
      <c r="BC25" s="100"/>
      <c r="BD25" s="100"/>
      <c r="BE25" s="100"/>
      <c r="BF25" s="100"/>
      <c r="BG25" s="509"/>
      <c r="BH25" s="267"/>
      <c r="BI25" s="279"/>
      <c r="BJ25" s="509"/>
      <c r="BK25" s="510"/>
      <c r="BL25" s="511"/>
      <c r="BM25" s="334"/>
    </row>
    <row r="26" spans="1:65" ht="43.5">
      <c r="A26" s="37" t="s">
        <v>45</v>
      </c>
      <c r="B26" s="22"/>
      <c r="C26" s="173"/>
      <c r="D26" s="38"/>
      <c r="E26" s="23"/>
      <c r="F26" s="38"/>
      <c r="G26" s="39"/>
      <c r="H26" s="26"/>
      <c r="I26" s="26"/>
      <c r="J26" s="30"/>
      <c r="K26" s="432"/>
      <c r="L26" s="433"/>
      <c r="M26" s="433"/>
      <c r="N26" s="433"/>
      <c r="O26" s="433"/>
      <c r="P26" s="433"/>
      <c r="Q26" s="514"/>
      <c r="R26" s="515"/>
      <c r="S26" s="516"/>
      <c r="T26" s="517"/>
      <c r="U26" s="430"/>
      <c r="V26" s="101"/>
      <c r="W26" s="440"/>
      <c r="X26" s="441"/>
      <c r="Y26" s="441"/>
      <c r="Z26" s="441"/>
      <c r="AA26" s="441"/>
      <c r="AB26" s="487"/>
      <c r="AC26" s="443"/>
      <c r="AD26" s="449"/>
      <c r="AE26" s="450"/>
      <c r="AF26" s="505"/>
      <c r="AG26" s="30"/>
      <c r="AH26" s="42">
        <v>161</v>
      </c>
      <c r="AI26" s="27">
        <v>35</v>
      </c>
      <c r="AJ26" s="43">
        <v>161</v>
      </c>
      <c r="AK26" s="27">
        <v>41</v>
      </c>
      <c r="AL26" s="166">
        <v>61</v>
      </c>
      <c r="AM26" s="62">
        <f>AVERAGE(AH26:AL26)</f>
        <v>91.8</v>
      </c>
      <c r="AN26" s="61">
        <f>MIN(AH26:AL26)</f>
        <v>35</v>
      </c>
      <c r="AO26" s="395">
        <f>MAX(AH26:AL26)</f>
        <v>161</v>
      </c>
      <c r="AP26" s="467" t="s">
        <v>229</v>
      </c>
      <c r="AQ26" s="30"/>
      <c r="AR26" s="458">
        <v>0</v>
      </c>
      <c r="AS26" s="460">
        <v>0</v>
      </c>
      <c r="AT26" s="458">
        <v>0</v>
      </c>
      <c r="AU26" s="459"/>
      <c r="AV26" s="460"/>
      <c r="AW26" s="471"/>
      <c r="AY26" s="280"/>
      <c r="AZ26" s="267"/>
      <c r="BA26" s="100"/>
      <c r="BB26" s="279"/>
      <c r="BC26" s="100"/>
      <c r="BD26" s="100"/>
      <c r="BE26" s="100"/>
      <c r="BF26" s="100"/>
      <c r="BG26" s="509"/>
      <c r="BH26" s="267"/>
      <c r="BI26" s="279"/>
      <c r="BJ26" s="509"/>
      <c r="BK26" s="510"/>
      <c r="BL26" s="511"/>
      <c r="BM26" s="334"/>
    </row>
    <row r="27" spans="1:65">
      <c r="A27" s="37" t="s">
        <v>46</v>
      </c>
      <c r="B27" s="69">
        <v>3948.3</v>
      </c>
      <c r="C27" s="173"/>
      <c r="D27" s="38"/>
      <c r="E27" s="24">
        <v>3948</v>
      </c>
      <c r="F27" s="38"/>
      <c r="G27" s="39"/>
      <c r="H27" s="26"/>
      <c r="I27" s="26"/>
      <c r="J27" s="30"/>
      <c r="K27" s="69">
        <v>6630</v>
      </c>
      <c r="L27" s="27">
        <v>4000</v>
      </c>
      <c r="M27" s="79"/>
      <c r="N27" s="27">
        <v>6629</v>
      </c>
      <c r="O27" s="14"/>
      <c r="P27" s="27">
        <v>6428</v>
      </c>
      <c r="Q27" s="41"/>
      <c r="R27" s="68">
        <f>SUM(N27,L27,K27,P27)/4</f>
        <v>5921.75</v>
      </c>
      <c r="S27" s="106">
        <f>B27</f>
        <v>3948.3</v>
      </c>
      <c r="T27" s="139">
        <f>K27</f>
        <v>6630</v>
      </c>
      <c r="U27" s="29" t="s">
        <v>229</v>
      </c>
      <c r="V27" s="101"/>
      <c r="W27" s="440"/>
      <c r="X27" s="441"/>
      <c r="Y27" s="441"/>
      <c r="Z27" s="441"/>
      <c r="AA27" s="441"/>
      <c r="AB27" s="487"/>
      <c r="AC27" s="443"/>
      <c r="AD27" s="449"/>
      <c r="AE27" s="450"/>
      <c r="AF27" s="505"/>
      <c r="AG27" s="30"/>
      <c r="AH27" s="440"/>
      <c r="AI27" s="441"/>
      <c r="AJ27" s="441"/>
      <c r="AK27" s="441"/>
      <c r="AL27" s="442"/>
      <c r="AM27" s="458">
        <v>0</v>
      </c>
      <c r="AN27" s="459"/>
      <c r="AO27" s="460"/>
      <c r="AP27" s="334"/>
      <c r="AQ27" s="30"/>
      <c r="AR27" s="56">
        <v>150</v>
      </c>
      <c r="AS27" s="484">
        <v>0</v>
      </c>
      <c r="AT27" s="56">
        <v>150</v>
      </c>
      <c r="AU27" s="56">
        <v>150</v>
      </c>
      <c r="AV27" s="477">
        <v>150</v>
      </c>
      <c r="AW27" s="29" t="s">
        <v>162</v>
      </c>
      <c r="AY27" s="280"/>
      <c r="AZ27" s="267"/>
      <c r="BA27" s="100"/>
      <c r="BB27" s="279"/>
      <c r="BC27" s="100"/>
      <c r="BD27" s="100"/>
      <c r="BE27" s="100"/>
      <c r="BF27" s="100"/>
      <c r="BG27" s="509"/>
      <c r="BH27" s="267"/>
      <c r="BI27" s="279"/>
      <c r="BJ27" s="509"/>
      <c r="BK27" s="510"/>
      <c r="BL27" s="511"/>
      <c r="BM27" s="334"/>
    </row>
    <row r="28" spans="1:65">
      <c r="A28" s="37" t="s">
        <v>47</v>
      </c>
      <c r="B28" s="82"/>
      <c r="C28" s="219"/>
      <c r="D28" s="38"/>
      <c r="E28" s="85">
        <v>79</v>
      </c>
      <c r="F28" s="38"/>
      <c r="G28" s="39"/>
      <c r="H28" s="26"/>
      <c r="I28" s="26"/>
      <c r="J28" s="30"/>
      <c r="K28" s="69">
        <v>36</v>
      </c>
      <c r="L28" s="27">
        <v>20</v>
      </c>
      <c r="M28" s="27">
        <v>25.5</v>
      </c>
      <c r="N28" s="27">
        <v>36</v>
      </c>
      <c r="O28" s="27">
        <v>10</v>
      </c>
      <c r="P28" s="27">
        <v>30</v>
      </c>
      <c r="Q28" s="41" t="s">
        <v>48</v>
      </c>
      <c r="R28" s="68">
        <f>(L28+N28+M28+O28+P28)/5</f>
        <v>24.3</v>
      </c>
      <c r="S28" s="106">
        <v>10</v>
      </c>
      <c r="T28" s="139">
        <v>80</v>
      </c>
      <c r="U28" s="29" t="s">
        <v>229</v>
      </c>
      <c r="V28" s="101"/>
      <c r="W28" s="440"/>
      <c r="X28" s="441"/>
      <c r="Y28" s="441"/>
      <c r="Z28" s="441"/>
      <c r="AA28" s="441"/>
      <c r="AB28" s="487"/>
      <c r="AC28" s="287"/>
      <c r="AD28" s="288"/>
      <c r="AE28" s="507"/>
      <c r="AF28" s="505"/>
      <c r="AG28" s="30"/>
      <c r="AH28" s="440"/>
      <c r="AI28" s="441"/>
      <c r="AJ28" s="441"/>
      <c r="AK28" s="441"/>
      <c r="AL28" s="442"/>
      <c r="AM28" s="458">
        <v>0</v>
      </c>
      <c r="AN28" s="459"/>
      <c r="AO28" s="460"/>
      <c r="AP28" s="447"/>
      <c r="AQ28" s="30"/>
      <c r="AR28" s="463">
        <v>0</v>
      </c>
      <c r="AS28" s="465">
        <v>0</v>
      </c>
      <c r="AT28" s="463">
        <v>0</v>
      </c>
      <c r="AU28" s="464"/>
      <c r="AV28" s="465"/>
      <c r="AW28" s="471"/>
      <c r="AY28" s="81">
        <v>13</v>
      </c>
      <c r="AZ28" s="35">
        <v>16</v>
      </c>
      <c r="BA28" s="21">
        <v>2000</v>
      </c>
      <c r="BB28" s="33"/>
      <c r="BC28" s="34">
        <v>13</v>
      </c>
      <c r="BD28" s="34">
        <v>16</v>
      </c>
      <c r="BE28" s="34">
        <v>8</v>
      </c>
      <c r="BF28" s="34">
        <v>12</v>
      </c>
      <c r="BG28" s="291">
        <f>AVERAGE(BE28,AY28)</f>
        <v>10.5</v>
      </c>
      <c r="BH28" s="28">
        <f>MIN(BE28,BC28,AY28)</f>
        <v>8</v>
      </c>
      <c r="BI28" s="76">
        <f>MAX(BE28,BC28,AY28)</f>
        <v>13</v>
      </c>
      <c r="BJ28" s="291">
        <f>AVERAGE(BF28,AZ28)</f>
        <v>14</v>
      </c>
      <c r="BK28" s="28">
        <f>MIN(BF28,BD28,AZ28)</f>
        <v>12</v>
      </c>
      <c r="BL28" s="76">
        <f>MAX(BF28,BD28,AZ28)</f>
        <v>16</v>
      </c>
      <c r="BM28" s="171"/>
    </row>
    <row r="29" spans="1:65" ht="13" customHeight="1">
      <c r="A29" s="37" t="s">
        <v>49</v>
      </c>
      <c r="B29" s="561" t="s">
        <v>22</v>
      </c>
      <c r="C29" s="166">
        <f>84.9*80000/100</f>
        <v>67920</v>
      </c>
      <c r="D29" s="24">
        <v>67900</v>
      </c>
      <c r="E29" s="23"/>
      <c r="F29" s="38"/>
      <c r="G29" s="72">
        <v>1200000</v>
      </c>
      <c r="H29" s="26"/>
      <c r="I29" s="26"/>
      <c r="J29" s="30"/>
      <c r="K29" s="22"/>
      <c r="L29" s="27">
        <v>67900</v>
      </c>
      <c r="M29" s="27">
        <f>M16*98/100</f>
        <v>89108.361999999994</v>
      </c>
      <c r="N29" s="14"/>
      <c r="O29" s="14"/>
      <c r="P29" s="14"/>
      <c r="Q29" s="41"/>
      <c r="R29" s="137">
        <f>AVERAGE(L29:M29,C29)</f>
        <v>74976.120666666669</v>
      </c>
      <c r="S29" s="114">
        <f>L29</f>
        <v>67900</v>
      </c>
      <c r="T29" s="138">
        <f>G29</f>
        <v>1200000</v>
      </c>
      <c r="U29" s="29" t="s">
        <v>235</v>
      </c>
      <c r="V29" s="101"/>
      <c r="W29" s="82"/>
      <c r="X29" s="14"/>
      <c r="Y29" s="40">
        <v>67900</v>
      </c>
      <c r="Z29" s="14"/>
      <c r="AA29" s="14"/>
      <c r="AB29" s="31"/>
      <c r="AC29" s="55">
        <v>67900</v>
      </c>
      <c r="AD29" s="54">
        <v>67900</v>
      </c>
      <c r="AE29" s="394">
        <v>67900</v>
      </c>
      <c r="AF29" s="29" t="s">
        <v>162</v>
      </c>
      <c r="AG29" s="30"/>
      <c r="AH29" s="22"/>
      <c r="AI29" s="40">
        <v>67900</v>
      </c>
      <c r="AJ29" s="14"/>
      <c r="AK29" s="14"/>
      <c r="AL29" s="219"/>
      <c r="AM29" s="56">
        <v>67900</v>
      </c>
      <c r="AN29" s="56">
        <v>67900</v>
      </c>
      <c r="AO29" s="477">
        <v>67900</v>
      </c>
      <c r="AP29" s="467" t="s">
        <v>162</v>
      </c>
      <c r="AQ29" s="30"/>
      <c r="AR29" s="56">
        <v>67900</v>
      </c>
      <c r="AS29" s="477"/>
      <c r="AT29" s="56">
        <v>67900</v>
      </c>
      <c r="AU29" s="56">
        <v>67900</v>
      </c>
      <c r="AV29" s="477">
        <v>67900</v>
      </c>
      <c r="AW29" s="29" t="s">
        <v>162</v>
      </c>
      <c r="AY29" s="18"/>
      <c r="AZ29" s="20"/>
      <c r="BA29" s="34"/>
      <c r="BB29" s="33"/>
      <c r="BC29" s="34"/>
      <c r="BD29" s="34"/>
      <c r="BE29" s="34">
        <v>583333</v>
      </c>
      <c r="BF29" s="70">
        <v>393000</v>
      </c>
      <c r="BG29" s="292"/>
      <c r="BH29" s="11"/>
      <c r="BI29" s="78"/>
      <c r="BJ29" s="292"/>
      <c r="BK29" s="50"/>
      <c r="BL29" s="405"/>
      <c r="BM29" s="171" t="s">
        <v>50</v>
      </c>
    </row>
    <row r="30" spans="1:65">
      <c r="A30" s="21" t="s">
        <v>51</v>
      </c>
      <c r="B30" s="82"/>
      <c r="C30" s="173"/>
      <c r="D30" s="23"/>
      <c r="E30" s="23"/>
      <c r="F30" s="38"/>
      <c r="G30" s="26"/>
      <c r="H30" s="26"/>
      <c r="I30" s="26"/>
      <c r="J30" s="30"/>
      <c r="K30" s="432"/>
      <c r="L30" s="433"/>
      <c r="M30" s="433"/>
      <c r="N30" s="433"/>
      <c r="O30" s="433"/>
      <c r="P30" s="433"/>
      <c r="Q30" s="514"/>
      <c r="R30" s="518"/>
      <c r="S30" s="519"/>
      <c r="T30" s="520"/>
      <c r="U30" s="430"/>
      <c r="V30" s="101"/>
      <c r="W30" s="440"/>
      <c r="X30" s="441"/>
      <c r="Y30" s="441"/>
      <c r="Z30" s="441"/>
      <c r="AA30" s="441"/>
      <c r="AB30" s="487"/>
      <c r="AC30" s="443"/>
      <c r="AD30" s="449"/>
      <c r="AE30" s="450"/>
      <c r="AF30" s="505"/>
      <c r="AG30" s="30"/>
      <c r="AH30" s="440"/>
      <c r="AI30" s="441"/>
      <c r="AJ30" s="441"/>
      <c r="AK30" s="441"/>
      <c r="AL30" s="442"/>
      <c r="AM30" s="440"/>
      <c r="AN30" s="441"/>
      <c r="AO30" s="442"/>
      <c r="AP30" s="447"/>
      <c r="AQ30" s="30"/>
      <c r="AR30" s="458">
        <v>0</v>
      </c>
      <c r="AS30" s="460">
        <v>0</v>
      </c>
      <c r="AT30" s="458">
        <v>0</v>
      </c>
      <c r="AU30" s="459"/>
      <c r="AV30" s="460"/>
      <c r="AW30" s="471"/>
      <c r="AY30" s="18"/>
      <c r="AZ30" s="20"/>
      <c r="BA30" s="34"/>
      <c r="BB30" s="33"/>
      <c r="BC30" s="34"/>
      <c r="BD30" s="34"/>
      <c r="BE30" s="34"/>
      <c r="BF30" s="70"/>
      <c r="BG30" s="292"/>
      <c r="BH30" s="11"/>
      <c r="BI30" s="78"/>
      <c r="BJ30" s="292"/>
      <c r="BK30" s="50"/>
      <c r="BL30" s="405"/>
      <c r="BM30" s="171"/>
    </row>
    <row r="31" spans="1:65" ht="87">
      <c r="A31" s="21" t="s">
        <v>52</v>
      </c>
      <c r="B31" s="22"/>
      <c r="C31" s="173"/>
      <c r="D31" s="38"/>
      <c r="E31" s="23"/>
      <c r="F31" s="38"/>
      <c r="G31" s="39"/>
      <c r="H31" s="26"/>
      <c r="I31" s="26"/>
      <c r="J31" s="30"/>
      <c r="K31" s="432"/>
      <c r="L31" s="433"/>
      <c r="M31" s="433"/>
      <c r="N31" s="433"/>
      <c r="O31" s="433"/>
      <c r="P31" s="433"/>
      <c r="Q31" s="514"/>
      <c r="R31" s="147"/>
      <c r="S31" s="146"/>
      <c r="T31" s="167"/>
      <c r="U31" s="435" t="s">
        <v>53</v>
      </c>
      <c r="V31" s="101"/>
      <c r="W31" s="218">
        <v>15.2</v>
      </c>
      <c r="X31" s="43">
        <v>156</v>
      </c>
      <c r="Y31" s="27">
        <v>52</v>
      </c>
      <c r="Z31" s="27">
        <v>156</v>
      </c>
      <c r="AA31" s="27">
        <v>70</v>
      </c>
      <c r="AB31" s="59">
        <v>92</v>
      </c>
      <c r="AC31" s="62">
        <f>AVERAGE(Y31:AB31,W31)</f>
        <v>77.039999999999992</v>
      </c>
      <c r="AD31" s="61">
        <f>MIN(X31:AB31)</f>
        <v>52</v>
      </c>
      <c r="AE31" s="395">
        <f>MAX(X31:AB31)</f>
        <v>156</v>
      </c>
      <c r="AF31" s="504" t="s">
        <v>241</v>
      </c>
      <c r="AG31" s="30"/>
      <c r="AH31" s="440"/>
      <c r="AI31" s="441"/>
      <c r="AJ31" s="441"/>
      <c r="AK31" s="441"/>
      <c r="AL31" s="442"/>
      <c r="AM31" s="458">
        <v>0</v>
      </c>
      <c r="AN31" s="459"/>
      <c r="AO31" s="460"/>
      <c r="AP31" s="447"/>
      <c r="AQ31" s="30"/>
      <c r="AR31" s="458">
        <v>0</v>
      </c>
      <c r="AS31" s="460">
        <v>0</v>
      </c>
      <c r="AT31" s="458">
        <v>0</v>
      </c>
      <c r="AU31" s="459"/>
      <c r="AV31" s="460"/>
      <c r="AW31" s="471"/>
      <c r="AY31" s="280"/>
      <c r="AZ31" s="267"/>
      <c r="BA31" s="100"/>
      <c r="BB31" s="279"/>
      <c r="BC31" s="100"/>
      <c r="BD31" s="100"/>
      <c r="BE31" s="100"/>
      <c r="BF31" s="100"/>
      <c r="BG31" s="509"/>
      <c r="BH31" s="267"/>
      <c r="BI31" s="279"/>
      <c r="BJ31" s="509"/>
      <c r="BK31" s="510"/>
      <c r="BL31" s="511"/>
      <c r="BM31" s="334"/>
    </row>
    <row r="32" spans="1:65">
      <c r="A32" s="66" t="s">
        <v>54</v>
      </c>
      <c r="B32" s="22"/>
      <c r="C32" s="173"/>
      <c r="D32" s="38"/>
      <c r="E32" s="23"/>
      <c r="F32" s="38"/>
      <c r="G32" s="39"/>
      <c r="H32" s="26"/>
      <c r="I32" s="26"/>
      <c r="J32" s="30"/>
      <c r="K32" s="432"/>
      <c r="L32" s="433"/>
      <c r="M32" s="433"/>
      <c r="N32" s="433"/>
      <c r="O32" s="433"/>
      <c r="P32" s="433"/>
      <c r="Q32" s="514"/>
      <c r="R32" s="147"/>
      <c r="S32" s="146"/>
      <c r="T32" s="167"/>
      <c r="U32" s="431"/>
      <c r="V32" s="101"/>
      <c r="W32" s="440"/>
      <c r="X32" s="449"/>
      <c r="Y32" s="449"/>
      <c r="Z32" s="449"/>
      <c r="AA32" s="449"/>
      <c r="AB32" s="502"/>
      <c r="AC32" s="443"/>
      <c r="AD32" s="449"/>
      <c r="AE32" s="450"/>
      <c r="AF32" s="505"/>
      <c r="AG32" s="30"/>
      <c r="AH32" s="440"/>
      <c r="AI32" s="441"/>
      <c r="AJ32" s="441"/>
      <c r="AK32" s="441"/>
      <c r="AL32" s="442"/>
      <c r="AM32" s="458">
        <v>0</v>
      </c>
      <c r="AN32" s="459"/>
      <c r="AO32" s="460"/>
      <c r="AP32" s="447"/>
      <c r="AQ32" s="30"/>
      <c r="AR32" s="458">
        <v>0</v>
      </c>
      <c r="AS32" s="460">
        <v>0</v>
      </c>
      <c r="AT32" s="458">
        <v>0</v>
      </c>
      <c r="AU32" s="459"/>
      <c r="AV32" s="460"/>
      <c r="AW32" s="471"/>
      <c r="AY32" s="280"/>
      <c r="AZ32" s="267"/>
      <c r="BA32" s="100"/>
      <c r="BB32" s="279"/>
      <c r="BC32" s="100"/>
      <c r="BD32" s="100"/>
      <c r="BE32" s="100"/>
      <c r="BF32" s="100"/>
      <c r="BG32" s="509"/>
      <c r="BH32" s="267"/>
      <c r="BI32" s="279"/>
      <c r="BJ32" s="509"/>
      <c r="BK32" s="510"/>
      <c r="BL32" s="511"/>
      <c r="BM32" s="334"/>
    </row>
    <row r="33" spans="1:65">
      <c r="A33" s="21" t="s">
        <v>55</v>
      </c>
      <c r="B33" s="22"/>
      <c r="C33" s="173"/>
      <c r="D33" s="38"/>
      <c r="E33" s="23"/>
      <c r="F33" s="24">
        <v>332</v>
      </c>
      <c r="G33" s="39"/>
      <c r="H33" s="26"/>
      <c r="I33" s="26"/>
      <c r="J33" s="30"/>
      <c r="K33" s="22"/>
      <c r="L33" s="14"/>
      <c r="M33" s="43">
        <v>10</v>
      </c>
      <c r="N33" s="14"/>
      <c r="O33" s="14"/>
      <c r="P33" s="14"/>
      <c r="Q33" s="37">
        <v>577</v>
      </c>
      <c r="R33" s="522">
        <f>AVERAGE(Q33,F33)</f>
        <v>454.5</v>
      </c>
      <c r="S33" s="523">
        <v>10</v>
      </c>
      <c r="T33" s="524">
        <f>Q33</f>
        <v>577</v>
      </c>
      <c r="U33" s="438" t="s">
        <v>236</v>
      </c>
      <c r="V33" s="30"/>
      <c r="W33" s="82"/>
      <c r="X33" s="14"/>
      <c r="Y33" s="14"/>
      <c r="Z33" s="14"/>
      <c r="AA33" s="14"/>
      <c r="AB33" s="31"/>
      <c r="AC33" s="53">
        <v>332</v>
      </c>
      <c r="AD33" s="40">
        <v>332</v>
      </c>
      <c r="AE33" s="220">
        <v>332</v>
      </c>
      <c r="AF33" s="29" t="s">
        <v>162</v>
      </c>
      <c r="AG33" s="30"/>
      <c r="AH33" s="22"/>
      <c r="AI33" s="14"/>
      <c r="AJ33" s="14"/>
      <c r="AK33" s="14"/>
      <c r="AL33" s="219"/>
      <c r="AM33" s="53">
        <v>332</v>
      </c>
      <c r="AN33" s="448">
        <v>332</v>
      </c>
      <c r="AO33" s="478">
        <v>332</v>
      </c>
      <c r="AP33" s="467" t="s">
        <v>162</v>
      </c>
      <c r="AQ33" s="30"/>
      <c r="AR33" s="46">
        <v>0</v>
      </c>
      <c r="AS33" s="484">
        <v>0</v>
      </c>
      <c r="AT33" s="53">
        <v>332</v>
      </c>
      <c r="AU33" s="448">
        <v>332</v>
      </c>
      <c r="AV33" s="478">
        <v>332</v>
      </c>
      <c r="AW33" s="29" t="s">
        <v>162</v>
      </c>
      <c r="AY33" s="280"/>
      <c r="AZ33" s="267"/>
      <c r="BA33" s="100"/>
      <c r="BB33" s="279"/>
      <c r="BC33" s="100"/>
      <c r="BD33" s="100"/>
      <c r="BE33" s="100"/>
      <c r="BF33" s="100"/>
      <c r="BG33" s="509"/>
      <c r="BH33" s="267"/>
      <c r="BI33" s="279"/>
      <c r="BJ33" s="509"/>
      <c r="BK33" s="510"/>
      <c r="BL33" s="511"/>
      <c r="BM33" s="334"/>
    </row>
    <row r="34" spans="1:65">
      <c r="A34" s="21" t="s">
        <v>56</v>
      </c>
      <c r="B34" s="22"/>
      <c r="C34" s="173"/>
      <c r="D34" s="38"/>
      <c r="E34" s="23"/>
      <c r="F34" s="85"/>
      <c r="G34" s="39"/>
      <c r="H34" s="26"/>
      <c r="I34" s="26"/>
      <c r="J34" s="30"/>
      <c r="K34" s="432"/>
      <c r="L34" s="433"/>
      <c r="M34" s="433"/>
      <c r="N34" s="433"/>
      <c r="O34" s="433"/>
      <c r="P34" s="433"/>
      <c r="Q34" s="514"/>
      <c r="R34" s="525"/>
      <c r="S34" s="526"/>
      <c r="T34" s="527"/>
      <c r="U34" s="436"/>
      <c r="V34" s="30"/>
      <c r="W34" s="440"/>
      <c r="X34" s="441"/>
      <c r="Y34" s="441"/>
      <c r="Z34" s="441"/>
      <c r="AA34" s="441"/>
      <c r="AB34" s="487"/>
      <c r="AC34" s="287"/>
      <c r="AD34" s="288"/>
      <c r="AE34" s="507"/>
      <c r="AF34" s="489"/>
      <c r="AG34" s="30"/>
      <c r="AH34" s="440"/>
      <c r="AI34" s="441"/>
      <c r="AJ34" s="441"/>
      <c r="AK34" s="441"/>
      <c r="AL34" s="442"/>
      <c r="AM34" s="458">
        <v>0</v>
      </c>
      <c r="AN34" s="459"/>
      <c r="AO34" s="460"/>
      <c r="AP34" s="447"/>
      <c r="AQ34" s="30"/>
      <c r="AR34" s="458">
        <v>0</v>
      </c>
      <c r="AS34" s="460">
        <v>0</v>
      </c>
      <c r="AT34" s="458">
        <v>0</v>
      </c>
      <c r="AU34" s="459"/>
      <c r="AV34" s="460"/>
      <c r="AW34" s="471"/>
      <c r="AY34" s="280"/>
      <c r="AZ34" s="267"/>
      <c r="BA34" s="100"/>
      <c r="BB34" s="279"/>
      <c r="BC34" s="100"/>
      <c r="BD34" s="100"/>
      <c r="BE34" s="100"/>
      <c r="BF34" s="100"/>
      <c r="BG34" s="509"/>
      <c r="BH34" s="267"/>
      <c r="BI34" s="279"/>
      <c r="BJ34" s="509"/>
      <c r="BK34" s="510"/>
      <c r="BL34" s="511"/>
      <c r="BM34" s="334"/>
    </row>
    <row r="35" spans="1:65">
      <c r="A35" s="21" t="s">
        <v>77</v>
      </c>
      <c r="B35" s="22"/>
      <c r="C35" s="173"/>
      <c r="D35" s="38"/>
      <c r="E35" s="23"/>
      <c r="F35" s="38"/>
      <c r="G35" s="73">
        <v>2</v>
      </c>
      <c r="H35" s="26"/>
      <c r="I35" s="26"/>
      <c r="J35" s="30"/>
      <c r="K35" s="22"/>
      <c r="L35" s="14"/>
      <c r="M35" s="43">
        <v>1.0999999999999999E-2</v>
      </c>
      <c r="N35" s="14"/>
      <c r="O35" s="14"/>
      <c r="P35" s="14"/>
      <c r="Q35" s="41"/>
      <c r="R35" s="525"/>
      <c r="S35" s="526"/>
      <c r="T35" s="527"/>
      <c r="U35" s="436"/>
      <c r="V35" s="30"/>
      <c r="W35" s="440"/>
      <c r="X35" s="441"/>
      <c r="Y35" s="441"/>
      <c r="Z35" s="441"/>
      <c r="AA35" s="441"/>
      <c r="AB35" s="487"/>
      <c r="AC35" s="287"/>
      <c r="AD35" s="288"/>
      <c r="AE35" s="507"/>
      <c r="AF35" s="489"/>
      <c r="AG35" s="30"/>
      <c r="AH35" s="440"/>
      <c r="AI35" s="441"/>
      <c r="AJ35" s="441"/>
      <c r="AK35" s="441"/>
      <c r="AL35" s="442"/>
      <c r="AM35" s="458">
        <v>0</v>
      </c>
      <c r="AN35" s="459"/>
      <c r="AO35" s="460"/>
      <c r="AP35" s="447"/>
      <c r="AQ35" s="30"/>
      <c r="AR35" s="463">
        <v>0</v>
      </c>
      <c r="AS35" s="465">
        <v>0</v>
      </c>
      <c r="AT35" s="463">
        <v>0</v>
      </c>
      <c r="AU35" s="464"/>
      <c r="AV35" s="465"/>
      <c r="AW35" s="471"/>
      <c r="AY35" s="280"/>
      <c r="AZ35" s="267"/>
      <c r="BA35" s="100"/>
      <c r="BB35" s="279"/>
      <c r="BC35" s="100"/>
      <c r="BD35" s="100"/>
      <c r="BE35" s="100">
        <v>2</v>
      </c>
      <c r="BF35" s="100">
        <v>2</v>
      </c>
      <c r="BG35" s="280">
        <v>2</v>
      </c>
      <c r="BH35" s="267"/>
      <c r="BI35" s="279"/>
      <c r="BJ35" s="280">
        <v>2</v>
      </c>
      <c r="BK35" s="267"/>
      <c r="BL35" s="279"/>
      <c r="BM35" s="334"/>
    </row>
    <row r="36" spans="1:65">
      <c r="A36" s="37" t="s">
        <v>57</v>
      </c>
      <c r="B36" s="22"/>
      <c r="C36" s="173"/>
      <c r="D36" s="38"/>
      <c r="E36" s="23"/>
      <c r="F36" s="38"/>
      <c r="G36" s="39"/>
      <c r="H36" s="26"/>
      <c r="I36" s="26"/>
      <c r="J36" s="30"/>
      <c r="K36" s="432"/>
      <c r="L36" s="433"/>
      <c r="M36" s="433"/>
      <c r="N36" s="433"/>
      <c r="O36" s="433"/>
      <c r="P36" s="433"/>
      <c r="Q36" s="148"/>
      <c r="R36" s="525"/>
      <c r="S36" s="526"/>
      <c r="T36" s="527"/>
      <c r="U36" s="436"/>
      <c r="V36" s="30"/>
      <c r="W36" s="440"/>
      <c r="X36" s="441"/>
      <c r="Y36" s="441"/>
      <c r="Z36" s="441"/>
      <c r="AA36" s="441"/>
      <c r="AB36" s="487"/>
      <c r="AC36" s="287"/>
      <c r="AD36" s="288"/>
      <c r="AE36" s="507"/>
      <c r="AF36" s="489"/>
      <c r="AG36" s="30"/>
      <c r="AH36" s="440"/>
      <c r="AI36" s="441"/>
      <c r="AJ36" s="441"/>
      <c r="AK36" s="441"/>
      <c r="AL36" s="442"/>
      <c r="AM36" s="458">
        <v>0</v>
      </c>
      <c r="AN36" s="459"/>
      <c r="AO36" s="460"/>
      <c r="AP36" s="447"/>
      <c r="AQ36" s="30"/>
      <c r="AR36" s="463">
        <v>0</v>
      </c>
      <c r="AS36" s="465">
        <v>0</v>
      </c>
      <c r="AT36" s="463">
        <v>0</v>
      </c>
      <c r="AU36" s="464"/>
      <c r="AV36" s="465"/>
      <c r="AW36" s="471"/>
      <c r="AY36" s="280"/>
      <c r="AZ36" s="267"/>
      <c r="BA36" s="100"/>
      <c r="BB36" s="279"/>
      <c r="BC36" s="100"/>
      <c r="BD36" s="100"/>
      <c r="BE36" s="100"/>
      <c r="BF36" s="100"/>
      <c r="BG36" s="280"/>
      <c r="BH36" s="267"/>
      <c r="BI36" s="279"/>
      <c r="BJ36" s="280"/>
      <c r="BK36" s="267"/>
      <c r="BL36" s="279"/>
      <c r="BM36" s="334"/>
    </row>
    <row r="37" spans="1:65" ht="58">
      <c r="A37" s="21" t="s">
        <v>58</v>
      </c>
      <c r="B37" s="42">
        <v>29.99</v>
      </c>
      <c r="C37" s="173"/>
      <c r="D37" s="38"/>
      <c r="E37" s="24">
        <v>30</v>
      </c>
      <c r="F37" s="24">
        <v>56</v>
      </c>
      <c r="G37" s="25">
        <v>1400</v>
      </c>
      <c r="H37" s="26"/>
      <c r="I37" s="26"/>
      <c r="J37" s="30"/>
      <c r="K37" s="22"/>
      <c r="L37" s="14"/>
      <c r="M37" s="27">
        <v>2523.04</v>
      </c>
      <c r="N37" s="14"/>
      <c r="O37" s="14"/>
      <c r="P37" s="14"/>
      <c r="Q37" s="41"/>
      <c r="R37" s="528">
        <f>AVERAGE(M37,E37,(F37+G37),B37)</f>
        <v>1009.7574999999999</v>
      </c>
      <c r="S37" s="523">
        <f>B37</f>
        <v>29.99</v>
      </c>
      <c r="T37" s="523">
        <f>M37</f>
        <v>2523.04</v>
      </c>
      <c r="U37" s="439" t="s">
        <v>237</v>
      </c>
      <c r="V37" s="30"/>
      <c r="W37" s="82"/>
      <c r="X37" s="14"/>
      <c r="Y37" s="14"/>
      <c r="Z37" s="14"/>
      <c r="AA37" s="14"/>
      <c r="AB37" s="31"/>
      <c r="AC37" s="42">
        <f>AVERAGE(E37,(F37+G37),B37)</f>
        <v>505.33</v>
      </c>
      <c r="AD37" s="43">
        <f>B37</f>
        <v>29.99</v>
      </c>
      <c r="AE37" s="175">
        <f>G37</f>
        <v>1400</v>
      </c>
      <c r="AF37" s="439" t="s">
        <v>237</v>
      </c>
      <c r="AG37" s="30"/>
      <c r="AH37" s="22"/>
      <c r="AI37" s="14"/>
      <c r="AJ37" s="14"/>
      <c r="AK37" s="14"/>
      <c r="AL37" s="219"/>
      <c r="AM37" s="42">
        <v>505.33</v>
      </c>
      <c r="AN37" s="43">
        <v>29.99</v>
      </c>
      <c r="AO37" s="175">
        <v>1400</v>
      </c>
      <c r="AP37" s="388" t="s">
        <v>237</v>
      </c>
      <c r="AQ37" s="30"/>
      <c r="AR37" s="32">
        <v>0</v>
      </c>
      <c r="AS37" s="485">
        <v>0</v>
      </c>
      <c r="AT37" s="42">
        <v>505.33</v>
      </c>
      <c r="AU37" s="43">
        <v>29.99</v>
      </c>
      <c r="AV37" s="175">
        <v>1400</v>
      </c>
      <c r="AW37" s="472" t="s">
        <v>237</v>
      </c>
      <c r="AY37" s="18"/>
      <c r="AZ37" s="20"/>
      <c r="BA37" s="51">
        <v>100</v>
      </c>
      <c r="BB37" s="33"/>
      <c r="BC37" s="34"/>
      <c r="BD37" s="34"/>
      <c r="BE37" s="51">
        <v>650</v>
      </c>
      <c r="BF37" s="34">
        <v>1400</v>
      </c>
      <c r="BG37" s="81">
        <f>BE37</f>
        <v>650</v>
      </c>
      <c r="BH37" s="51">
        <v>650</v>
      </c>
      <c r="BI37" s="51">
        <v>650</v>
      </c>
      <c r="BJ37" s="81">
        <f>BF37</f>
        <v>1400</v>
      </c>
      <c r="BK37" s="51">
        <v>1400</v>
      </c>
      <c r="BL37" s="51">
        <v>1400</v>
      </c>
      <c r="BM37" s="171" t="s">
        <v>59</v>
      </c>
    </row>
    <row r="38" spans="1:65" ht="15" thickBot="1">
      <c r="A38" s="37" t="s">
        <v>60</v>
      </c>
      <c r="B38" s="236"/>
      <c r="C38" s="562"/>
      <c r="D38" s="38"/>
      <c r="E38" s="26"/>
      <c r="F38" s="26"/>
      <c r="G38" s="26"/>
      <c r="H38" s="26"/>
      <c r="I38" s="26"/>
      <c r="J38" s="30"/>
      <c r="K38" s="432"/>
      <c r="L38" s="433"/>
      <c r="M38" s="433"/>
      <c r="N38" s="433"/>
      <c r="O38" s="433"/>
      <c r="P38" s="433"/>
      <c r="Q38" s="514"/>
      <c r="R38" s="525"/>
      <c r="S38" s="526"/>
      <c r="T38" s="527"/>
      <c r="U38" s="437"/>
      <c r="V38" s="30"/>
      <c r="W38" s="451"/>
      <c r="X38" s="452"/>
      <c r="Y38" s="452"/>
      <c r="Z38" s="452"/>
      <c r="AA38" s="452"/>
      <c r="AB38" s="503"/>
      <c r="AC38" s="283"/>
      <c r="AD38" s="281"/>
      <c r="AE38" s="282"/>
      <c r="AF38" s="506"/>
      <c r="AG38" s="30"/>
      <c r="AH38" s="451"/>
      <c r="AI38" s="452"/>
      <c r="AJ38" s="452"/>
      <c r="AK38" s="452"/>
      <c r="AL38" s="453"/>
      <c r="AM38" s="498">
        <v>0</v>
      </c>
      <c r="AN38" s="499"/>
      <c r="AO38" s="500"/>
      <c r="AP38" s="501"/>
      <c r="AQ38" s="30"/>
      <c r="AR38" s="479">
        <v>0</v>
      </c>
      <c r="AS38" s="481">
        <v>0</v>
      </c>
      <c r="AT38" s="479">
        <v>0</v>
      </c>
      <c r="AU38" s="480"/>
      <c r="AV38" s="481"/>
      <c r="AW38" s="473"/>
      <c r="AY38" s="280"/>
      <c r="AZ38" s="267"/>
      <c r="BA38" s="100"/>
      <c r="BB38" s="279"/>
      <c r="BC38" s="100"/>
      <c r="BD38" s="100"/>
      <c r="BE38" s="100"/>
      <c r="BF38" s="100"/>
      <c r="BG38" s="280"/>
      <c r="BH38" s="267"/>
      <c r="BI38" s="279"/>
      <c r="BJ38" s="280"/>
      <c r="BK38" s="267"/>
      <c r="BL38" s="279"/>
      <c r="BM38" s="334"/>
    </row>
    <row r="39" spans="1:65" s="1" customFormat="1" ht="15" thickBot="1">
      <c r="AY39" s="539"/>
      <c r="AZ39" s="540"/>
      <c r="BA39" s="549"/>
      <c r="BB39" s="541"/>
      <c r="BC39" s="549"/>
      <c r="BD39" s="549"/>
      <c r="BE39" s="549"/>
      <c r="BF39" s="549"/>
      <c r="BG39" s="550"/>
      <c r="BH39" s="11"/>
      <c r="BI39" s="78"/>
      <c r="BJ39" s="550"/>
      <c r="BK39" s="551"/>
      <c r="BL39" s="552"/>
      <c r="BM39" s="172"/>
    </row>
    <row r="40" spans="1:65" s="1" customFormat="1">
      <c r="BG40" s="396"/>
      <c r="BH40" s="396"/>
      <c r="BI40" s="396"/>
      <c r="BJ40" s="396"/>
      <c r="BK40" s="396"/>
      <c r="BL40" s="396"/>
    </row>
    <row r="41" spans="1:65" s="1" customFormat="1"/>
    <row r="42" spans="1:65" s="1" customFormat="1"/>
    <row r="43" spans="1:65" s="1" customFormat="1"/>
    <row r="44" spans="1:65" s="1" customFormat="1"/>
    <row r="45" spans="1:65" s="1" customFormat="1"/>
    <row r="46" spans="1:65" s="1" customFormat="1"/>
    <row r="47" spans="1:65" s="1" customFormat="1"/>
    <row r="48" spans="1:65" s="1" customFormat="1"/>
    <row r="49" spans="59:64" s="1" customFormat="1"/>
    <row r="50" spans="59:64" s="1" customFormat="1"/>
    <row r="51" spans="59:64" s="1" customFormat="1"/>
    <row r="52" spans="59:64" s="1" customFormat="1"/>
    <row r="53" spans="59:64" s="1" customFormat="1"/>
    <row r="54" spans="59:64" s="1" customFormat="1"/>
    <row r="55" spans="59:64" s="1" customFormat="1"/>
    <row r="56" spans="59:64" s="1" customFormat="1"/>
    <row r="57" spans="59:64" s="1" customFormat="1"/>
    <row r="58" spans="59:64" s="1" customFormat="1"/>
    <row r="59" spans="59:64" s="1" customFormat="1"/>
    <row r="60" spans="59:64" s="1" customFormat="1"/>
    <row r="61" spans="59:64" s="1" customFormat="1">
      <c r="BG61" s="396"/>
      <c r="BH61" s="396"/>
      <c r="BI61" s="396"/>
      <c r="BJ61" s="396"/>
      <c r="BK61" s="396"/>
      <c r="BL61" s="396"/>
    </row>
    <row r="62" spans="59:64" s="1" customFormat="1">
      <c r="BG62" s="396"/>
      <c r="BH62" s="396"/>
      <c r="BI62" s="396"/>
      <c r="BJ62" s="396"/>
      <c r="BK62" s="396"/>
      <c r="BL62" s="396"/>
    </row>
    <row r="63" spans="59:64" s="1" customFormat="1">
      <c r="BG63" s="396"/>
      <c r="BH63" s="396"/>
      <c r="BI63" s="396"/>
      <c r="BJ63" s="396"/>
      <c r="BK63" s="396"/>
      <c r="BL63" s="396"/>
    </row>
    <row r="64" spans="59:64" s="1" customFormat="1">
      <c r="BG64" s="396"/>
      <c r="BH64" s="396"/>
      <c r="BI64" s="396"/>
      <c r="BJ64" s="396"/>
      <c r="BK64" s="396"/>
      <c r="BL64" s="396"/>
    </row>
    <row r="65" spans="59:64" s="1" customFormat="1">
      <c r="BG65" s="396"/>
      <c r="BH65" s="396"/>
      <c r="BI65" s="396"/>
      <c r="BJ65" s="396"/>
      <c r="BK65" s="396"/>
      <c r="BL65" s="396"/>
    </row>
    <row r="66" spans="59:64" s="1" customFormat="1">
      <c r="BG66" s="396"/>
      <c r="BH66" s="396"/>
      <c r="BI66" s="396"/>
      <c r="BJ66" s="396"/>
      <c r="BK66" s="396"/>
      <c r="BL66" s="396"/>
    </row>
    <row r="67" spans="59:64" s="1" customFormat="1">
      <c r="BG67" s="396"/>
      <c r="BH67" s="396"/>
      <c r="BI67" s="396"/>
      <c r="BJ67" s="396"/>
      <c r="BK67" s="396"/>
      <c r="BL67" s="396"/>
    </row>
    <row r="68" spans="59:64" s="1" customFormat="1">
      <c r="BG68" s="396"/>
      <c r="BH68" s="396"/>
      <c r="BI68" s="396"/>
      <c r="BJ68" s="396"/>
      <c r="BK68" s="396"/>
      <c r="BL68" s="396"/>
    </row>
    <row r="69" spans="59:64" s="1" customFormat="1">
      <c r="BG69" s="396"/>
      <c r="BH69" s="396"/>
      <c r="BI69" s="396"/>
      <c r="BJ69" s="396"/>
      <c r="BK69" s="396"/>
      <c r="BL69" s="396"/>
    </row>
    <row r="70" spans="59:64" s="1" customFormat="1">
      <c r="BG70" s="396"/>
      <c r="BH70" s="396"/>
      <c r="BI70" s="396"/>
      <c r="BJ70" s="396"/>
      <c r="BK70" s="396"/>
      <c r="BL70" s="396"/>
    </row>
    <row r="71" spans="59:64" s="1" customFormat="1">
      <c r="BG71" s="396"/>
      <c r="BH71" s="396"/>
      <c r="BI71" s="396"/>
      <c r="BJ71" s="396"/>
      <c r="BK71" s="396"/>
      <c r="BL71" s="396"/>
    </row>
    <row r="72" spans="59:64" s="1" customFormat="1">
      <c r="BG72" s="396"/>
      <c r="BH72" s="396"/>
      <c r="BI72" s="396"/>
      <c r="BJ72" s="396"/>
      <c r="BK72" s="396"/>
      <c r="BL72" s="396"/>
    </row>
    <row r="73" spans="59:64" s="1" customFormat="1">
      <c r="BG73" s="396"/>
      <c r="BH73" s="396"/>
      <c r="BI73" s="396"/>
      <c r="BJ73" s="396"/>
      <c r="BK73" s="396"/>
      <c r="BL73" s="396"/>
    </row>
    <row r="74" spans="59:64" s="1" customFormat="1">
      <c r="BG74" s="396"/>
      <c r="BH74" s="396"/>
      <c r="BI74" s="396"/>
      <c r="BJ74" s="396"/>
      <c r="BK74" s="396"/>
      <c r="BL74" s="396"/>
    </row>
    <row r="75" spans="59:64" s="1" customFormat="1">
      <c r="BG75" s="396"/>
      <c r="BH75" s="396"/>
      <c r="BI75" s="396"/>
      <c r="BJ75" s="396"/>
      <c r="BK75" s="396"/>
      <c r="BL75" s="396"/>
    </row>
    <row r="76" spans="59:64" s="1" customFormat="1">
      <c r="BG76" s="396"/>
      <c r="BH76" s="396"/>
      <c r="BI76" s="396"/>
      <c r="BJ76" s="396"/>
      <c r="BK76" s="396"/>
      <c r="BL76" s="396"/>
    </row>
    <row r="77" spans="59:64" s="1" customFormat="1">
      <c r="BG77" s="396"/>
      <c r="BH77" s="396"/>
      <c r="BI77" s="396"/>
      <c r="BJ77" s="396"/>
      <c r="BK77" s="396"/>
      <c r="BL77" s="396"/>
    </row>
    <row r="78" spans="59:64" s="1" customFormat="1">
      <c r="BG78" s="396"/>
      <c r="BH78" s="396"/>
      <c r="BI78" s="396"/>
      <c r="BJ78" s="396"/>
      <c r="BK78" s="396"/>
      <c r="BL78" s="396"/>
    </row>
    <row r="79" spans="59:64" s="1" customFormat="1">
      <c r="BG79" s="396"/>
      <c r="BH79" s="396"/>
      <c r="BI79" s="396"/>
      <c r="BJ79" s="396"/>
      <c r="BK79" s="396"/>
      <c r="BL79" s="396"/>
    </row>
    <row r="80" spans="59:64" s="1" customFormat="1">
      <c r="BG80" s="396"/>
      <c r="BH80" s="396"/>
      <c r="BI80" s="396"/>
      <c r="BJ80" s="396"/>
      <c r="BK80" s="396"/>
      <c r="BL80" s="396"/>
    </row>
    <row r="81" spans="59:64" s="1" customFormat="1">
      <c r="BG81" s="396"/>
      <c r="BH81" s="396"/>
      <c r="BI81" s="396"/>
      <c r="BJ81" s="396"/>
      <c r="BK81" s="396"/>
      <c r="BL81" s="396"/>
    </row>
    <row r="82" spans="59:64" s="1" customFormat="1">
      <c r="BG82" s="396"/>
      <c r="BH82" s="396"/>
      <c r="BI82" s="396"/>
      <c r="BJ82" s="396"/>
      <c r="BK82" s="396"/>
      <c r="BL82" s="396"/>
    </row>
    <row r="83" spans="59:64" s="1" customFormat="1">
      <c r="BG83" s="396"/>
      <c r="BH83" s="396"/>
      <c r="BI83" s="396"/>
      <c r="BJ83" s="396"/>
      <c r="BK83" s="396"/>
      <c r="BL83" s="396"/>
    </row>
    <row r="84" spans="59:64" s="1" customFormat="1">
      <c r="BG84" s="396"/>
      <c r="BH84" s="396"/>
      <c r="BI84" s="396"/>
      <c r="BJ84" s="396"/>
      <c r="BK84" s="396"/>
      <c r="BL84" s="396"/>
    </row>
    <row r="85" spans="59:64" s="1" customFormat="1">
      <c r="BG85" s="396"/>
      <c r="BH85" s="396"/>
      <c r="BI85" s="396"/>
      <c r="BJ85" s="396"/>
      <c r="BK85" s="396"/>
      <c r="BL85" s="396"/>
    </row>
    <row r="86" spans="59:64" s="1" customFormat="1">
      <c r="BG86" s="396"/>
      <c r="BH86" s="396"/>
      <c r="BI86" s="396"/>
      <c r="BJ86" s="396"/>
      <c r="BK86" s="396"/>
      <c r="BL86" s="396"/>
    </row>
    <row r="87" spans="59:64" s="1" customFormat="1">
      <c r="BG87" s="396"/>
      <c r="BH87" s="396"/>
      <c r="BI87" s="396"/>
      <c r="BJ87" s="396"/>
      <c r="BK87" s="396"/>
      <c r="BL87" s="396"/>
    </row>
    <row r="88" spans="59:64" s="1" customFormat="1">
      <c r="BG88" s="396"/>
      <c r="BH88" s="396"/>
      <c r="BI88" s="396"/>
      <c r="BJ88" s="396"/>
      <c r="BK88" s="396"/>
      <c r="BL88" s="396"/>
    </row>
    <row r="89" spans="59:64" s="1" customFormat="1">
      <c r="BG89" s="396"/>
      <c r="BH89" s="396"/>
      <c r="BI89" s="396"/>
      <c r="BJ89" s="396"/>
      <c r="BK89" s="396"/>
      <c r="BL89" s="396"/>
    </row>
    <row r="90" spans="59:64" s="1" customFormat="1">
      <c r="BG90" s="396"/>
      <c r="BH90" s="396"/>
      <c r="BI90" s="396"/>
      <c r="BJ90" s="396"/>
      <c r="BK90" s="396"/>
      <c r="BL90" s="396"/>
    </row>
    <row r="91" spans="59:64" s="1" customFormat="1">
      <c r="BG91" s="396"/>
      <c r="BH91" s="396"/>
      <c r="BI91" s="396"/>
      <c r="BJ91" s="396"/>
      <c r="BK91" s="396"/>
      <c r="BL91" s="396"/>
    </row>
    <row r="92" spans="59:64" s="1" customFormat="1">
      <c r="BG92" s="396"/>
      <c r="BH92" s="396"/>
      <c r="BI92" s="396"/>
      <c r="BJ92" s="396"/>
      <c r="BK92" s="396"/>
      <c r="BL92" s="396"/>
    </row>
    <row r="93" spans="59:64" s="1" customFormat="1">
      <c r="BG93" s="396"/>
      <c r="BH93" s="396"/>
      <c r="BI93" s="396"/>
      <c r="BJ93" s="396"/>
      <c r="BK93" s="396"/>
      <c r="BL93" s="396"/>
    </row>
    <row r="94" spans="59:64" s="1" customFormat="1">
      <c r="BG94" s="396"/>
      <c r="BH94" s="396"/>
      <c r="BI94" s="396"/>
      <c r="BJ94" s="396"/>
      <c r="BK94" s="396"/>
      <c r="BL94" s="396"/>
    </row>
    <row r="95" spans="59:64" s="1" customFormat="1">
      <c r="BG95" s="396"/>
      <c r="BH95" s="396"/>
      <c r="BI95" s="396"/>
      <c r="BJ95" s="396"/>
      <c r="BK95" s="396"/>
      <c r="BL95" s="396"/>
    </row>
    <row r="96" spans="59:64" s="1" customFormat="1">
      <c r="BG96" s="396"/>
      <c r="BH96" s="396"/>
      <c r="BI96" s="396"/>
      <c r="BJ96" s="396"/>
      <c r="BK96" s="396"/>
      <c r="BL96" s="396"/>
    </row>
    <row r="97" spans="59:64" s="1" customFormat="1">
      <c r="BG97" s="396"/>
      <c r="BH97" s="396"/>
      <c r="BI97" s="396"/>
      <c r="BJ97" s="396"/>
      <c r="BK97" s="396"/>
      <c r="BL97" s="396"/>
    </row>
    <row r="98" spans="59:64" s="1" customFormat="1">
      <c r="BG98" s="396"/>
      <c r="BH98" s="396"/>
      <c r="BI98" s="396"/>
      <c r="BJ98" s="396"/>
      <c r="BK98" s="396"/>
      <c r="BL98" s="396"/>
    </row>
    <row r="99" spans="59:64" s="1" customFormat="1">
      <c r="BG99" s="396"/>
      <c r="BH99" s="396"/>
      <c r="BI99" s="396"/>
      <c r="BJ99" s="396"/>
      <c r="BK99" s="396"/>
      <c r="BL99" s="396"/>
    </row>
    <row r="100" spans="59:64" s="1" customFormat="1">
      <c r="BG100" s="396"/>
      <c r="BH100" s="396"/>
      <c r="BI100" s="396"/>
      <c r="BJ100" s="396"/>
      <c r="BK100" s="396"/>
      <c r="BL100" s="396"/>
    </row>
    <row r="101" spans="59:64" s="1" customFormat="1">
      <c r="BG101" s="396"/>
      <c r="BH101" s="396"/>
      <c r="BI101" s="396"/>
      <c r="BJ101" s="396"/>
      <c r="BK101" s="396"/>
      <c r="BL101" s="396"/>
    </row>
    <row r="102" spans="59:64" s="1" customFormat="1">
      <c r="BG102" s="396"/>
      <c r="BH102" s="396"/>
      <c r="BI102" s="396"/>
      <c r="BJ102" s="396"/>
      <c r="BK102" s="396"/>
      <c r="BL102" s="396"/>
    </row>
    <row r="103" spans="59:64" s="1" customFormat="1">
      <c r="BG103" s="396"/>
      <c r="BH103" s="396"/>
      <c r="BI103" s="396"/>
      <c r="BJ103" s="396"/>
      <c r="BK103" s="396"/>
      <c r="BL103" s="396"/>
    </row>
    <row r="104" spans="59:64" s="1" customFormat="1">
      <c r="BG104" s="396"/>
      <c r="BH104" s="396"/>
      <c r="BI104" s="396"/>
      <c r="BJ104" s="396"/>
      <c r="BK104" s="396"/>
      <c r="BL104" s="396"/>
    </row>
    <row r="105" spans="59:64" s="1" customFormat="1">
      <c r="BG105" s="396"/>
      <c r="BH105" s="396"/>
      <c r="BI105" s="396"/>
      <c r="BJ105" s="396"/>
      <c r="BK105" s="396"/>
      <c r="BL105" s="396"/>
    </row>
    <row r="106" spans="59:64" s="1" customFormat="1">
      <c r="BG106" s="396"/>
      <c r="BH106" s="396"/>
      <c r="BI106" s="396"/>
      <c r="BJ106" s="396"/>
      <c r="BK106" s="396"/>
      <c r="BL106" s="396"/>
    </row>
    <row r="107" spans="59:64" s="1" customFormat="1">
      <c r="BG107" s="396"/>
      <c r="BH107" s="396"/>
      <c r="BI107" s="396"/>
      <c r="BJ107" s="396"/>
      <c r="BK107" s="396"/>
      <c r="BL107" s="396"/>
    </row>
    <row r="108" spans="59:64" s="1" customFormat="1">
      <c r="BG108" s="396"/>
      <c r="BH108" s="396"/>
      <c r="BI108" s="396"/>
      <c r="BJ108" s="396"/>
      <c r="BK108" s="396"/>
      <c r="BL108" s="396"/>
    </row>
    <row r="109" spans="59:64" s="1" customFormat="1">
      <c r="BG109" s="396"/>
      <c r="BH109" s="396"/>
      <c r="BI109" s="396"/>
      <c r="BJ109" s="396"/>
      <c r="BK109" s="396"/>
      <c r="BL109" s="396"/>
    </row>
    <row r="110" spans="59:64" s="1" customFormat="1">
      <c r="BG110" s="396"/>
      <c r="BH110" s="396"/>
      <c r="BI110" s="396"/>
      <c r="BJ110" s="396"/>
      <c r="BK110" s="396"/>
      <c r="BL110" s="396"/>
    </row>
    <row r="111" spans="59:64" s="1" customFormat="1">
      <c r="BG111" s="396"/>
      <c r="BH111" s="396"/>
      <c r="BI111" s="396"/>
      <c r="BJ111" s="396"/>
      <c r="BK111" s="396"/>
      <c r="BL111" s="396"/>
    </row>
    <row r="112" spans="59:64" s="1" customFormat="1">
      <c r="BG112" s="396"/>
      <c r="BH112" s="396"/>
      <c r="BI112" s="396"/>
      <c r="BJ112" s="396"/>
      <c r="BK112" s="396"/>
      <c r="BL112" s="396"/>
    </row>
    <row r="113" spans="59:64" s="1" customFormat="1">
      <c r="BG113" s="396"/>
      <c r="BH113" s="396"/>
      <c r="BI113" s="396"/>
      <c r="BJ113" s="396"/>
      <c r="BK113" s="396"/>
      <c r="BL113" s="396"/>
    </row>
    <row r="114" spans="59:64" s="1" customFormat="1">
      <c r="BG114" s="396"/>
      <c r="BH114" s="396"/>
      <c r="BI114" s="396"/>
      <c r="BJ114" s="396"/>
      <c r="BK114" s="396"/>
      <c r="BL114" s="396"/>
    </row>
    <row r="115" spans="59:64" s="1" customFormat="1">
      <c r="BG115" s="396"/>
      <c r="BH115" s="396"/>
      <c r="BI115" s="396"/>
      <c r="BJ115" s="396"/>
      <c r="BK115" s="396"/>
      <c r="BL115" s="396"/>
    </row>
    <row r="116" spans="59:64" s="1" customFormat="1">
      <c r="BG116" s="396"/>
      <c r="BH116" s="396"/>
      <c r="BI116" s="396"/>
      <c r="BJ116" s="396"/>
      <c r="BK116" s="396"/>
      <c r="BL116" s="396"/>
    </row>
    <row r="117" spans="59:64" s="1" customFormat="1">
      <c r="BG117" s="396"/>
      <c r="BH117" s="396"/>
      <c r="BI117" s="396"/>
      <c r="BJ117" s="396"/>
      <c r="BK117" s="396"/>
      <c r="BL117" s="396"/>
    </row>
    <row r="118" spans="59:64" s="1" customFormat="1">
      <c r="BG118" s="396"/>
      <c r="BH118" s="396"/>
      <c r="BI118" s="396"/>
      <c r="BJ118" s="396"/>
      <c r="BK118" s="396"/>
      <c r="BL118" s="396"/>
    </row>
    <row r="119" spans="59:64" s="1" customFormat="1">
      <c r="BG119" s="396"/>
      <c r="BH119" s="396"/>
      <c r="BI119" s="396"/>
      <c r="BJ119" s="396"/>
      <c r="BK119" s="396"/>
      <c r="BL119" s="396"/>
    </row>
    <row r="120" spans="59:64" s="1" customFormat="1">
      <c r="BG120" s="396"/>
      <c r="BH120" s="396"/>
      <c r="BI120" s="396"/>
      <c r="BJ120" s="396"/>
      <c r="BK120" s="396"/>
      <c r="BL120" s="396"/>
    </row>
    <row r="121" spans="59:64" s="1" customFormat="1">
      <c r="BG121" s="396"/>
      <c r="BH121" s="396"/>
      <c r="BI121" s="396"/>
      <c r="BJ121" s="396"/>
      <c r="BK121" s="396"/>
      <c r="BL121" s="396"/>
    </row>
    <row r="122" spans="59:64" s="1" customFormat="1">
      <c r="BG122" s="396"/>
      <c r="BH122" s="396"/>
      <c r="BI122" s="396"/>
      <c r="BJ122" s="396"/>
      <c r="BK122" s="396"/>
      <c r="BL122" s="396"/>
    </row>
    <row r="123" spans="59:64" s="1" customFormat="1">
      <c r="BG123" s="396"/>
      <c r="BH123" s="396"/>
      <c r="BI123" s="396"/>
      <c r="BJ123" s="396"/>
      <c r="BK123" s="396"/>
      <c r="BL123" s="396"/>
    </row>
    <row r="124" spans="59:64" s="1" customFormat="1">
      <c r="BG124" s="396"/>
      <c r="BH124" s="396"/>
      <c r="BI124" s="396"/>
      <c r="BJ124" s="396"/>
      <c r="BK124" s="396"/>
      <c r="BL124" s="396"/>
    </row>
    <row r="125" spans="59:64" s="1" customFormat="1">
      <c r="BG125" s="396"/>
      <c r="BH125" s="396"/>
      <c r="BI125" s="396"/>
      <c r="BJ125" s="396"/>
      <c r="BK125" s="396"/>
      <c r="BL125" s="396"/>
    </row>
    <row r="126" spans="59:64" s="1" customFormat="1">
      <c r="BG126" s="396"/>
      <c r="BH126" s="396"/>
      <c r="BI126" s="396"/>
      <c r="BJ126" s="396"/>
      <c r="BK126" s="396"/>
      <c r="BL126" s="396"/>
    </row>
    <row r="127" spans="59:64" s="1" customFormat="1">
      <c r="BG127" s="396"/>
      <c r="BH127" s="396"/>
      <c r="BI127" s="396"/>
      <c r="BJ127" s="396"/>
      <c r="BK127" s="396"/>
      <c r="BL127" s="396"/>
    </row>
    <row r="128" spans="59:64" s="1" customFormat="1">
      <c r="BG128" s="396"/>
      <c r="BH128" s="396"/>
      <c r="BI128" s="396"/>
      <c r="BJ128" s="396"/>
      <c r="BK128" s="396"/>
      <c r="BL128" s="396"/>
    </row>
    <row r="129" spans="59:64" s="1" customFormat="1">
      <c r="BG129" s="396"/>
      <c r="BH129" s="396"/>
      <c r="BI129" s="396"/>
      <c r="BJ129" s="396"/>
      <c r="BK129" s="396"/>
      <c r="BL129" s="396"/>
    </row>
    <row r="130" spans="59:64" s="1" customFormat="1">
      <c r="BG130" s="396"/>
      <c r="BH130" s="396"/>
      <c r="BI130" s="396"/>
      <c r="BJ130" s="396"/>
      <c r="BK130" s="396"/>
      <c r="BL130" s="396"/>
    </row>
    <row r="131" spans="59:64" s="1" customFormat="1">
      <c r="BG131" s="396"/>
      <c r="BH131" s="396"/>
      <c r="BI131" s="396"/>
      <c r="BJ131" s="396"/>
      <c r="BK131" s="396"/>
      <c r="BL131" s="396"/>
    </row>
    <row r="132" spans="59:64" s="1" customFormat="1">
      <c r="BG132" s="396"/>
      <c r="BH132" s="396"/>
      <c r="BI132" s="396"/>
      <c r="BJ132" s="396"/>
      <c r="BK132" s="396"/>
      <c r="BL132" s="396"/>
    </row>
    <row r="133" spans="59:64" s="1" customFormat="1">
      <c r="BG133" s="396"/>
      <c r="BH133" s="396"/>
      <c r="BI133" s="396"/>
      <c r="BJ133" s="396"/>
      <c r="BK133" s="396"/>
      <c r="BL133" s="396"/>
    </row>
    <row r="134" spans="59:64" s="1" customFormat="1">
      <c r="BG134" s="396"/>
      <c r="BH134" s="396"/>
      <c r="BI134" s="396"/>
      <c r="BJ134" s="396"/>
      <c r="BK134" s="396"/>
      <c r="BL134" s="396"/>
    </row>
    <row r="135" spans="59:64" s="1" customFormat="1">
      <c r="BG135" s="396"/>
      <c r="BH135" s="396"/>
      <c r="BI135" s="396"/>
      <c r="BJ135" s="396"/>
      <c r="BK135" s="396"/>
      <c r="BL135" s="396"/>
    </row>
    <row r="136" spans="59:64" s="1" customFormat="1">
      <c r="BG136" s="396"/>
      <c r="BH136" s="396"/>
      <c r="BI136" s="396"/>
      <c r="BJ136" s="396"/>
      <c r="BK136" s="396"/>
      <c r="BL136" s="396"/>
    </row>
    <row r="137" spans="59:64" s="1" customFormat="1">
      <c r="BG137" s="396"/>
      <c r="BH137" s="396"/>
      <c r="BI137" s="396"/>
      <c r="BJ137" s="396"/>
      <c r="BK137" s="396"/>
      <c r="BL137" s="396"/>
    </row>
    <row r="138" spans="59:64" s="1" customFormat="1">
      <c r="BG138" s="396"/>
      <c r="BH138" s="396"/>
      <c r="BI138" s="396"/>
      <c r="BJ138" s="396"/>
      <c r="BK138" s="396"/>
      <c r="BL138" s="396"/>
    </row>
    <row r="139" spans="59:64" s="1" customFormat="1">
      <c r="BG139" s="396"/>
      <c r="BH139" s="396"/>
      <c r="BI139" s="396"/>
      <c r="BJ139" s="396"/>
      <c r="BK139" s="396"/>
      <c r="BL139" s="396"/>
    </row>
    <row r="140" spans="59:64" s="1" customFormat="1">
      <c r="BG140" s="396"/>
      <c r="BH140" s="396"/>
      <c r="BI140" s="396"/>
      <c r="BJ140" s="396"/>
      <c r="BK140" s="396"/>
      <c r="BL140" s="396"/>
    </row>
    <row r="141" spans="59:64" s="1" customFormat="1">
      <c r="BG141" s="396"/>
      <c r="BH141" s="396"/>
      <c r="BI141" s="396"/>
      <c r="BJ141" s="396"/>
      <c r="BK141" s="396"/>
      <c r="BL141" s="396"/>
    </row>
    <row r="142" spans="59:64" s="1" customFormat="1">
      <c r="BG142" s="396"/>
      <c r="BH142" s="396"/>
      <c r="BI142" s="396"/>
      <c r="BJ142" s="396"/>
      <c r="BK142" s="396"/>
      <c r="BL142" s="396"/>
    </row>
    <row r="143" spans="59:64" s="1" customFormat="1">
      <c r="BG143" s="396"/>
      <c r="BH143" s="396"/>
      <c r="BI143" s="396"/>
      <c r="BJ143" s="396"/>
      <c r="BK143" s="396"/>
      <c r="BL143" s="396"/>
    </row>
    <row r="144" spans="59:64" s="1" customFormat="1">
      <c r="BG144" s="396"/>
      <c r="BH144" s="396"/>
      <c r="BI144" s="396"/>
      <c r="BJ144" s="396"/>
      <c r="BK144" s="396"/>
      <c r="BL144" s="396"/>
    </row>
    <row r="145" spans="59:64" s="1" customFormat="1">
      <c r="BG145" s="396"/>
      <c r="BH145" s="396"/>
      <c r="BI145" s="396"/>
      <c r="BJ145" s="396"/>
      <c r="BK145" s="396"/>
      <c r="BL145" s="396"/>
    </row>
    <row r="146" spans="59:64" s="1" customFormat="1">
      <c r="BG146" s="396"/>
      <c r="BH146" s="396"/>
      <c r="BI146" s="396"/>
      <c r="BJ146" s="396"/>
      <c r="BK146" s="396"/>
      <c r="BL146" s="396"/>
    </row>
    <row r="147" spans="59:64" s="1" customFormat="1">
      <c r="BG147" s="396"/>
      <c r="BH147" s="396"/>
      <c r="BI147" s="396"/>
      <c r="BJ147" s="396"/>
      <c r="BK147" s="396"/>
      <c r="BL147" s="396"/>
    </row>
    <row r="148" spans="59:64" s="1" customFormat="1">
      <c r="BG148" s="396"/>
      <c r="BH148" s="396"/>
      <c r="BI148" s="396"/>
      <c r="BJ148" s="396"/>
      <c r="BK148" s="396"/>
      <c r="BL148" s="396"/>
    </row>
    <row r="149" spans="59:64" s="1" customFormat="1">
      <c r="BG149" s="396"/>
      <c r="BH149" s="396"/>
      <c r="BI149" s="396"/>
      <c r="BJ149" s="396"/>
      <c r="BK149" s="396"/>
      <c r="BL149" s="396"/>
    </row>
    <row r="150" spans="59:64" s="1" customFormat="1">
      <c r="BG150" s="396"/>
      <c r="BH150" s="396"/>
      <c r="BI150" s="396"/>
      <c r="BJ150" s="396"/>
      <c r="BK150" s="396"/>
      <c r="BL150" s="396"/>
    </row>
    <row r="151" spans="59:64" s="1" customFormat="1">
      <c r="BG151" s="396"/>
      <c r="BH151" s="396"/>
      <c r="BI151" s="396"/>
      <c r="BJ151" s="396"/>
      <c r="BK151" s="396"/>
      <c r="BL151" s="396"/>
    </row>
    <row r="152" spans="59:64" s="1" customFormat="1">
      <c r="BG152" s="396"/>
      <c r="BH152" s="396"/>
      <c r="BI152" s="396"/>
      <c r="BJ152" s="396"/>
      <c r="BK152" s="396"/>
      <c r="BL152" s="396"/>
    </row>
    <row r="153" spans="59:64" s="1" customFormat="1">
      <c r="BG153" s="396"/>
      <c r="BH153" s="396"/>
      <c r="BI153" s="396"/>
      <c r="BJ153" s="396"/>
      <c r="BK153" s="396"/>
      <c r="BL153" s="396"/>
    </row>
    <row r="154" spans="59:64" s="1" customFormat="1">
      <c r="BG154" s="396"/>
      <c r="BH154" s="396"/>
      <c r="BI154" s="396"/>
      <c r="BJ154" s="396"/>
      <c r="BK154" s="396"/>
      <c r="BL154" s="396"/>
    </row>
    <row r="155" spans="59:64" s="1" customFormat="1">
      <c r="BG155" s="396"/>
      <c r="BH155" s="396"/>
      <c r="BI155" s="396"/>
      <c r="BJ155" s="396"/>
      <c r="BK155" s="396"/>
      <c r="BL155" s="396"/>
    </row>
    <row r="156" spans="59:64" s="1" customFormat="1">
      <c r="BG156" s="396"/>
      <c r="BH156" s="396"/>
      <c r="BI156" s="396"/>
      <c r="BJ156" s="396"/>
      <c r="BK156" s="396"/>
      <c r="BL156" s="396"/>
    </row>
    <row r="157" spans="59:64" s="1" customFormat="1">
      <c r="BG157" s="396"/>
      <c r="BH157" s="396"/>
      <c r="BI157" s="396"/>
      <c r="BJ157" s="396"/>
      <c r="BK157" s="396"/>
      <c r="BL157" s="396"/>
    </row>
    <row r="158" spans="59:64" s="1" customFormat="1">
      <c r="BG158" s="396"/>
      <c r="BH158" s="396"/>
      <c r="BI158" s="396"/>
      <c r="BJ158" s="396"/>
      <c r="BK158" s="396"/>
      <c r="BL158" s="396"/>
    </row>
    <row r="159" spans="59:64" s="1" customFormat="1">
      <c r="BG159" s="396"/>
      <c r="BH159" s="396"/>
      <c r="BI159" s="396"/>
      <c r="BJ159" s="396"/>
      <c r="BK159" s="396"/>
      <c r="BL159" s="396"/>
    </row>
    <row r="160" spans="59:64" s="1" customFormat="1">
      <c r="BG160" s="396"/>
      <c r="BH160" s="396"/>
      <c r="BI160" s="396"/>
      <c r="BJ160" s="396"/>
      <c r="BK160" s="396"/>
      <c r="BL160" s="396"/>
    </row>
    <row r="161" spans="59:64" s="1" customFormat="1">
      <c r="BG161" s="396"/>
      <c r="BH161" s="396"/>
      <c r="BI161" s="396"/>
      <c r="BJ161" s="396"/>
      <c r="BK161" s="396"/>
      <c r="BL161" s="396"/>
    </row>
    <row r="162" spans="59:64" s="1" customFormat="1">
      <c r="BG162" s="396"/>
      <c r="BH162" s="396"/>
      <c r="BI162" s="396"/>
      <c r="BJ162" s="396"/>
      <c r="BK162" s="396"/>
      <c r="BL162" s="396"/>
    </row>
    <row r="163" spans="59:64" s="1" customFormat="1">
      <c r="BG163" s="396"/>
      <c r="BH163" s="396"/>
      <c r="BI163" s="396"/>
      <c r="BJ163" s="396"/>
      <c r="BK163" s="396"/>
      <c r="BL163" s="396"/>
    </row>
    <row r="164" spans="59:64" s="1" customFormat="1">
      <c r="BG164" s="396"/>
      <c r="BH164" s="396"/>
      <c r="BI164" s="396"/>
      <c r="BJ164" s="396"/>
      <c r="BK164" s="396"/>
      <c r="BL164" s="396"/>
    </row>
    <row r="165" spans="59:64" s="1" customFormat="1">
      <c r="BG165" s="396"/>
      <c r="BH165" s="396"/>
      <c r="BI165" s="396"/>
      <c r="BJ165" s="396"/>
      <c r="BK165" s="396"/>
      <c r="BL165" s="396"/>
    </row>
    <row r="166" spans="59:64" s="1" customFormat="1">
      <c r="BG166" s="396"/>
      <c r="BH166" s="396"/>
      <c r="BI166" s="396"/>
      <c r="BJ166" s="396"/>
      <c r="BK166" s="396"/>
      <c r="BL166" s="396"/>
    </row>
    <row r="167" spans="59:64" s="1" customFormat="1">
      <c r="BG167" s="396"/>
      <c r="BH167" s="396"/>
      <c r="BI167" s="396"/>
      <c r="BJ167" s="396"/>
      <c r="BK167" s="396"/>
      <c r="BL167" s="396"/>
    </row>
    <row r="168" spans="59:64" s="1" customFormat="1">
      <c r="BG168" s="396"/>
      <c r="BH168" s="396"/>
      <c r="BI168" s="396"/>
      <c r="BJ168" s="396"/>
      <c r="BK168" s="396"/>
      <c r="BL168" s="396"/>
    </row>
    <row r="169" spans="59:64" s="1" customFormat="1">
      <c r="BG169" s="396"/>
      <c r="BH169" s="396"/>
      <c r="BI169" s="396"/>
      <c r="BJ169" s="396"/>
      <c r="BK169" s="396"/>
      <c r="BL169" s="396"/>
    </row>
    <row r="170" spans="59:64" s="1" customFormat="1">
      <c r="BG170" s="396"/>
      <c r="BH170" s="396"/>
      <c r="BI170" s="396"/>
      <c r="BJ170" s="396"/>
      <c r="BK170" s="396"/>
      <c r="BL170" s="396"/>
    </row>
    <row r="171" spans="59:64" s="1" customFormat="1">
      <c r="BG171" s="396"/>
      <c r="BH171" s="396"/>
      <c r="BI171" s="396"/>
      <c r="BJ171" s="396"/>
      <c r="BK171" s="396"/>
      <c r="BL171" s="396"/>
    </row>
    <row r="172" spans="59:64" s="1" customFormat="1">
      <c r="BG172" s="396"/>
      <c r="BH172" s="396"/>
      <c r="BI172" s="396"/>
      <c r="BJ172" s="396"/>
      <c r="BK172" s="396"/>
      <c r="BL172" s="396"/>
    </row>
    <row r="173" spans="59:64" s="1" customFormat="1">
      <c r="BG173" s="396"/>
      <c r="BH173" s="396"/>
      <c r="BI173" s="396"/>
      <c r="BJ173" s="396"/>
      <c r="BK173" s="396"/>
      <c r="BL173" s="396"/>
    </row>
    <row r="174" spans="59:64" s="1" customFormat="1">
      <c r="BG174" s="396"/>
      <c r="BH174" s="396"/>
      <c r="BI174" s="396"/>
      <c r="BJ174" s="396"/>
      <c r="BK174" s="396"/>
      <c r="BL174" s="396"/>
    </row>
    <row r="175" spans="59:64" s="1" customFormat="1">
      <c r="BG175" s="396"/>
      <c r="BH175" s="396"/>
      <c r="BI175" s="396"/>
      <c r="BJ175" s="396"/>
      <c r="BK175" s="396"/>
      <c r="BL175" s="396"/>
    </row>
    <row r="176" spans="59:64" s="1" customFormat="1">
      <c r="BG176" s="396"/>
      <c r="BH176" s="396"/>
      <c r="BI176" s="396"/>
      <c r="BJ176" s="396"/>
      <c r="BK176" s="396"/>
      <c r="BL176" s="396"/>
    </row>
    <row r="177" spans="59:64" s="1" customFormat="1">
      <c r="BG177" s="396"/>
      <c r="BH177" s="396"/>
      <c r="BI177" s="396"/>
      <c r="BJ177" s="396"/>
      <c r="BK177" s="396"/>
      <c r="BL177" s="396"/>
    </row>
    <row r="178" spans="59:64" s="1" customFormat="1">
      <c r="BG178" s="396"/>
      <c r="BH178" s="396"/>
      <c r="BI178" s="396"/>
      <c r="BJ178" s="396"/>
      <c r="BK178" s="396"/>
      <c r="BL178" s="396"/>
    </row>
    <row r="179" spans="59:64" s="1" customFormat="1">
      <c r="BG179" s="396"/>
      <c r="BH179" s="396"/>
      <c r="BI179" s="396"/>
      <c r="BJ179" s="396"/>
      <c r="BK179" s="396"/>
      <c r="BL179" s="396"/>
    </row>
    <row r="180" spans="59:64" s="1" customFormat="1">
      <c r="BG180" s="396"/>
      <c r="BH180" s="396"/>
      <c r="BI180" s="396"/>
      <c r="BJ180" s="396"/>
      <c r="BK180" s="396"/>
      <c r="BL180" s="396"/>
    </row>
    <row r="181" spans="59:64" s="1" customFormat="1">
      <c r="BG181" s="396"/>
      <c r="BH181" s="396"/>
      <c r="BI181" s="396"/>
      <c r="BJ181" s="396"/>
      <c r="BK181" s="396"/>
      <c r="BL181" s="396"/>
    </row>
    <row r="182" spans="59:64" s="1" customFormat="1">
      <c r="BG182" s="396"/>
      <c r="BH182" s="396"/>
      <c r="BI182" s="396"/>
      <c r="BJ182" s="396"/>
      <c r="BK182" s="396"/>
      <c r="BL182" s="396"/>
    </row>
    <row r="183" spans="59:64" s="1" customFormat="1">
      <c r="BG183" s="396"/>
      <c r="BH183" s="396"/>
      <c r="BI183" s="396"/>
      <c r="BJ183" s="396"/>
      <c r="BK183" s="396"/>
      <c r="BL183" s="396"/>
    </row>
    <row r="184" spans="59:64" s="1" customFormat="1">
      <c r="BG184" s="396"/>
      <c r="BH184" s="396"/>
      <c r="BI184" s="396"/>
      <c r="BJ184" s="396"/>
      <c r="BK184" s="396"/>
      <c r="BL184" s="396"/>
    </row>
    <row r="185" spans="59:64" s="1" customFormat="1">
      <c r="BG185" s="396"/>
      <c r="BH185" s="396"/>
      <c r="BI185" s="396"/>
      <c r="BJ185" s="396"/>
      <c r="BK185" s="396"/>
      <c r="BL185" s="396"/>
    </row>
    <row r="186" spans="59:64" s="1" customFormat="1">
      <c r="BG186" s="396"/>
      <c r="BH186" s="396"/>
      <c r="BI186" s="396"/>
      <c r="BJ186" s="396"/>
      <c r="BK186" s="396"/>
      <c r="BL186" s="396"/>
    </row>
    <row r="187" spans="59:64" s="1" customFormat="1">
      <c r="BG187" s="396"/>
      <c r="BH187" s="396"/>
      <c r="BI187" s="396"/>
      <c r="BJ187" s="396"/>
      <c r="BK187" s="396"/>
      <c r="BL187" s="396"/>
    </row>
    <row r="188" spans="59:64" s="1" customFormat="1">
      <c r="BG188" s="396"/>
      <c r="BH188" s="396"/>
      <c r="BI188" s="396"/>
      <c r="BJ188" s="396"/>
      <c r="BK188" s="396"/>
      <c r="BL188" s="396"/>
    </row>
    <row r="189" spans="59:64" s="1" customFormat="1">
      <c r="BG189" s="396"/>
      <c r="BH189" s="396"/>
      <c r="BI189" s="396"/>
      <c r="BJ189" s="396"/>
      <c r="BK189" s="396"/>
      <c r="BL189" s="396"/>
    </row>
    <row r="190" spans="59:64" s="1" customFormat="1">
      <c r="BG190" s="396"/>
      <c r="BH190" s="396"/>
      <c r="BI190" s="396"/>
      <c r="BJ190" s="396"/>
      <c r="BK190" s="396"/>
      <c r="BL190" s="396"/>
    </row>
    <row r="191" spans="59:64" s="1" customFormat="1">
      <c r="BG191" s="396"/>
      <c r="BH191" s="396"/>
      <c r="BI191" s="396"/>
      <c r="BJ191" s="396"/>
      <c r="BK191" s="396"/>
      <c r="BL191" s="396"/>
    </row>
    <row r="192" spans="59:64" s="1" customFormat="1">
      <c r="BG192" s="396"/>
      <c r="BH192" s="396"/>
      <c r="BI192" s="396"/>
      <c r="BJ192" s="396"/>
      <c r="BK192" s="396"/>
      <c r="BL192" s="396"/>
    </row>
    <row r="193" spans="59:64" s="1" customFormat="1">
      <c r="BG193" s="396"/>
      <c r="BH193" s="396"/>
      <c r="BI193" s="396"/>
      <c r="BJ193" s="396"/>
      <c r="BK193" s="396"/>
      <c r="BL193" s="396"/>
    </row>
    <row r="194" spans="59:64" s="1" customFormat="1">
      <c r="BG194" s="396"/>
      <c r="BH194" s="396"/>
      <c r="BI194" s="396"/>
      <c r="BJ194" s="396"/>
      <c r="BK194" s="396"/>
      <c r="BL194" s="396"/>
    </row>
    <row r="195" spans="59:64" s="1" customFormat="1">
      <c r="BG195" s="396"/>
      <c r="BH195" s="396"/>
      <c r="BI195" s="396"/>
      <c r="BJ195" s="396"/>
      <c r="BK195" s="396"/>
      <c r="BL195" s="396"/>
    </row>
    <row r="196" spans="59:64" s="1" customFormat="1">
      <c r="BG196" s="396"/>
      <c r="BH196" s="396"/>
      <c r="BI196" s="396"/>
      <c r="BJ196" s="396"/>
      <c r="BK196" s="396"/>
      <c r="BL196" s="396"/>
    </row>
    <row r="197" spans="59:64" s="1" customFormat="1">
      <c r="BG197" s="396"/>
      <c r="BH197" s="396"/>
      <c r="BI197" s="396"/>
      <c r="BJ197" s="396"/>
      <c r="BK197" s="396"/>
      <c r="BL197" s="396"/>
    </row>
    <row r="198" spans="59:64" s="1" customFormat="1">
      <c r="BG198" s="396"/>
      <c r="BH198" s="396"/>
      <c r="BI198" s="396"/>
      <c r="BJ198" s="396"/>
      <c r="BK198" s="396"/>
      <c r="BL198" s="396"/>
    </row>
    <row r="199" spans="59:64" s="1" customFormat="1">
      <c r="BG199" s="396"/>
      <c r="BH199" s="396"/>
      <c r="BI199" s="396"/>
      <c r="BJ199" s="396"/>
      <c r="BK199" s="396"/>
      <c r="BL199" s="396"/>
    </row>
    <row r="200" spans="59:64" s="1" customFormat="1">
      <c r="BG200" s="396"/>
      <c r="BH200" s="396"/>
      <c r="BI200" s="396"/>
      <c r="BJ200" s="396"/>
      <c r="BK200" s="396"/>
      <c r="BL200" s="396"/>
    </row>
    <row r="201" spans="59:64" s="1" customFormat="1">
      <c r="BG201" s="396"/>
      <c r="BH201" s="396"/>
      <c r="BI201" s="396"/>
      <c r="BJ201" s="396"/>
      <c r="BK201" s="396"/>
      <c r="BL201" s="396"/>
    </row>
    <row r="202" spans="59:64" s="1" customFormat="1">
      <c r="BG202" s="396"/>
      <c r="BH202" s="396"/>
      <c r="BI202" s="396"/>
      <c r="BJ202" s="396"/>
      <c r="BK202" s="396"/>
      <c r="BL202" s="396"/>
    </row>
    <row r="203" spans="59:64" s="1" customFormat="1">
      <c r="BG203" s="396"/>
      <c r="BH203" s="396"/>
      <c r="BI203" s="396"/>
      <c r="BJ203" s="396"/>
      <c r="BK203" s="396"/>
      <c r="BL203" s="396"/>
    </row>
    <row r="204" spans="59:64" s="1" customFormat="1">
      <c r="BG204" s="396"/>
      <c r="BH204" s="396"/>
      <c r="BI204" s="396"/>
      <c r="BJ204" s="396"/>
      <c r="BK204" s="396"/>
      <c r="BL204" s="396"/>
    </row>
    <row r="205" spans="59:64" s="1" customFormat="1">
      <c r="BG205" s="396"/>
      <c r="BH205" s="396"/>
      <c r="BI205" s="396"/>
      <c r="BJ205" s="396"/>
      <c r="BK205" s="396"/>
      <c r="BL205" s="396"/>
    </row>
    <row r="206" spans="59:64" s="1" customFormat="1">
      <c r="BG206" s="396"/>
      <c r="BH206" s="396"/>
      <c r="BI206" s="396"/>
      <c r="BJ206" s="396"/>
      <c r="BK206" s="396"/>
      <c r="BL206" s="396"/>
    </row>
    <row r="207" spans="59:64" s="1" customFormat="1">
      <c r="BG207" s="396"/>
      <c r="BH207" s="396"/>
      <c r="BI207" s="396"/>
      <c r="BJ207" s="396"/>
      <c r="BK207" s="396"/>
      <c r="BL207" s="396"/>
    </row>
    <row r="208" spans="59:64" s="1" customFormat="1">
      <c r="BG208" s="396"/>
      <c r="BH208" s="396"/>
      <c r="BI208" s="396"/>
      <c r="BJ208" s="396"/>
      <c r="BK208" s="396"/>
      <c r="BL208" s="396"/>
    </row>
    <row r="209" spans="59:64" s="1" customFormat="1">
      <c r="BG209" s="396"/>
      <c r="BH209" s="396"/>
      <c r="BI209" s="396"/>
      <c r="BJ209" s="396"/>
      <c r="BK209" s="396"/>
      <c r="BL209" s="396"/>
    </row>
    <row r="210" spans="59:64" s="1" customFormat="1">
      <c r="BG210" s="396"/>
      <c r="BH210" s="396"/>
      <c r="BI210" s="396"/>
      <c r="BJ210" s="396"/>
      <c r="BK210" s="396"/>
      <c r="BL210" s="396"/>
    </row>
    <row r="211" spans="59:64" s="1" customFormat="1">
      <c r="BG211" s="396"/>
      <c r="BH211" s="396"/>
      <c r="BI211" s="396"/>
      <c r="BJ211" s="396"/>
      <c r="BK211" s="396"/>
      <c r="BL211" s="396"/>
    </row>
    <row r="212" spans="59:64" s="1" customFormat="1">
      <c r="BG212" s="396"/>
      <c r="BH212" s="396"/>
      <c r="BI212" s="396"/>
      <c r="BJ212" s="396"/>
      <c r="BK212" s="396"/>
      <c r="BL212" s="396"/>
    </row>
    <row r="213" spans="59:64" s="1" customFormat="1">
      <c r="BG213" s="396"/>
      <c r="BH213" s="396"/>
      <c r="BI213" s="396"/>
      <c r="BJ213" s="396"/>
      <c r="BK213" s="396"/>
      <c r="BL213" s="396"/>
    </row>
    <row r="214" spans="59:64" s="1" customFormat="1">
      <c r="BG214" s="396"/>
      <c r="BH214" s="396"/>
      <c r="BI214" s="396"/>
      <c r="BJ214" s="396"/>
      <c r="BK214" s="396"/>
      <c r="BL214" s="396"/>
    </row>
    <row r="215" spans="59:64" s="1" customFormat="1">
      <c r="BG215" s="396"/>
      <c r="BH215" s="396"/>
      <c r="BI215" s="396"/>
      <c r="BJ215" s="396"/>
      <c r="BK215" s="396"/>
      <c r="BL215" s="396"/>
    </row>
    <row r="216" spans="59:64" s="1" customFormat="1">
      <c r="BG216" s="396"/>
      <c r="BH216" s="396"/>
      <c r="BI216" s="396"/>
      <c r="BJ216" s="396"/>
      <c r="BK216" s="396"/>
      <c r="BL216" s="396"/>
    </row>
    <row r="217" spans="59:64" s="1" customFormat="1">
      <c r="BG217" s="396"/>
      <c r="BH217" s="396"/>
      <c r="BI217" s="396"/>
      <c r="BJ217" s="396"/>
      <c r="BK217" s="396"/>
      <c r="BL217" s="396"/>
    </row>
    <row r="218" spans="59:64" s="1" customFormat="1">
      <c r="BG218" s="396"/>
      <c r="BH218" s="396"/>
      <c r="BI218" s="396"/>
      <c r="BJ218" s="396"/>
      <c r="BK218" s="396"/>
      <c r="BL218" s="396"/>
    </row>
    <row r="219" spans="59:64" s="1" customFormat="1">
      <c r="BG219" s="396"/>
      <c r="BH219" s="396"/>
      <c r="BI219" s="396"/>
      <c r="BJ219" s="396"/>
      <c r="BK219" s="396"/>
      <c r="BL219" s="396"/>
    </row>
    <row r="220" spans="59:64" s="1" customFormat="1">
      <c r="BG220" s="396"/>
      <c r="BH220" s="396"/>
      <c r="BI220" s="396"/>
      <c r="BJ220" s="396"/>
      <c r="BK220" s="396"/>
      <c r="BL220" s="396"/>
    </row>
    <row r="221" spans="59:64" s="1" customFormat="1">
      <c r="BG221" s="396"/>
      <c r="BH221" s="396"/>
      <c r="BI221" s="396"/>
      <c r="BJ221" s="396"/>
      <c r="BK221" s="396"/>
      <c r="BL221" s="396"/>
    </row>
    <row r="222" spans="59:64" s="1" customFormat="1">
      <c r="BG222" s="396"/>
      <c r="BH222" s="396"/>
      <c r="BI222" s="396"/>
      <c r="BJ222" s="396"/>
      <c r="BK222" s="396"/>
      <c r="BL222" s="396"/>
    </row>
    <row r="223" spans="59:64" s="1" customFormat="1">
      <c r="BG223" s="396"/>
      <c r="BH223" s="396"/>
      <c r="BI223" s="396"/>
      <c r="BJ223" s="396"/>
      <c r="BK223" s="396"/>
      <c r="BL223" s="396"/>
    </row>
    <row r="224" spans="59:64" s="1" customFormat="1">
      <c r="BG224" s="396"/>
      <c r="BH224" s="396"/>
      <c r="BI224" s="396"/>
      <c r="BJ224" s="396"/>
      <c r="BK224" s="396"/>
      <c r="BL224" s="396"/>
    </row>
    <row r="225" spans="59:64" s="1" customFormat="1">
      <c r="BG225" s="396"/>
      <c r="BH225" s="396"/>
      <c r="BI225" s="396"/>
      <c r="BJ225" s="396"/>
      <c r="BK225" s="396"/>
      <c r="BL225" s="396"/>
    </row>
    <row r="226" spans="59:64" s="1" customFormat="1">
      <c r="BG226" s="396"/>
      <c r="BH226" s="396"/>
      <c r="BI226" s="396"/>
      <c r="BJ226" s="396"/>
      <c r="BK226" s="396"/>
      <c r="BL226" s="396"/>
    </row>
    <row r="227" spans="59:64" s="1" customFormat="1">
      <c r="BG227" s="396"/>
      <c r="BH227" s="396"/>
      <c r="BI227" s="396"/>
      <c r="BJ227" s="396"/>
      <c r="BK227" s="396"/>
      <c r="BL227" s="396"/>
    </row>
    <row r="228" spans="59:64" s="1" customFormat="1">
      <c r="BG228" s="396"/>
      <c r="BH228" s="396"/>
      <c r="BI228" s="396"/>
      <c r="BJ228" s="396"/>
      <c r="BK228" s="396"/>
      <c r="BL228" s="396"/>
    </row>
    <row r="229" spans="59:64" s="1" customFormat="1">
      <c r="BG229" s="396"/>
      <c r="BH229" s="396"/>
      <c r="BI229" s="396"/>
      <c r="BJ229" s="396"/>
      <c r="BK229" s="396"/>
      <c r="BL229" s="396"/>
    </row>
    <row r="230" spans="59:64" s="1" customFormat="1">
      <c r="BG230" s="396"/>
      <c r="BH230" s="396"/>
      <c r="BI230" s="396"/>
      <c r="BJ230" s="396"/>
      <c r="BK230" s="396"/>
      <c r="BL230" s="396"/>
    </row>
    <row r="231" spans="59:64" s="1" customFormat="1">
      <c r="BG231" s="396"/>
      <c r="BH231" s="396"/>
      <c r="BI231" s="396"/>
      <c r="BJ231" s="396"/>
      <c r="BK231" s="396"/>
      <c r="BL231" s="396"/>
    </row>
    <row r="232" spans="59:64" s="1" customFormat="1">
      <c r="BG232" s="396"/>
      <c r="BH232" s="396"/>
      <c r="BI232" s="396"/>
      <c r="BJ232" s="396"/>
      <c r="BK232" s="396"/>
      <c r="BL232" s="396"/>
    </row>
    <row r="233" spans="59:64" s="1" customFormat="1">
      <c r="BG233" s="396"/>
      <c r="BH233" s="396"/>
      <c r="BI233" s="396"/>
      <c r="BJ233" s="396"/>
      <c r="BK233" s="396"/>
      <c r="BL233" s="396"/>
    </row>
    <row r="234" spans="59:64" s="1" customFormat="1">
      <c r="BG234" s="396"/>
      <c r="BH234" s="396"/>
      <c r="BI234" s="396"/>
      <c r="BJ234" s="396"/>
      <c r="BK234" s="396"/>
      <c r="BL234" s="396"/>
    </row>
    <row r="235" spans="59:64" s="1" customFormat="1">
      <c r="BG235" s="396"/>
      <c r="BH235" s="396"/>
      <c r="BI235" s="396"/>
      <c r="BJ235" s="396"/>
      <c r="BK235" s="396"/>
      <c r="BL235" s="396"/>
    </row>
    <row r="236" spans="59:64" s="1" customFormat="1">
      <c r="BG236" s="396"/>
      <c r="BH236" s="396"/>
      <c r="BI236" s="396"/>
      <c r="BJ236" s="396"/>
      <c r="BK236" s="396"/>
      <c r="BL236" s="396"/>
    </row>
    <row r="237" spans="59:64" s="1" customFormat="1">
      <c r="BG237" s="396"/>
      <c r="BH237" s="396"/>
      <c r="BI237" s="396"/>
      <c r="BJ237" s="396"/>
      <c r="BK237" s="396"/>
      <c r="BL237" s="396"/>
    </row>
    <row r="238" spans="59:64" s="1" customFormat="1">
      <c r="BG238" s="396"/>
      <c r="BH238" s="396"/>
      <c r="BI238" s="396"/>
      <c r="BJ238" s="396"/>
      <c r="BK238" s="396"/>
      <c r="BL238" s="396"/>
    </row>
    <row r="239" spans="59:64" s="1" customFormat="1">
      <c r="BG239" s="396"/>
      <c r="BH239" s="396"/>
      <c r="BI239" s="396"/>
      <c r="BJ239" s="396"/>
      <c r="BK239" s="396"/>
      <c r="BL239" s="396"/>
    </row>
    <row r="240" spans="59:64" s="1" customFormat="1">
      <c r="BG240" s="396"/>
      <c r="BH240" s="396"/>
      <c r="BI240" s="396"/>
      <c r="BJ240" s="396"/>
      <c r="BK240" s="396"/>
      <c r="BL240" s="396"/>
    </row>
    <row r="241" spans="59:64" s="1" customFormat="1">
      <c r="BG241" s="396"/>
      <c r="BH241" s="396"/>
      <c r="BI241" s="396"/>
      <c r="BJ241" s="396"/>
      <c r="BK241" s="396"/>
      <c r="BL241" s="396"/>
    </row>
    <row r="242" spans="59:64" s="1" customFormat="1">
      <c r="BG242" s="396"/>
      <c r="BH242" s="396"/>
      <c r="BI242" s="396"/>
      <c r="BJ242" s="396"/>
      <c r="BK242" s="396"/>
      <c r="BL242" s="396"/>
    </row>
    <row r="243" spans="59:64" s="1" customFormat="1">
      <c r="BG243" s="396"/>
      <c r="BH243" s="396"/>
      <c r="BI243" s="396"/>
      <c r="BJ243" s="396"/>
      <c r="BK243" s="396"/>
      <c r="BL243" s="396"/>
    </row>
    <row r="244" spans="59:64" s="1" customFormat="1">
      <c r="BG244" s="396"/>
      <c r="BH244" s="396"/>
      <c r="BI244" s="396"/>
      <c r="BJ244" s="396"/>
      <c r="BK244" s="396"/>
      <c r="BL244" s="396"/>
    </row>
    <row r="245" spans="59:64" s="1" customFormat="1">
      <c r="BG245" s="396"/>
      <c r="BH245" s="396"/>
      <c r="BI245" s="396"/>
      <c r="BJ245" s="396"/>
      <c r="BK245" s="396"/>
      <c r="BL245" s="396"/>
    </row>
    <row r="246" spans="59:64" s="1" customFormat="1">
      <c r="BG246" s="396"/>
      <c r="BH246" s="396"/>
      <c r="BI246" s="396"/>
      <c r="BJ246" s="396"/>
      <c r="BK246" s="396"/>
      <c r="BL246" s="396"/>
    </row>
    <row r="247" spans="59:64" s="1" customFormat="1">
      <c r="BG247" s="396"/>
      <c r="BH247" s="396"/>
      <c r="BI247" s="396"/>
      <c r="BJ247" s="396"/>
      <c r="BK247" s="396"/>
      <c r="BL247" s="396"/>
    </row>
    <row r="248" spans="59:64" s="1" customFormat="1">
      <c r="BG248" s="396"/>
      <c r="BH248" s="396"/>
      <c r="BI248" s="396"/>
      <c r="BJ248" s="396"/>
      <c r="BK248" s="396"/>
      <c r="BL248" s="396"/>
    </row>
    <row r="249" spans="59:64" s="1" customFormat="1">
      <c r="BG249" s="396"/>
      <c r="BH249" s="396"/>
      <c r="BI249" s="396"/>
      <c r="BJ249" s="396"/>
      <c r="BK249" s="396"/>
      <c r="BL249" s="396"/>
    </row>
    <row r="250" spans="59:64" s="1" customFormat="1">
      <c r="BG250" s="396"/>
      <c r="BH250" s="396"/>
      <c r="BI250" s="396"/>
      <c r="BJ250" s="396"/>
      <c r="BK250" s="396"/>
      <c r="BL250" s="396"/>
    </row>
    <row r="251" spans="59:64" s="1" customFormat="1">
      <c r="BG251" s="396"/>
      <c r="BH251" s="396"/>
      <c r="BI251" s="396"/>
      <c r="BJ251" s="396"/>
      <c r="BK251" s="396"/>
      <c r="BL251" s="396"/>
    </row>
    <row r="252" spans="59:64" s="1" customFormat="1">
      <c r="BG252" s="396"/>
      <c r="BH252" s="396"/>
      <c r="BI252" s="396"/>
      <c r="BJ252" s="396"/>
      <c r="BK252" s="396"/>
      <c r="BL252" s="396"/>
    </row>
    <row r="253" spans="59:64" s="1" customFormat="1">
      <c r="BG253" s="396"/>
      <c r="BH253" s="396"/>
      <c r="BI253" s="396"/>
      <c r="BJ253" s="396"/>
      <c r="BK253" s="396"/>
      <c r="BL253" s="396"/>
    </row>
    <row r="254" spans="59:64" s="1" customFormat="1">
      <c r="BG254" s="396"/>
      <c r="BH254" s="396"/>
      <c r="BI254" s="396"/>
      <c r="BJ254" s="396"/>
      <c r="BK254" s="396"/>
      <c r="BL254" s="396"/>
    </row>
    <row r="255" spans="59:64" s="1" customFormat="1">
      <c r="BG255" s="396"/>
      <c r="BH255" s="396"/>
      <c r="BI255" s="396"/>
      <c r="BJ255" s="396"/>
      <c r="BK255" s="396"/>
      <c r="BL255" s="396"/>
    </row>
    <row r="256" spans="59:64" s="1" customFormat="1">
      <c r="BG256" s="396"/>
      <c r="BH256" s="396"/>
      <c r="BI256" s="396"/>
      <c r="BJ256" s="396"/>
      <c r="BK256" s="396"/>
      <c r="BL256" s="396"/>
    </row>
    <row r="257" spans="59:64" s="1" customFormat="1">
      <c r="BG257" s="396"/>
      <c r="BH257" s="396"/>
      <c r="BI257" s="396"/>
      <c r="BJ257" s="396"/>
      <c r="BK257" s="396"/>
      <c r="BL257" s="396"/>
    </row>
    <row r="258" spans="59:64" s="1" customFormat="1">
      <c r="BG258" s="396"/>
      <c r="BH258" s="396"/>
      <c r="BI258" s="396"/>
      <c r="BJ258" s="396"/>
      <c r="BK258" s="396"/>
      <c r="BL258" s="396"/>
    </row>
    <row r="259" spans="59:64" s="1" customFormat="1">
      <c r="BG259" s="396"/>
      <c r="BH259" s="396"/>
      <c r="BI259" s="396"/>
      <c r="BJ259" s="396"/>
      <c r="BK259" s="396"/>
      <c r="BL259" s="396"/>
    </row>
    <row r="260" spans="59:64" s="1" customFormat="1">
      <c r="BG260" s="396"/>
      <c r="BH260" s="396"/>
      <c r="BI260" s="396"/>
      <c r="BJ260" s="396"/>
      <c r="BK260" s="396"/>
      <c r="BL260" s="396"/>
    </row>
    <row r="261" spans="59:64" s="1" customFormat="1">
      <c r="BG261" s="396"/>
      <c r="BH261" s="396"/>
      <c r="BI261" s="396"/>
      <c r="BJ261" s="396"/>
      <c r="BK261" s="396"/>
      <c r="BL261" s="396"/>
    </row>
    <row r="262" spans="59:64" s="1" customFormat="1">
      <c r="BG262" s="396"/>
      <c r="BH262" s="396"/>
      <c r="BI262" s="396"/>
      <c r="BJ262" s="396"/>
      <c r="BK262" s="396"/>
      <c r="BL262" s="396"/>
    </row>
    <row r="263" spans="59:64" s="1" customFormat="1">
      <c r="BG263" s="396"/>
      <c r="BH263" s="396"/>
      <c r="BI263" s="396"/>
      <c r="BJ263" s="396"/>
      <c r="BK263" s="396"/>
      <c r="BL263" s="396"/>
    </row>
    <row r="264" spans="59:64" s="1" customFormat="1">
      <c r="BG264" s="396"/>
      <c r="BH264" s="396"/>
      <c r="BI264" s="396"/>
      <c r="BJ264" s="396"/>
      <c r="BK264" s="396"/>
      <c r="BL264" s="396"/>
    </row>
    <row r="265" spans="59:64" s="1" customFormat="1">
      <c r="BG265" s="396"/>
      <c r="BH265" s="396"/>
      <c r="BI265" s="396"/>
      <c r="BJ265" s="396"/>
      <c r="BK265" s="396"/>
      <c r="BL265" s="396"/>
    </row>
    <row r="266" spans="59:64" s="1" customFormat="1">
      <c r="BG266" s="396"/>
      <c r="BH266" s="396"/>
      <c r="BI266" s="396"/>
      <c r="BJ266" s="396"/>
      <c r="BK266" s="396"/>
      <c r="BL266" s="396"/>
    </row>
    <row r="267" spans="59:64" s="1" customFormat="1">
      <c r="BG267" s="396"/>
      <c r="BH267" s="396"/>
      <c r="BI267" s="396"/>
      <c r="BJ267" s="396"/>
      <c r="BK267" s="396"/>
      <c r="BL267" s="396"/>
    </row>
    <row r="268" spans="59:64" s="1" customFormat="1">
      <c r="BG268" s="396"/>
      <c r="BH268" s="396"/>
      <c r="BI268" s="396"/>
      <c r="BJ268" s="396"/>
      <c r="BK268" s="396"/>
      <c r="BL268" s="396"/>
    </row>
    <row r="269" spans="59:64" s="1" customFormat="1">
      <c r="BG269" s="396"/>
      <c r="BH269" s="396"/>
      <c r="BI269" s="396"/>
      <c r="BJ269" s="396"/>
      <c r="BK269" s="396"/>
      <c r="BL269" s="396"/>
    </row>
    <row r="270" spans="59:64" s="1" customFormat="1">
      <c r="BG270" s="396"/>
      <c r="BH270" s="396"/>
      <c r="BI270" s="396"/>
      <c r="BJ270" s="396"/>
      <c r="BK270" s="396"/>
      <c r="BL270" s="396"/>
    </row>
    <row r="271" spans="59:64" s="1" customFormat="1">
      <c r="BG271" s="396"/>
      <c r="BH271" s="396"/>
      <c r="BI271" s="396"/>
      <c r="BJ271" s="396"/>
      <c r="BK271" s="396"/>
      <c r="BL271" s="396"/>
    </row>
    <row r="272" spans="59:64" s="1" customFormat="1">
      <c r="BG272" s="396"/>
      <c r="BH272" s="396"/>
      <c r="BI272" s="396"/>
      <c r="BJ272" s="396"/>
      <c r="BK272" s="396"/>
      <c r="BL272" s="396"/>
    </row>
    <row r="273" spans="59:64" s="1" customFormat="1">
      <c r="BG273" s="396"/>
      <c r="BH273" s="396"/>
      <c r="BI273" s="396"/>
      <c r="BJ273" s="396"/>
      <c r="BK273" s="396"/>
      <c r="BL273" s="396"/>
    </row>
    <row r="274" spans="59:64" s="1" customFormat="1">
      <c r="BG274" s="396"/>
      <c r="BH274" s="396"/>
      <c r="BI274" s="396"/>
      <c r="BJ274" s="396"/>
      <c r="BK274" s="396"/>
      <c r="BL274" s="396"/>
    </row>
    <row r="275" spans="59:64" s="1" customFormat="1">
      <c r="BG275" s="396"/>
      <c r="BH275" s="396"/>
      <c r="BI275" s="396"/>
      <c r="BJ275" s="396"/>
      <c r="BK275" s="396"/>
      <c r="BL275" s="396"/>
    </row>
    <row r="276" spans="59:64" s="1" customFormat="1">
      <c r="BG276" s="396"/>
      <c r="BH276" s="396"/>
      <c r="BI276" s="396"/>
      <c r="BJ276" s="396"/>
      <c r="BK276" s="396"/>
      <c r="BL276" s="396"/>
    </row>
    <row r="277" spans="59:64" s="1" customFormat="1">
      <c r="BG277" s="396"/>
      <c r="BH277" s="396"/>
      <c r="BI277" s="396"/>
      <c r="BJ277" s="396"/>
      <c r="BK277" s="396"/>
      <c r="BL277" s="396"/>
    </row>
    <row r="278" spans="59:64" s="1" customFormat="1">
      <c r="BG278" s="396"/>
      <c r="BH278" s="396"/>
      <c r="BI278" s="396"/>
      <c r="BJ278" s="396"/>
      <c r="BK278" s="396"/>
      <c r="BL278" s="396"/>
    </row>
    <row r="279" spans="59:64" s="1" customFormat="1">
      <c r="BG279" s="396"/>
      <c r="BH279" s="396"/>
      <c r="BI279" s="396"/>
      <c r="BJ279" s="396"/>
      <c r="BK279" s="396"/>
      <c r="BL279" s="396"/>
    </row>
    <row r="280" spans="59:64" s="1" customFormat="1">
      <c r="BG280" s="396"/>
      <c r="BH280" s="396"/>
      <c r="BI280" s="396"/>
      <c r="BJ280" s="396"/>
      <c r="BK280" s="396"/>
      <c r="BL280" s="396"/>
    </row>
    <row r="281" spans="59:64" s="1" customFormat="1">
      <c r="BG281" s="396"/>
      <c r="BH281" s="396"/>
      <c r="BI281" s="396"/>
      <c r="BJ281" s="396"/>
      <c r="BK281" s="396"/>
      <c r="BL281" s="396"/>
    </row>
    <row r="282" spans="59:64" s="1" customFormat="1">
      <c r="BG282" s="396"/>
      <c r="BH282" s="396"/>
      <c r="BI282" s="396"/>
      <c r="BJ282" s="396"/>
      <c r="BK282" s="396"/>
      <c r="BL282" s="396"/>
    </row>
    <row r="283" spans="59:64" s="1" customFormat="1">
      <c r="BG283" s="396"/>
      <c r="BH283" s="396"/>
      <c r="BI283" s="396"/>
      <c r="BJ283" s="396"/>
      <c r="BK283" s="396"/>
      <c r="BL283" s="396"/>
    </row>
    <row r="284" spans="59:64" s="1" customFormat="1">
      <c r="BG284" s="396"/>
      <c r="BH284" s="396"/>
      <c r="BI284" s="396"/>
      <c r="BJ284" s="396"/>
      <c r="BK284" s="396"/>
      <c r="BL284" s="396"/>
    </row>
    <row r="285" spans="59:64" s="1" customFormat="1">
      <c r="BG285" s="396"/>
      <c r="BH285" s="396"/>
      <c r="BI285" s="396"/>
      <c r="BJ285" s="396"/>
      <c r="BK285" s="396"/>
      <c r="BL285" s="396"/>
    </row>
    <row r="286" spans="59:64" s="1" customFormat="1">
      <c r="BG286" s="396"/>
      <c r="BH286" s="396"/>
      <c r="BI286" s="396"/>
      <c r="BJ286" s="396"/>
      <c r="BK286" s="396"/>
      <c r="BL286" s="396"/>
    </row>
    <row r="287" spans="59:64" s="1" customFormat="1">
      <c r="BG287" s="396"/>
      <c r="BH287" s="396"/>
      <c r="BI287" s="396"/>
      <c r="BJ287" s="396"/>
      <c r="BK287" s="396"/>
      <c r="BL287" s="396"/>
    </row>
    <row r="288" spans="59:64" s="1" customFormat="1">
      <c r="BG288" s="396"/>
      <c r="BH288" s="396"/>
      <c r="BI288" s="396"/>
      <c r="BJ288" s="396"/>
      <c r="BK288" s="396"/>
      <c r="BL288" s="396"/>
    </row>
    <row r="289" spans="23:64" s="1" customFormat="1">
      <c r="BG289" s="396"/>
      <c r="BH289" s="396"/>
      <c r="BI289" s="396"/>
      <c r="BJ289" s="396"/>
      <c r="BK289" s="396"/>
      <c r="BL289" s="396"/>
    </row>
    <row r="290" spans="23:64" s="1" customFormat="1">
      <c r="BG290" s="396"/>
      <c r="BH290" s="396"/>
      <c r="BI290" s="396"/>
      <c r="BJ290" s="396"/>
      <c r="BK290" s="396"/>
      <c r="BL290" s="396"/>
    </row>
    <row r="291" spans="23:64" s="1" customFormat="1">
      <c r="BG291" s="396"/>
      <c r="BH291" s="396"/>
      <c r="BI291" s="396"/>
      <c r="BJ291" s="396"/>
      <c r="BK291" s="396"/>
      <c r="BL291" s="396"/>
    </row>
    <row r="292" spans="23:64" s="1" customFormat="1">
      <c r="BG292" s="396"/>
      <c r="BH292" s="396"/>
      <c r="BI292" s="396"/>
      <c r="BJ292" s="396"/>
      <c r="BK292" s="396"/>
      <c r="BL292" s="396"/>
    </row>
    <row r="293" spans="23:64" s="1" customFormat="1">
      <c r="BG293" s="396"/>
      <c r="BH293" s="396"/>
      <c r="BI293" s="396"/>
      <c r="BJ293" s="396"/>
      <c r="BK293" s="396"/>
      <c r="BL293" s="396"/>
    </row>
    <row r="294" spans="23:64" s="1" customFormat="1">
      <c r="BG294" s="396"/>
      <c r="BH294" s="396"/>
      <c r="BI294" s="396"/>
      <c r="BJ294" s="396"/>
      <c r="BK294" s="396"/>
      <c r="BL294" s="396"/>
    </row>
    <row r="295" spans="23:64" s="1" customFormat="1">
      <c r="BG295" s="396"/>
      <c r="BH295" s="396"/>
      <c r="BI295" s="396"/>
      <c r="BJ295" s="396"/>
      <c r="BK295" s="396"/>
      <c r="BL295" s="396"/>
    </row>
    <row r="296" spans="23:64" s="1" customFormat="1">
      <c r="BG296" s="396"/>
      <c r="BH296" s="396"/>
      <c r="BI296" s="396"/>
      <c r="BJ296" s="396"/>
      <c r="BK296" s="396"/>
      <c r="BL296" s="396"/>
    </row>
    <row r="297" spans="23:64" s="1" customFormat="1">
      <c r="BG297" s="396"/>
      <c r="BH297" s="396"/>
      <c r="BI297" s="396"/>
      <c r="BJ297" s="396"/>
      <c r="BK297" s="396"/>
      <c r="BL297" s="396"/>
    </row>
    <row r="298" spans="23:64">
      <c r="W298"/>
    </row>
    <row r="299" spans="23:64">
      <c r="W299"/>
    </row>
  </sheetData>
  <mergeCells count="29">
    <mergeCell ref="AV1:AV2"/>
    <mergeCell ref="K1:Q1"/>
    <mergeCell ref="AE1:AE2"/>
    <mergeCell ref="AN1:AN2"/>
    <mergeCell ref="AO1:AO2"/>
    <mergeCell ref="AC1:AC2"/>
    <mergeCell ref="AM1:AM2"/>
    <mergeCell ref="BG1:BG2"/>
    <mergeCell ref="BH1:BH2"/>
    <mergeCell ref="BI1:BI2"/>
    <mergeCell ref="BK1:BK2"/>
    <mergeCell ref="BL1:BL2"/>
    <mergeCell ref="BJ1:BJ2"/>
    <mergeCell ref="BC1:BD1"/>
    <mergeCell ref="BE1:BF1"/>
    <mergeCell ref="B1:C1"/>
    <mergeCell ref="H2:I2"/>
    <mergeCell ref="AH1:AL1"/>
    <mergeCell ref="AY1:AZ1"/>
    <mergeCell ref="AT1:AT2"/>
    <mergeCell ref="S1:S2"/>
    <mergeCell ref="T1:T2"/>
    <mergeCell ref="R1:R2"/>
    <mergeCell ref="AD1:AD2"/>
    <mergeCell ref="BB1:BB2"/>
    <mergeCell ref="BA1:BA2"/>
    <mergeCell ref="F2:G2"/>
    <mergeCell ref="W1:AB1"/>
    <mergeCell ref="AU1:AU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80892-8E5E-468B-8844-991F3D6AA61E}">
  <sheetPr>
    <tabColor theme="0" tint="-4.9989318521683403E-2"/>
  </sheetPr>
  <dimension ref="A1:BT113"/>
  <sheetViews>
    <sheetView topLeftCell="L1" zoomScale="55" zoomScaleNormal="55" workbookViewId="0">
      <selection activeCell="AG1" sqref="AG1:AJ1"/>
    </sheetView>
  </sheetViews>
  <sheetFormatPr baseColWidth="10" defaultRowHeight="14.5"/>
  <cols>
    <col min="2" max="2" width="14.54296875" bestFit="1" customWidth="1"/>
    <col min="3" max="3" width="14.26953125" bestFit="1" customWidth="1"/>
    <col min="4" max="4" width="25.36328125" customWidth="1"/>
    <col min="5" max="5" width="18" bestFit="1" customWidth="1"/>
    <col min="6" max="7" width="18" customWidth="1"/>
    <col min="8" max="8" width="18.6328125" bestFit="1" customWidth="1"/>
    <col min="9" max="10" width="18.6328125" customWidth="1"/>
    <col min="11" max="11" width="14.54296875" bestFit="1" customWidth="1"/>
    <col min="12" max="13" width="14.54296875" customWidth="1"/>
    <col min="14" max="14" width="25.54296875" style="12" customWidth="1"/>
    <col min="17" max="17" width="13.6328125" bestFit="1" customWidth="1"/>
    <col min="18" max="18" width="18" bestFit="1" customWidth="1"/>
    <col min="19" max="19" width="13.1796875" bestFit="1" customWidth="1"/>
    <col min="20" max="20" width="20" bestFit="1" customWidth="1"/>
    <col min="21" max="21" width="18.6328125" bestFit="1" customWidth="1"/>
    <col min="24" max="25" width="13.6328125" bestFit="1" customWidth="1"/>
    <col min="26" max="26" width="21.81640625" bestFit="1" customWidth="1"/>
    <col min="27" max="27" width="16.08984375" bestFit="1" customWidth="1"/>
    <col min="30" max="30" width="20.7265625" bestFit="1" customWidth="1"/>
    <col min="31" max="31" width="25.1796875" bestFit="1" customWidth="1"/>
    <col min="32" max="32" width="23.26953125" bestFit="1" customWidth="1"/>
    <col min="37" max="37" width="22.7265625" customWidth="1"/>
    <col min="38" max="38" width="13.1796875" bestFit="1" customWidth="1"/>
    <col min="39" max="39" width="12" bestFit="1" customWidth="1"/>
    <col min="40" max="40" width="25.54296875" customWidth="1"/>
    <col min="41" max="41" width="17.7265625" customWidth="1"/>
  </cols>
  <sheetData>
    <row r="1" spans="1:72" ht="106.5" customHeight="1" thickBot="1">
      <c r="B1" s="654" t="s">
        <v>251</v>
      </c>
      <c r="C1" s="626" t="s">
        <v>144</v>
      </c>
      <c r="D1" s="628" t="s">
        <v>145</v>
      </c>
      <c r="E1" s="654" t="s">
        <v>253</v>
      </c>
      <c r="F1" s="626" t="s">
        <v>144</v>
      </c>
      <c r="G1" s="628" t="s">
        <v>145</v>
      </c>
      <c r="H1" s="654" t="s">
        <v>254</v>
      </c>
      <c r="I1" s="626" t="s">
        <v>144</v>
      </c>
      <c r="J1" s="628" t="s">
        <v>145</v>
      </c>
      <c r="K1" s="654" t="s">
        <v>255</v>
      </c>
      <c r="L1" s="626" t="s">
        <v>144</v>
      </c>
      <c r="M1" s="628" t="s">
        <v>145</v>
      </c>
      <c r="N1" s="564" t="s">
        <v>142</v>
      </c>
      <c r="O1" s="1"/>
      <c r="P1" s="10" t="s">
        <v>67</v>
      </c>
      <c r="Q1" s="648" t="s">
        <v>212</v>
      </c>
      <c r="R1" s="648"/>
      <c r="S1" s="648"/>
      <c r="T1" s="648"/>
      <c r="U1" s="648"/>
      <c r="V1" s="648" t="s">
        <v>177</v>
      </c>
      <c r="W1" s="648"/>
      <c r="X1" s="645" t="s">
        <v>178</v>
      </c>
      <c r="Y1" s="645"/>
      <c r="Z1" s="645" t="s">
        <v>213</v>
      </c>
      <c r="AA1" s="645"/>
      <c r="AB1" s="649" t="s">
        <v>174</v>
      </c>
      <c r="AC1" s="650"/>
      <c r="AD1" t="s">
        <v>182</v>
      </c>
      <c r="AE1" s="651" t="s">
        <v>204</v>
      </c>
      <c r="AF1" s="651"/>
      <c r="AG1" s="642" t="s">
        <v>82</v>
      </c>
      <c r="AH1" s="643"/>
      <c r="AI1" s="643"/>
      <c r="AJ1" s="644"/>
      <c r="AK1" s="645" t="s">
        <v>83</v>
      </c>
      <c r="AL1" s="645"/>
      <c r="AM1" s="645"/>
      <c r="AN1" s="13" t="s">
        <v>84</v>
      </c>
      <c r="AO1" s="13" t="s">
        <v>85</v>
      </c>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row>
    <row r="2" spans="1:72" ht="21" customHeight="1">
      <c r="B2" s="655"/>
      <c r="C2" s="627"/>
      <c r="D2" s="629"/>
      <c r="E2" s="655"/>
      <c r="F2" s="627"/>
      <c r="G2" s="629"/>
      <c r="H2" s="655"/>
      <c r="I2" s="627"/>
      <c r="J2" s="629"/>
      <c r="K2" s="655"/>
      <c r="L2" s="627"/>
      <c r="M2" s="629"/>
      <c r="N2" s="565" t="s">
        <v>269</v>
      </c>
      <c r="O2" s="1"/>
      <c r="P2" s="20"/>
      <c r="Q2" s="109" t="s">
        <v>86</v>
      </c>
      <c r="R2" s="109" t="s">
        <v>87</v>
      </c>
      <c r="S2" s="109" t="s">
        <v>88</v>
      </c>
      <c r="T2" s="109" t="s">
        <v>252</v>
      </c>
      <c r="U2" s="110" t="s">
        <v>90</v>
      </c>
      <c r="V2" s="109" t="s">
        <v>91</v>
      </c>
      <c r="W2" s="109" t="s">
        <v>92</v>
      </c>
      <c r="X2" s="109" t="s">
        <v>91</v>
      </c>
      <c r="Y2" s="109" t="s">
        <v>92</v>
      </c>
      <c r="Z2" s="109" t="s">
        <v>93</v>
      </c>
      <c r="AA2" s="109" t="s">
        <v>94</v>
      </c>
      <c r="AB2" s="109" t="s">
        <v>95</v>
      </c>
      <c r="AC2" s="109" t="s">
        <v>96</v>
      </c>
      <c r="AD2" s="109" t="s">
        <v>97</v>
      </c>
      <c r="AE2" s="109" t="s">
        <v>98</v>
      </c>
      <c r="AF2" s="109" t="s">
        <v>99</v>
      </c>
      <c r="AG2" s="109" t="s">
        <v>96</v>
      </c>
      <c r="AH2" s="109" t="s">
        <v>95</v>
      </c>
      <c r="AI2" s="109" t="s">
        <v>100</v>
      </c>
      <c r="AJ2" s="109"/>
      <c r="AK2" s="20" t="s">
        <v>101</v>
      </c>
      <c r="AL2" s="20" t="s">
        <v>102</v>
      </c>
      <c r="AM2" s="20" t="s">
        <v>103</v>
      </c>
      <c r="AN2" s="20" t="s">
        <v>104</v>
      </c>
      <c r="AO2" s="20" t="s">
        <v>105</v>
      </c>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row>
    <row r="3" spans="1:72" ht="72.5">
      <c r="A3" s="21" t="s">
        <v>21</v>
      </c>
      <c r="B3" s="62">
        <v>700</v>
      </c>
      <c r="C3" s="61">
        <f>MIN(X3,AB3,AE3,AL3,AO3,AH3,V3,Q3)</f>
        <v>371.70000000000005</v>
      </c>
      <c r="D3" s="395">
        <f>MAX(X3,AB3,AE3,AL3,AO3,AH3,V3,Q3)</f>
        <v>3651</v>
      </c>
      <c r="E3" s="62">
        <v>1400</v>
      </c>
      <c r="F3" s="61">
        <f>MIN(AM3,AH3,AE3,AB3,X3,V3,T3)</f>
        <v>371.70000000000005</v>
      </c>
      <c r="G3" s="395">
        <f>MAX(AM3,AH3,AE3,AB3,X3,V3,T3)</f>
        <v>3856</v>
      </c>
      <c r="H3" s="583">
        <v>500</v>
      </c>
      <c r="I3" s="74">
        <f>MIN(AG3,AF3,AC3,AA3,Y3,W3,R3)</f>
        <v>446.9</v>
      </c>
      <c r="J3" s="584">
        <f>MAX(AG3,AF3,AC3,AA3,Y3,W3,R3)</f>
        <v>2063</v>
      </c>
      <c r="K3" s="45">
        <v>1600</v>
      </c>
      <c r="L3" s="83">
        <v>1600</v>
      </c>
      <c r="M3" s="586">
        <v>1600</v>
      </c>
      <c r="N3" s="566" t="s">
        <v>270</v>
      </c>
      <c r="O3" s="1"/>
      <c r="P3" s="91" t="s">
        <v>21</v>
      </c>
      <c r="Q3" s="26">
        <v>700</v>
      </c>
      <c r="R3" s="26">
        <v>500</v>
      </c>
      <c r="S3" s="26">
        <v>1600</v>
      </c>
      <c r="T3" s="26">
        <v>1400</v>
      </c>
      <c r="U3" s="111" t="s">
        <v>106</v>
      </c>
      <c r="V3" s="14"/>
      <c r="W3" s="14"/>
      <c r="X3" s="60">
        <f>1000*(123.9*0.3/100)</f>
        <v>371.70000000000005</v>
      </c>
      <c r="Y3" s="60">
        <f>1000*(446.9*0.001)</f>
        <v>446.9</v>
      </c>
      <c r="Z3" s="14"/>
      <c r="AA3" s="14"/>
      <c r="AB3" s="27">
        <v>1372</v>
      </c>
      <c r="AC3" s="60">
        <v>2063</v>
      </c>
      <c r="AD3" s="14"/>
      <c r="AE3" s="27">
        <v>759.38</v>
      </c>
      <c r="AF3" s="27">
        <v>1061</v>
      </c>
      <c r="AG3" s="20"/>
      <c r="AH3" s="20"/>
      <c r="AI3" s="20">
        <v>1311.8571428571429</v>
      </c>
      <c r="AJ3" s="20"/>
      <c r="AK3" s="20">
        <v>4965</v>
      </c>
      <c r="AL3" s="20">
        <v>3651</v>
      </c>
      <c r="AM3" s="20">
        <v>3856</v>
      </c>
      <c r="AN3" s="20">
        <v>13200</v>
      </c>
      <c r="AO3" s="20"/>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row>
    <row r="4" spans="1:72" ht="65" customHeight="1">
      <c r="A4" s="37" t="s">
        <v>23</v>
      </c>
      <c r="B4" s="68">
        <v>0</v>
      </c>
      <c r="C4" s="61">
        <v>0</v>
      </c>
      <c r="D4" s="395">
        <f>MAX(X4,AB4,AE4,AL4,AO4,AH4,V4,Q4)</f>
        <v>1</v>
      </c>
      <c r="E4" s="68">
        <v>0</v>
      </c>
      <c r="F4" s="61">
        <v>0</v>
      </c>
      <c r="G4" s="395">
        <f>MAX(AM4,AH4,AE4,AB4,X4,V4,T4)</f>
        <v>1</v>
      </c>
      <c r="H4" s="68">
        <v>6</v>
      </c>
      <c r="I4" s="61">
        <f>MIN(AG4,AF4,AC4,AA4,Y4,W4,R4)</f>
        <v>6</v>
      </c>
      <c r="J4" s="395">
        <f>MAX(AG4,AF4,AC4,AA4,Y4,W4,R4)</f>
        <v>7</v>
      </c>
      <c r="K4" s="137">
        <v>1</v>
      </c>
      <c r="L4" s="114">
        <v>1</v>
      </c>
      <c r="M4" s="138">
        <v>1</v>
      </c>
      <c r="N4" s="567" t="s">
        <v>271</v>
      </c>
      <c r="O4" s="1"/>
      <c r="P4" s="28" t="s">
        <v>23</v>
      </c>
      <c r="Q4" s="26">
        <v>0</v>
      </c>
      <c r="R4" s="26">
        <v>6</v>
      </c>
      <c r="S4" s="26">
        <v>1</v>
      </c>
      <c r="T4" s="26">
        <v>0</v>
      </c>
      <c r="U4" s="111" t="s">
        <v>107</v>
      </c>
      <c r="V4" s="14"/>
      <c r="W4" s="14"/>
      <c r="X4" s="14"/>
      <c r="Y4" s="14"/>
      <c r="Z4" s="14"/>
      <c r="AA4" s="14"/>
      <c r="AB4" s="27">
        <v>1</v>
      </c>
      <c r="AC4" s="27">
        <v>7</v>
      </c>
      <c r="AD4" s="14"/>
      <c r="AE4" s="14"/>
      <c r="AF4" s="14"/>
      <c r="AG4" s="20"/>
      <c r="AH4" s="20"/>
      <c r="AI4" s="20">
        <v>6</v>
      </c>
      <c r="AJ4" s="20"/>
      <c r="AK4" s="20"/>
      <c r="AL4" s="20"/>
      <c r="AM4" s="20"/>
      <c r="AN4" s="20"/>
      <c r="AO4" s="20"/>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row>
    <row r="5" spans="1:72" ht="21.5" customHeight="1">
      <c r="A5" s="37" t="s">
        <v>24</v>
      </c>
      <c r="B5" s="458">
        <v>0</v>
      </c>
      <c r="C5" s="459">
        <v>0</v>
      </c>
      <c r="D5" s="460">
        <v>0</v>
      </c>
      <c r="E5" s="458">
        <v>0</v>
      </c>
      <c r="F5" s="459">
        <v>0</v>
      </c>
      <c r="G5" s="460">
        <v>0</v>
      </c>
      <c r="H5" s="458">
        <v>0</v>
      </c>
      <c r="I5" s="459">
        <v>0</v>
      </c>
      <c r="J5" s="460">
        <v>0</v>
      </c>
      <c r="K5" s="458">
        <v>0</v>
      </c>
      <c r="L5" s="459"/>
      <c r="M5" s="460"/>
      <c r="N5" s="568"/>
      <c r="O5" s="1"/>
      <c r="P5" s="91" t="s">
        <v>72</v>
      </c>
      <c r="Q5" s="26">
        <v>525</v>
      </c>
      <c r="R5" s="26">
        <v>525</v>
      </c>
      <c r="S5" s="26">
        <v>580</v>
      </c>
      <c r="T5" s="26">
        <v>470</v>
      </c>
      <c r="U5" s="111" t="s">
        <v>108</v>
      </c>
      <c r="V5" s="27">
        <v>470</v>
      </c>
      <c r="W5" s="27">
        <v>525</v>
      </c>
      <c r="X5" s="14"/>
      <c r="Y5" s="14"/>
      <c r="Z5" s="14"/>
      <c r="AA5" s="14"/>
      <c r="AB5" s="60">
        <v>683</v>
      </c>
      <c r="AC5" s="60">
        <v>372</v>
      </c>
      <c r="AD5" s="14"/>
      <c r="AE5" s="60">
        <v>2002.51</v>
      </c>
      <c r="AF5" s="60">
        <v>8140.56</v>
      </c>
      <c r="AG5" s="20"/>
      <c r="AH5" s="20"/>
      <c r="AI5" s="20">
        <f>AVERAGE(239,525)</f>
        <v>382</v>
      </c>
      <c r="AJ5" s="20"/>
      <c r="AK5" s="20"/>
      <c r="AL5" s="20"/>
      <c r="AM5" s="20"/>
      <c r="AN5" s="20"/>
      <c r="AO5" s="20"/>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row>
    <row r="6" spans="1:72" ht="48" customHeight="1">
      <c r="A6" s="21" t="s">
        <v>72</v>
      </c>
      <c r="B6" s="68">
        <v>525</v>
      </c>
      <c r="C6" s="61">
        <f>MIN(X5,AB5,AE5,AL5,AO5,AH5,V5,Q5)</f>
        <v>470</v>
      </c>
      <c r="D6" s="395">
        <f>MAX(X5,AB5,AL5,AO5,AH5,V5,Q5)</f>
        <v>683</v>
      </c>
      <c r="E6" s="68">
        <v>470</v>
      </c>
      <c r="F6" s="61">
        <f>MIN(AM5,AH5,AE5,AB5,X5,V5,T5)</f>
        <v>470</v>
      </c>
      <c r="G6" s="395">
        <f>MAX(AM5,AH5,AB5,X5,V5,T5)</f>
        <v>683</v>
      </c>
      <c r="H6" s="68">
        <v>525</v>
      </c>
      <c r="I6" s="61">
        <f>MIN(AG5,AF5,AC5,AA5,Y5,W5,R5)</f>
        <v>372</v>
      </c>
      <c r="J6" s="395">
        <f>MAX(AG5,AC5,AA5,Y5,W5,R5)</f>
        <v>525</v>
      </c>
      <c r="K6" s="68">
        <v>580</v>
      </c>
      <c r="L6" s="106">
        <v>580</v>
      </c>
      <c r="M6" s="139">
        <v>580</v>
      </c>
      <c r="N6" s="567" t="s">
        <v>272</v>
      </c>
      <c r="O6" s="1"/>
      <c r="P6" s="28" t="s">
        <v>25</v>
      </c>
      <c r="Q6" s="26">
        <v>369000</v>
      </c>
      <c r="R6" s="26">
        <v>243000</v>
      </c>
      <c r="S6" s="26">
        <v>413000</v>
      </c>
      <c r="T6" s="26">
        <v>355000</v>
      </c>
      <c r="U6" s="111" t="s">
        <v>109</v>
      </c>
      <c r="V6" s="14"/>
      <c r="W6" s="14"/>
      <c r="X6" s="14"/>
      <c r="Y6" s="14"/>
      <c r="Z6" s="14"/>
      <c r="AA6" s="14"/>
      <c r="AB6" s="14"/>
      <c r="AC6" s="14"/>
      <c r="AD6" s="14"/>
      <c r="AE6" s="14">
        <v>0</v>
      </c>
      <c r="AF6" s="14" t="s">
        <v>110</v>
      </c>
      <c r="AG6" s="20"/>
      <c r="AH6" s="20"/>
      <c r="AI6" s="20"/>
      <c r="AJ6" s="20"/>
      <c r="AK6" s="20">
        <v>487879</v>
      </c>
      <c r="AL6" s="20">
        <v>818261</v>
      </c>
      <c r="AM6" s="20">
        <v>380000</v>
      </c>
      <c r="AN6" s="20">
        <v>365440</v>
      </c>
      <c r="AO6" s="20"/>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row>
    <row r="7" spans="1:72" ht="23" customHeight="1">
      <c r="A7" s="21" t="s">
        <v>73</v>
      </c>
      <c r="B7" s="458">
        <v>0</v>
      </c>
      <c r="C7" s="459"/>
      <c r="D7" s="460"/>
      <c r="E7" s="458">
        <v>0</v>
      </c>
      <c r="F7" s="459"/>
      <c r="G7" s="460"/>
      <c r="H7" s="458">
        <v>0</v>
      </c>
      <c r="I7" s="459"/>
      <c r="J7" s="460"/>
      <c r="K7" s="458"/>
      <c r="L7" s="459"/>
      <c r="M7" s="460"/>
      <c r="N7" s="568"/>
      <c r="O7" s="1"/>
      <c r="P7" s="91" t="s">
        <v>74</v>
      </c>
      <c r="Q7" s="26">
        <v>5000</v>
      </c>
      <c r="R7" s="26">
        <v>3000</v>
      </c>
      <c r="S7" s="26">
        <v>950</v>
      </c>
      <c r="T7" s="26">
        <v>1400</v>
      </c>
      <c r="U7" s="111" t="s">
        <v>111</v>
      </c>
      <c r="V7" s="27">
        <v>2900</v>
      </c>
      <c r="W7" s="112">
        <v>8000</v>
      </c>
      <c r="X7" s="27">
        <f>1000*(123.9*3.1/100)</f>
        <v>3840.9000000000005</v>
      </c>
      <c r="Y7" s="27">
        <f>1000*(446.9*0.6/100)</f>
        <v>2681.4</v>
      </c>
      <c r="Z7" s="27">
        <v>4082</v>
      </c>
      <c r="AA7" s="27">
        <v>4700</v>
      </c>
      <c r="AB7" s="27">
        <v>2497</v>
      </c>
      <c r="AC7" s="112">
        <v>9371</v>
      </c>
      <c r="AD7" s="27">
        <v>2000</v>
      </c>
      <c r="AE7" s="43">
        <v>9620.82</v>
      </c>
      <c r="AF7" s="27">
        <v>3143.3</v>
      </c>
      <c r="AG7" s="20"/>
      <c r="AH7" s="20"/>
      <c r="AI7" s="20">
        <v>5794.8846153846152</v>
      </c>
      <c r="AJ7" s="20"/>
      <c r="AK7" s="20"/>
      <c r="AL7" s="20"/>
      <c r="AM7" s="20"/>
      <c r="AN7" s="20">
        <v>3320</v>
      </c>
      <c r="AO7" s="20"/>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row>
    <row r="8" spans="1:72" ht="16" customHeight="1">
      <c r="A8" s="52" t="s">
        <v>25</v>
      </c>
      <c r="B8" s="56">
        <v>369000</v>
      </c>
      <c r="C8" s="105">
        <v>369000</v>
      </c>
      <c r="D8" s="178">
        <v>369000</v>
      </c>
      <c r="E8" s="56">
        <v>355000</v>
      </c>
      <c r="F8" s="105">
        <v>355000</v>
      </c>
      <c r="G8" s="178">
        <v>355000</v>
      </c>
      <c r="H8" s="56">
        <v>243000</v>
      </c>
      <c r="I8" s="105">
        <v>243000</v>
      </c>
      <c r="J8" s="178">
        <v>243000</v>
      </c>
      <c r="K8" s="56">
        <v>413000</v>
      </c>
      <c r="L8" s="105">
        <v>413000</v>
      </c>
      <c r="M8" s="178">
        <v>413000</v>
      </c>
      <c r="N8" s="566" t="s">
        <v>273</v>
      </c>
      <c r="O8" s="1"/>
      <c r="P8" s="107" t="s">
        <v>28</v>
      </c>
      <c r="Q8" s="26">
        <v>6</v>
      </c>
      <c r="R8" s="26">
        <v>17</v>
      </c>
      <c r="S8" s="26">
        <v>6</v>
      </c>
      <c r="T8" s="26">
        <v>2</v>
      </c>
      <c r="U8" s="111" t="s">
        <v>112</v>
      </c>
      <c r="V8" s="14"/>
      <c r="W8" s="14"/>
      <c r="X8" s="14"/>
      <c r="Y8" s="14"/>
      <c r="Z8" s="14"/>
      <c r="AA8" s="27">
        <v>13</v>
      </c>
      <c r="AB8" s="27">
        <v>0</v>
      </c>
      <c r="AC8" s="27">
        <v>16</v>
      </c>
      <c r="AD8" s="60">
        <v>33</v>
      </c>
      <c r="AE8" s="27">
        <v>0</v>
      </c>
      <c r="AF8" s="14">
        <v>0</v>
      </c>
      <c r="AG8" s="20"/>
      <c r="AH8" s="20"/>
      <c r="AI8" s="20"/>
      <c r="AJ8" s="20"/>
      <c r="AK8" s="20"/>
      <c r="AL8" s="20"/>
      <c r="AM8" s="20"/>
      <c r="AN8" s="20"/>
      <c r="AO8" s="20">
        <v>12</v>
      </c>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row>
    <row r="9" spans="1:72" ht="41" customHeight="1">
      <c r="A9" s="21" t="s">
        <v>74</v>
      </c>
      <c r="B9" s="68">
        <v>5000</v>
      </c>
      <c r="C9" s="61">
        <f>MIN(X7,AB7,AE7,AL7,AO7,AH7,V7,Q7)</f>
        <v>2497</v>
      </c>
      <c r="D9" s="395">
        <f>MAX(X7,AB7,AE7,AL7,AO7,AH7,V7,Q7)</f>
        <v>9620.82</v>
      </c>
      <c r="E9" s="68">
        <v>1400</v>
      </c>
      <c r="F9" s="61">
        <f>MIN(AM7,AH7,AE7,AB7,X7,V7,T7)</f>
        <v>1400</v>
      </c>
      <c r="G9" s="395">
        <f>MAX(AM7,AH7,AB7,X7,V7,T7)</f>
        <v>3840.9000000000005</v>
      </c>
      <c r="H9" s="68">
        <v>8000</v>
      </c>
      <c r="I9" s="61">
        <f>MIN(AG7,AF7,AC7,AA7,Y7,W7,R7)</f>
        <v>2681.4</v>
      </c>
      <c r="J9" s="395">
        <f>MAX(AG7,AF7,AC7,AA7,Y7,W7,R7)</f>
        <v>9371</v>
      </c>
      <c r="K9" s="56">
        <v>950</v>
      </c>
      <c r="L9" s="105">
        <v>950</v>
      </c>
      <c r="M9" s="178">
        <v>950</v>
      </c>
      <c r="N9" s="567" t="s">
        <v>277</v>
      </c>
      <c r="O9" s="1"/>
      <c r="P9" s="28" t="s">
        <v>113</v>
      </c>
      <c r="Q9" s="26">
        <v>8100</v>
      </c>
      <c r="R9" s="26">
        <v>8100</v>
      </c>
      <c r="S9" s="26">
        <v>8400</v>
      </c>
      <c r="T9" s="26">
        <v>7700</v>
      </c>
      <c r="U9" s="111" t="s">
        <v>114</v>
      </c>
      <c r="V9" s="14"/>
      <c r="W9" s="14"/>
      <c r="X9" s="14"/>
      <c r="Y9" s="14"/>
      <c r="Z9" s="14"/>
      <c r="AA9" s="14"/>
      <c r="AB9" s="14"/>
      <c r="AC9" s="14"/>
      <c r="AD9" s="14"/>
      <c r="AE9" s="14"/>
      <c r="AF9" s="14"/>
      <c r="AG9" s="20"/>
      <c r="AH9" s="20"/>
      <c r="AI9" s="20"/>
      <c r="AJ9" s="20"/>
      <c r="AK9" s="20">
        <v>10255</v>
      </c>
      <c r="AL9" s="20">
        <v>7549</v>
      </c>
      <c r="AM9" s="20">
        <v>4013</v>
      </c>
      <c r="AN9" s="20">
        <v>9580</v>
      </c>
      <c r="AO9" s="20"/>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row>
    <row r="10" spans="1:72" ht="52.5" customHeight="1">
      <c r="A10" s="66" t="s">
        <v>28</v>
      </c>
      <c r="B10" s="68">
        <v>6</v>
      </c>
      <c r="C10" s="61">
        <v>6</v>
      </c>
      <c r="D10" s="395">
        <f>MAX(X8,AB8,AE8,AL8,AO8,AH8,V8,Q8)</f>
        <v>12</v>
      </c>
      <c r="E10" s="68">
        <v>2</v>
      </c>
      <c r="F10" s="61">
        <v>2</v>
      </c>
      <c r="G10" s="395">
        <f>MAX(AM8,AH8,AE8,AB8,X8,V8,T8)</f>
        <v>2</v>
      </c>
      <c r="H10" s="68">
        <v>17</v>
      </c>
      <c r="I10" s="61">
        <v>17</v>
      </c>
      <c r="J10" s="395">
        <f>MAX(AG8,AF8,AC8,AA8,Y8,W8,R8)</f>
        <v>17</v>
      </c>
      <c r="K10" s="68">
        <v>6</v>
      </c>
      <c r="L10" s="106">
        <v>6</v>
      </c>
      <c r="M10" s="139">
        <v>6</v>
      </c>
      <c r="N10" s="566" t="s">
        <v>274</v>
      </c>
      <c r="O10" s="1"/>
      <c r="P10" s="28" t="s">
        <v>33</v>
      </c>
      <c r="Q10" s="26">
        <v>20100</v>
      </c>
      <c r="R10" s="26">
        <v>20100</v>
      </c>
      <c r="S10" s="26">
        <v>20800</v>
      </c>
      <c r="T10" s="26">
        <v>18000</v>
      </c>
      <c r="U10" s="111" t="s">
        <v>115</v>
      </c>
      <c r="V10" s="14"/>
      <c r="W10" s="14"/>
      <c r="X10" s="14"/>
      <c r="Y10" s="14"/>
      <c r="Z10" s="14"/>
      <c r="AA10" s="14"/>
      <c r="AB10" s="14"/>
      <c r="AC10" s="14"/>
      <c r="AD10" s="112">
        <v>140000</v>
      </c>
      <c r="AE10" s="112">
        <v>182423</v>
      </c>
      <c r="AF10" s="112">
        <v>149760</v>
      </c>
      <c r="AG10" s="20"/>
      <c r="AH10" s="20"/>
      <c r="AI10" s="20"/>
      <c r="AJ10" s="20"/>
      <c r="AK10" s="14" t="s">
        <v>116</v>
      </c>
      <c r="AL10" s="14">
        <v>138973</v>
      </c>
      <c r="AM10" s="14">
        <v>91897</v>
      </c>
      <c r="AN10" s="14" t="s">
        <v>117</v>
      </c>
      <c r="AO10" s="20"/>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row>
    <row r="11" spans="1:72">
      <c r="A11" s="21" t="s">
        <v>29</v>
      </c>
      <c r="B11" s="458">
        <v>0</v>
      </c>
      <c r="C11" s="459"/>
      <c r="D11" s="460">
        <v>0</v>
      </c>
      <c r="E11" s="458">
        <v>0</v>
      </c>
      <c r="F11" s="459"/>
      <c r="G11" s="460">
        <v>0</v>
      </c>
      <c r="H11" s="458">
        <v>0</v>
      </c>
      <c r="I11" s="459"/>
      <c r="J11" s="460"/>
      <c r="K11" s="458">
        <v>0</v>
      </c>
      <c r="L11" s="459"/>
      <c r="M11" s="460"/>
      <c r="N11" s="568"/>
      <c r="O11" s="1"/>
      <c r="P11" s="11" t="s">
        <v>35</v>
      </c>
      <c r="Q11" s="26"/>
      <c r="R11" s="26"/>
      <c r="S11" s="26"/>
      <c r="T11" s="26"/>
      <c r="U11" s="111"/>
      <c r="V11" s="14"/>
      <c r="W11" s="14"/>
      <c r="X11" s="14"/>
      <c r="Y11" s="14"/>
      <c r="Z11" s="14"/>
      <c r="AA11" s="14"/>
      <c r="AB11" s="14"/>
      <c r="AC11" s="14"/>
      <c r="AD11" s="112"/>
      <c r="AE11" s="112"/>
      <c r="AF11" s="112"/>
      <c r="AG11" s="20" t="s">
        <v>118</v>
      </c>
      <c r="AH11" s="20"/>
      <c r="AI11" s="20"/>
      <c r="AJ11" s="20"/>
      <c r="AK11" s="20"/>
      <c r="AM11" s="20"/>
      <c r="AN11" s="20"/>
      <c r="AO11" s="20"/>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row>
    <row r="12" spans="1:72">
      <c r="A12" s="21" t="s">
        <v>75</v>
      </c>
      <c r="B12" s="458">
        <v>0</v>
      </c>
      <c r="C12" s="459"/>
      <c r="D12" s="460">
        <v>0</v>
      </c>
      <c r="E12" s="458">
        <v>0</v>
      </c>
      <c r="F12" s="459"/>
      <c r="G12" s="575"/>
      <c r="H12" s="458">
        <v>0</v>
      </c>
      <c r="I12" s="459"/>
      <c r="J12" s="460"/>
      <c r="K12" s="458">
        <v>0</v>
      </c>
      <c r="L12" s="459"/>
      <c r="M12" s="460"/>
      <c r="N12" s="568"/>
      <c r="O12" s="1"/>
      <c r="P12" s="91" t="s">
        <v>38</v>
      </c>
      <c r="Q12" s="26">
        <v>790</v>
      </c>
      <c r="R12" s="26">
        <v>790</v>
      </c>
      <c r="S12" s="26">
        <v>800</v>
      </c>
      <c r="T12" s="26">
        <v>780</v>
      </c>
      <c r="U12" s="111" t="s">
        <v>119</v>
      </c>
      <c r="V12" s="27">
        <v>780</v>
      </c>
      <c r="W12" s="27">
        <v>790</v>
      </c>
      <c r="X12" s="14"/>
      <c r="Y12" s="14"/>
      <c r="Z12" s="14"/>
      <c r="AA12" s="14"/>
      <c r="AB12" s="112">
        <v>57</v>
      </c>
      <c r="AC12" s="112">
        <v>57</v>
      </c>
      <c r="AD12" s="14"/>
      <c r="AE12" s="27">
        <v>969.23800000000006</v>
      </c>
      <c r="AF12" s="60">
        <v>1028.3</v>
      </c>
      <c r="AG12" s="20"/>
      <c r="AH12" s="20"/>
      <c r="AI12" s="20"/>
      <c r="AJ12" s="20"/>
      <c r="AK12" s="20"/>
      <c r="AL12" s="20"/>
      <c r="AM12" s="20"/>
      <c r="AN12" s="20"/>
      <c r="AO12" s="20"/>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row>
    <row r="13" spans="1:72">
      <c r="A13" s="37" t="s">
        <v>30</v>
      </c>
      <c r="B13" s="56">
        <v>8100</v>
      </c>
      <c r="C13" s="105">
        <v>8100</v>
      </c>
      <c r="D13" s="178">
        <v>8100</v>
      </c>
      <c r="E13" s="56">
        <v>7700</v>
      </c>
      <c r="F13" s="105">
        <v>7700</v>
      </c>
      <c r="G13" s="178">
        <v>7700</v>
      </c>
      <c r="H13" s="56">
        <v>8100</v>
      </c>
      <c r="I13" s="105">
        <v>8100</v>
      </c>
      <c r="J13" s="178">
        <v>8100</v>
      </c>
      <c r="K13" s="56">
        <v>8400</v>
      </c>
      <c r="L13" s="105">
        <v>8400</v>
      </c>
      <c r="M13" s="178">
        <v>8400</v>
      </c>
      <c r="N13" s="566" t="s">
        <v>273</v>
      </c>
      <c r="O13" s="1"/>
      <c r="P13" s="91" t="s">
        <v>76</v>
      </c>
      <c r="Q13" s="26">
        <v>109</v>
      </c>
      <c r="R13" s="26">
        <v>109</v>
      </c>
      <c r="S13" s="26">
        <v>119</v>
      </c>
      <c r="T13" s="26">
        <v>99</v>
      </c>
      <c r="U13" s="111" t="s">
        <v>120</v>
      </c>
      <c r="V13" s="27">
        <v>99</v>
      </c>
      <c r="W13" s="27">
        <v>109</v>
      </c>
      <c r="X13" s="14"/>
      <c r="Y13" s="14"/>
      <c r="Z13" s="14"/>
      <c r="AA13" s="14"/>
      <c r="AB13" s="112">
        <v>335</v>
      </c>
      <c r="AC13" s="112">
        <v>335</v>
      </c>
      <c r="AD13" s="14"/>
      <c r="AE13" s="14"/>
      <c r="AF13" s="14"/>
      <c r="AG13" s="20"/>
      <c r="AH13" s="20"/>
      <c r="AI13" s="20"/>
      <c r="AJ13" s="20"/>
      <c r="AK13" s="20"/>
      <c r="AL13" s="20"/>
      <c r="AM13" s="20"/>
      <c r="AN13" s="20"/>
      <c r="AO13" s="20"/>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row>
    <row r="14" spans="1:72">
      <c r="A14" s="37" t="s">
        <v>31</v>
      </c>
      <c r="B14" s="576">
        <v>0</v>
      </c>
      <c r="C14" s="530"/>
      <c r="D14" s="577"/>
      <c r="E14" s="576">
        <v>0</v>
      </c>
      <c r="F14" s="530"/>
      <c r="G14" s="577"/>
      <c r="H14" s="576">
        <v>0</v>
      </c>
      <c r="I14" s="530"/>
      <c r="J14" s="577"/>
      <c r="K14" s="576">
        <v>0</v>
      </c>
      <c r="L14" s="530"/>
      <c r="M14" s="577"/>
      <c r="N14" s="568"/>
      <c r="O14" s="1"/>
      <c r="P14" s="107" t="s">
        <v>39</v>
      </c>
      <c r="Q14" s="26">
        <v>28</v>
      </c>
      <c r="R14" s="26">
        <v>180</v>
      </c>
      <c r="S14" s="26">
        <v>51</v>
      </c>
      <c r="T14" s="26">
        <v>12</v>
      </c>
      <c r="U14" s="111" t="s">
        <v>121</v>
      </c>
      <c r="V14" s="14"/>
      <c r="W14" s="14"/>
      <c r="X14" s="14"/>
      <c r="Y14" s="14"/>
      <c r="Z14" s="14"/>
      <c r="AA14" s="60">
        <v>200</v>
      </c>
      <c r="AB14" s="60"/>
      <c r="AC14" s="27">
        <v>148</v>
      </c>
      <c r="AD14" s="27">
        <v>186</v>
      </c>
      <c r="AE14" s="60">
        <v>6.0000000000000001E-3</v>
      </c>
      <c r="AF14" s="60">
        <v>4.3489999999999996E-3</v>
      </c>
      <c r="AG14" s="20"/>
      <c r="AH14" s="20"/>
      <c r="AI14" s="20">
        <v>169.16666666666666</v>
      </c>
      <c r="AJ14" s="20"/>
      <c r="AK14" s="20"/>
      <c r="AL14" s="20"/>
      <c r="AM14" s="20"/>
      <c r="AN14" s="20"/>
      <c r="AO14" s="20">
        <v>186</v>
      </c>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row>
    <row r="15" spans="1:72">
      <c r="A15" s="21" t="s">
        <v>32</v>
      </c>
      <c r="B15" s="576">
        <v>0</v>
      </c>
      <c r="C15" s="530"/>
      <c r="D15" s="577"/>
      <c r="E15" s="576">
        <v>0</v>
      </c>
      <c r="F15" s="530"/>
      <c r="G15" s="577"/>
      <c r="H15" s="576">
        <v>0</v>
      </c>
      <c r="I15" s="530"/>
      <c r="J15" s="577"/>
      <c r="K15" s="576">
        <v>0</v>
      </c>
      <c r="L15" s="530"/>
      <c r="M15" s="577"/>
      <c r="N15" s="568"/>
      <c r="O15" s="1"/>
      <c r="P15" s="91" t="s">
        <v>40</v>
      </c>
      <c r="Q15" s="26">
        <v>340</v>
      </c>
      <c r="R15" s="26">
        <v>240</v>
      </c>
      <c r="S15" s="26">
        <v>440</v>
      </c>
      <c r="T15" s="26">
        <v>430</v>
      </c>
      <c r="U15" s="111" t="s">
        <v>122</v>
      </c>
      <c r="V15" s="27">
        <v>403.5</v>
      </c>
      <c r="W15" s="27">
        <v>240</v>
      </c>
      <c r="X15" s="14"/>
      <c r="Y15" s="14"/>
      <c r="Z15" s="27">
        <v>377</v>
      </c>
      <c r="AA15" s="27">
        <v>377</v>
      </c>
      <c r="AB15" s="27">
        <v>427</v>
      </c>
      <c r="AC15" s="27">
        <v>427</v>
      </c>
      <c r="AD15" s="14"/>
      <c r="AE15" s="112">
        <v>1489.59</v>
      </c>
      <c r="AF15" s="112">
        <v>4849.7</v>
      </c>
      <c r="AG15" s="20"/>
      <c r="AH15" s="20"/>
      <c r="AI15" s="20">
        <v>200</v>
      </c>
      <c r="AJ15" s="20"/>
      <c r="AK15" s="20"/>
      <c r="AL15" s="20"/>
      <c r="AM15" s="20"/>
      <c r="AN15" s="20"/>
      <c r="AO15" s="20"/>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row>
    <row r="16" spans="1:72" ht="27.5" customHeight="1">
      <c r="A16" s="563" t="s">
        <v>33</v>
      </c>
      <c r="B16" s="262">
        <v>149275.20000000001</v>
      </c>
      <c r="C16" s="531">
        <f>MIN(X10,AB10,AE10,AL10,AO10,AH10,V10)</f>
        <v>138973</v>
      </c>
      <c r="D16" s="578">
        <f>MAX(X10,AB10,AE10,AL10,AO10,AH10,V10,Q10)</f>
        <v>182423</v>
      </c>
      <c r="E16" s="262">
        <v>128581.8</v>
      </c>
      <c r="F16" s="531">
        <f>MIN(AM10,AH10,AE10,AB10,X10,V10)</f>
        <v>91897</v>
      </c>
      <c r="G16" s="578">
        <f>MAX(AM10,AH10,AE10,AB10,X10,V10,T10)</f>
        <v>182423</v>
      </c>
      <c r="H16" s="262">
        <v>299578.92853999999</v>
      </c>
      <c r="I16" s="531">
        <f>MIN(AG10,AF10,AC10,AA10,Y10,W10)</f>
        <v>149760</v>
      </c>
      <c r="J16" s="578">
        <v>299578.92853999999</v>
      </c>
      <c r="K16" s="262">
        <v>125510.2</v>
      </c>
      <c r="L16" s="531">
        <v>125510.2</v>
      </c>
      <c r="M16" s="578">
        <v>125510.2</v>
      </c>
      <c r="N16" s="569" t="s">
        <v>279</v>
      </c>
      <c r="O16" s="1"/>
      <c r="P16" s="28" t="s">
        <v>43</v>
      </c>
      <c r="Q16" s="26">
        <v>4600</v>
      </c>
      <c r="R16" s="26">
        <v>4600</v>
      </c>
      <c r="S16" s="26">
        <v>4600</v>
      </c>
      <c r="T16" s="26">
        <v>4600</v>
      </c>
      <c r="U16" s="111" t="s">
        <v>123</v>
      </c>
      <c r="V16" s="14"/>
      <c r="W16" s="14"/>
      <c r="X16" s="14"/>
      <c r="Y16" s="14"/>
      <c r="Z16" s="14"/>
      <c r="AA16" s="14"/>
      <c r="AB16" s="14"/>
      <c r="AC16" s="14"/>
      <c r="AD16" s="14"/>
      <c r="AE16" s="14"/>
      <c r="AF16" s="14"/>
      <c r="AG16" s="20"/>
      <c r="AH16" s="20"/>
      <c r="AI16" s="20"/>
      <c r="AJ16" s="20"/>
      <c r="AK16" s="20">
        <v>1818</v>
      </c>
      <c r="AL16" s="20">
        <v>0</v>
      </c>
      <c r="AM16" s="20">
        <v>233</v>
      </c>
      <c r="AN16" s="20"/>
      <c r="AO16" s="20"/>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row>
    <row r="17" spans="1:72" ht="16" customHeight="1">
      <c r="A17" s="37" t="s">
        <v>35</v>
      </c>
      <c r="B17" s="579">
        <v>0</v>
      </c>
      <c r="C17" s="264">
        <f>MIN(X11,AB11,AE11,AL11,AO11,AH11,V11,Q11)</f>
        <v>0</v>
      </c>
      <c r="D17" s="580">
        <f>MAX(X11,AB11,AE11,AL11,AO11,AH11,V11,Q11)</f>
        <v>0</v>
      </c>
      <c r="E17" s="579">
        <v>0</v>
      </c>
      <c r="F17" s="264">
        <f>MIN(AM11,AH11,AE11,AB11,X11,V11,T11)</f>
        <v>0</v>
      </c>
      <c r="G17" s="580">
        <f>MAX(AM11,AH11,AE11,AB11,X11,V11,T11)</f>
        <v>0</v>
      </c>
      <c r="H17" s="579">
        <v>0</v>
      </c>
      <c r="I17" s="264">
        <f>MIN(AG11,AF11,AC11,AA11,Y11,W11,R11)</f>
        <v>0</v>
      </c>
      <c r="J17" s="585">
        <v>6720</v>
      </c>
      <c r="K17" s="579">
        <v>0</v>
      </c>
      <c r="L17" s="108">
        <v>0</v>
      </c>
      <c r="M17" s="581">
        <v>0</v>
      </c>
      <c r="N17" s="569"/>
      <c r="O17" s="1"/>
      <c r="P17" s="107" t="s">
        <v>44</v>
      </c>
      <c r="Q17" s="26">
        <v>9</v>
      </c>
      <c r="R17" s="26">
        <v>35</v>
      </c>
      <c r="S17" s="26">
        <v>4</v>
      </c>
      <c r="T17" s="26">
        <v>0</v>
      </c>
      <c r="U17" s="111" t="s">
        <v>124</v>
      </c>
      <c r="V17" s="14"/>
      <c r="W17" s="14"/>
      <c r="X17" s="14"/>
      <c r="Y17" s="14"/>
      <c r="Z17" s="14"/>
      <c r="AA17" s="14"/>
      <c r="AB17" s="27">
        <v>3</v>
      </c>
      <c r="AC17" s="27">
        <v>33</v>
      </c>
      <c r="AD17" s="14"/>
      <c r="AE17" s="27">
        <v>0</v>
      </c>
      <c r="AF17" s="27">
        <v>0</v>
      </c>
      <c r="AG17" s="20"/>
      <c r="AH17" s="20"/>
      <c r="AI17" s="20">
        <v>32.666666666666664</v>
      </c>
      <c r="AJ17" s="20"/>
      <c r="AK17" s="20"/>
      <c r="AL17" s="20"/>
      <c r="AM17" s="20"/>
      <c r="AN17" s="20"/>
      <c r="AO17" s="20"/>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row>
    <row r="18" spans="1:72">
      <c r="A18" s="21" t="s">
        <v>37</v>
      </c>
      <c r="B18" s="458">
        <v>0</v>
      </c>
      <c r="C18" s="459">
        <v>0</v>
      </c>
      <c r="D18" s="460">
        <v>0</v>
      </c>
      <c r="E18" s="458">
        <v>0</v>
      </c>
      <c r="F18" s="459">
        <v>0</v>
      </c>
      <c r="G18" s="460">
        <v>0</v>
      </c>
      <c r="H18" s="458">
        <v>0</v>
      </c>
      <c r="I18" s="459">
        <v>0</v>
      </c>
      <c r="J18" s="460">
        <v>0</v>
      </c>
      <c r="K18" s="458">
        <v>0</v>
      </c>
      <c r="L18" s="459"/>
      <c r="M18" s="460"/>
      <c r="N18" s="570"/>
      <c r="O18" s="1"/>
      <c r="P18" s="107" t="s">
        <v>125</v>
      </c>
      <c r="Q18" s="14">
        <f>SUM(Q8,Q14,Q17,Q20)</f>
        <v>44</v>
      </c>
      <c r="R18" s="14">
        <f t="shared" ref="R18:AD18" si="0">SUM(R8,R14,R17,R20)</f>
        <v>239</v>
      </c>
      <c r="S18" s="14">
        <f t="shared" si="0"/>
        <v>62</v>
      </c>
      <c r="T18" s="14">
        <f t="shared" si="0"/>
        <v>14</v>
      </c>
      <c r="U18" s="14">
        <f t="shared" si="0"/>
        <v>0</v>
      </c>
      <c r="V18" s="646">
        <v>99</v>
      </c>
      <c r="W18" s="647"/>
      <c r="X18" s="14">
        <f t="shared" si="0"/>
        <v>0</v>
      </c>
      <c r="Y18" s="14">
        <f t="shared" si="0"/>
        <v>0</v>
      </c>
      <c r="Z18" s="14">
        <f t="shared" si="0"/>
        <v>0</v>
      </c>
      <c r="AA18" s="14">
        <f t="shared" si="0"/>
        <v>213</v>
      </c>
      <c r="AB18" s="14">
        <f t="shared" si="0"/>
        <v>4</v>
      </c>
      <c r="AC18" s="14">
        <f t="shared" si="0"/>
        <v>204</v>
      </c>
      <c r="AD18" s="14">
        <f t="shared" si="0"/>
        <v>219</v>
      </c>
      <c r="AE18" s="14">
        <f>SUM(AE8,AE14,AE17,AE20)</f>
        <v>6.0000000000000001E-3</v>
      </c>
      <c r="AF18" s="14">
        <f>SUM(AF8,AF14,AF17,AF20)</f>
        <v>4.3489999999999996E-3</v>
      </c>
      <c r="AG18" s="20"/>
      <c r="AH18" s="20"/>
      <c r="AJ18" s="20"/>
      <c r="AK18" s="20"/>
      <c r="AL18" s="20"/>
      <c r="AM18" s="20"/>
      <c r="AN18" s="20"/>
      <c r="AO18" s="20"/>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row>
    <row r="19" spans="1:72" ht="60" customHeight="1">
      <c r="A19" s="21" t="s">
        <v>38</v>
      </c>
      <c r="B19" s="68">
        <v>790</v>
      </c>
      <c r="C19" s="531">
        <f>MIN(X12,AB12,AE12,AL12,AO12,AH12,V12,Q12)</f>
        <v>57</v>
      </c>
      <c r="D19" s="578">
        <f>MAX(X12,AB12,AE12,AL12,AO12,AH12,V12,Q12)</f>
        <v>969.23800000000006</v>
      </c>
      <c r="E19" s="68">
        <v>780</v>
      </c>
      <c r="F19" s="531">
        <f>MIN(AM12,AH12,AE12,AB12,X12,V12,T12)</f>
        <v>57</v>
      </c>
      <c r="G19" s="578">
        <f>MAX(AM12,AH12,AE12,AB12,X12,V12,T12)</f>
        <v>969.23800000000006</v>
      </c>
      <c r="H19" s="68">
        <v>790</v>
      </c>
      <c r="I19" s="531">
        <f>MIN(AG12,AF12,AC12,AA12,Y12,W12,R12)</f>
        <v>57</v>
      </c>
      <c r="J19" s="578">
        <f>MAX(AG12,AF12,AC12,AA12,Y12,W12,R12)</f>
        <v>1028.3</v>
      </c>
      <c r="K19" s="68">
        <v>800</v>
      </c>
      <c r="L19" s="106">
        <v>800</v>
      </c>
      <c r="M19" s="139">
        <v>800</v>
      </c>
      <c r="N19" s="567" t="s">
        <v>276</v>
      </c>
      <c r="O19" s="1"/>
      <c r="P19" s="28" t="s">
        <v>49</v>
      </c>
      <c r="Q19" s="26">
        <v>132000</v>
      </c>
      <c r="R19" s="26">
        <v>119500</v>
      </c>
      <c r="S19" s="26">
        <v>107000</v>
      </c>
      <c r="T19" s="26">
        <v>113000</v>
      </c>
      <c r="U19" s="111" t="s">
        <v>126</v>
      </c>
      <c r="V19" s="14"/>
      <c r="W19" s="14"/>
      <c r="X19" s="27">
        <f>1000*(123.9*0.977)</f>
        <v>121050.3</v>
      </c>
      <c r="Y19" s="112">
        <f>1000*(446.9*0.993)</f>
        <v>443771.69999999995</v>
      </c>
      <c r="Z19" s="14"/>
      <c r="AA19" s="14"/>
      <c r="AB19" s="27">
        <v>119985</v>
      </c>
      <c r="AC19" s="112">
        <v>333500</v>
      </c>
      <c r="AD19" s="14"/>
      <c r="AE19" s="26"/>
      <c r="AF19" s="14"/>
      <c r="AG19" s="20"/>
      <c r="AH19" s="20"/>
      <c r="AI19" s="20">
        <v>106765</v>
      </c>
      <c r="AJ19" s="20"/>
      <c r="AK19" s="20"/>
      <c r="AL19" s="20"/>
      <c r="AM19" s="20"/>
      <c r="AN19" s="20"/>
      <c r="AO19" s="20"/>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row>
    <row r="20" spans="1:72" ht="16.5" customHeight="1">
      <c r="A20" s="21" t="s">
        <v>76</v>
      </c>
      <c r="B20" s="68">
        <v>109</v>
      </c>
      <c r="C20" s="531">
        <f>MIN(X13,AB13,AE13,AL13,AO13,AH13,V13,Q13)</f>
        <v>99</v>
      </c>
      <c r="D20" s="395">
        <f>MAX(X13,AB13,AE13,AL13,AO13,AH13,V13,Q13)</f>
        <v>335</v>
      </c>
      <c r="E20" s="68">
        <v>99</v>
      </c>
      <c r="F20" s="531">
        <f>MIN(AM13,AH13,AE13,AB13,X13,V13,T13)</f>
        <v>99</v>
      </c>
      <c r="G20" s="578">
        <f>MAX(AM13,AH13,AE13,AB13,X13,V13,T13)</f>
        <v>335</v>
      </c>
      <c r="H20" s="68">
        <v>109</v>
      </c>
      <c r="I20" s="531">
        <f>MIN(AG13,AF13,AC13,AA13,Y13,W13,R13)</f>
        <v>109</v>
      </c>
      <c r="J20" s="578">
        <f>MAX(AG13,AF13,AC13,AA13,Y13,W13,R13)</f>
        <v>335</v>
      </c>
      <c r="K20" s="68">
        <v>119</v>
      </c>
      <c r="L20" s="106">
        <v>119</v>
      </c>
      <c r="M20" s="139">
        <v>119</v>
      </c>
      <c r="N20" s="567" t="s">
        <v>276</v>
      </c>
      <c r="O20" s="1"/>
      <c r="P20" s="107" t="s">
        <v>54</v>
      </c>
      <c r="Q20" s="26">
        <v>1</v>
      </c>
      <c r="R20" s="26">
        <v>7</v>
      </c>
      <c r="S20" s="26">
        <v>1</v>
      </c>
      <c r="T20" s="26">
        <v>0</v>
      </c>
      <c r="U20" s="111" t="s">
        <v>127</v>
      </c>
      <c r="V20" s="14"/>
      <c r="W20" s="14"/>
      <c r="X20" s="14"/>
      <c r="Y20" s="14"/>
      <c r="Z20" s="14"/>
      <c r="AA20" s="14"/>
      <c r="AB20" s="27">
        <v>1</v>
      </c>
      <c r="AC20" s="27">
        <v>7</v>
      </c>
      <c r="AD20" s="14"/>
      <c r="AE20" s="14"/>
      <c r="AF20" s="14"/>
      <c r="AG20" s="20"/>
      <c r="AH20" s="20"/>
      <c r="AI20" s="20">
        <v>8.5</v>
      </c>
      <c r="AJ20" s="20"/>
      <c r="AK20" s="20"/>
      <c r="AL20" s="20"/>
      <c r="AM20" s="20"/>
      <c r="AN20" s="20"/>
      <c r="AO20" s="20"/>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row>
    <row r="21" spans="1:72" ht="29">
      <c r="A21" s="66" t="s">
        <v>39</v>
      </c>
      <c r="B21" s="68">
        <v>28</v>
      </c>
      <c r="C21" s="531">
        <f>MIN(X14,AB14,AE14,AL14,AO14,AH14,V14,Q14)</f>
        <v>6.0000000000000001E-3</v>
      </c>
      <c r="D21" s="395">
        <f>MAX(X14,AB14,AE14,AL14,AO14,AH14,V14,Q14)</f>
        <v>186</v>
      </c>
      <c r="E21" s="68">
        <v>12</v>
      </c>
      <c r="F21" s="531">
        <f>MIN(AM14,AH14,AE14,AB14,X14,V14,T14)</f>
        <v>6.0000000000000001E-3</v>
      </c>
      <c r="G21" s="578">
        <f>MAX(AM14,AH14,AE14,AB14,X14,V14,T14)</f>
        <v>12</v>
      </c>
      <c r="H21" s="68">
        <v>186</v>
      </c>
      <c r="I21" s="531">
        <f>MIN(AG14,AF14,AC14,AA14,Y14,W14,R14)</f>
        <v>4.3489999999999996E-3</v>
      </c>
      <c r="J21" s="578">
        <f>MAX(AG14,AF14,AC14,AA14,Y14,W14,R14)</f>
        <v>200</v>
      </c>
      <c r="K21" s="68">
        <v>51</v>
      </c>
      <c r="L21" s="106">
        <v>51</v>
      </c>
      <c r="M21" s="139">
        <v>51</v>
      </c>
      <c r="N21" s="566" t="s">
        <v>274</v>
      </c>
      <c r="O21" s="1"/>
      <c r="P21" s="107" t="s">
        <v>77</v>
      </c>
      <c r="Q21" s="26"/>
      <c r="R21" s="26"/>
      <c r="S21" s="26"/>
      <c r="T21" s="26"/>
      <c r="U21" s="111"/>
      <c r="V21" s="14"/>
      <c r="W21" s="14"/>
      <c r="X21" s="14"/>
      <c r="Y21" s="14"/>
      <c r="Z21" s="14"/>
      <c r="AA21" s="14"/>
      <c r="AB21" s="113">
        <v>90</v>
      </c>
      <c r="AC21" s="113">
        <v>7000</v>
      </c>
      <c r="AD21" s="14"/>
      <c r="AE21" s="14"/>
      <c r="AF21" s="14"/>
      <c r="AG21" s="20">
        <v>7000</v>
      </c>
      <c r="AH21" s="20">
        <v>90</v>
      </c>
      <c r="AI21" s="20"/>
      <c r="AJ21" s="20"/>
      <c r="AK21" s="20"/>
      <c r="AL21" s="20"/>
      <c r="AM21" s="20"/>
      <c r="AN21" s="20"/>
      <c r="AO21" s="20"/>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row>
    <row r="22" spans="1:72" ht="29">
      <c r="A22" s="21" t="s">
        <v>40</v>
      </c>
      <c r="B22" s="68">
        <v>340</v>
      </c>
      <c r="C22" s="531">
        <f>MIN(X15,AB15,AE15,AL15,AO15,AH15,V15,Q15)</f>
        <v>340</v>
      </c>
      <c r="D22" s="395">
        <f>MAX(X15,AB15,AE15,AL15,AO15,AH15,V15,Q15)</f>
        <v>1489.59</v>
      </c>
      <c r="E22" s="68">
        <v>430</v>
      </c>
      <c r="F22" s="531">
        <f>MIN(AM15,AH15,AE15,AB15,X15,V15,T15)</f>
        <v>403.5</v>
      </c>
      <c r="G22" s="578">
        <f>MAX(AM15,AH15,AE15,AB15,X15,V15,T15)</f>
        <v>1489.59</v>
      </c>
      <c r="H22" s="68">
        <v>240</v>
      </c>
      <c r="I22" s="531">
        <f>MIN(AG15,AF15,AC15,AA15,Y15,W15,R15)</f>
        <v>240</v>
      </c>
      <c r="J22" s="578">
        <f>MAX(AG15,AF15,AC15,AA15,Y15,W15,R15)</f>
        <v>4849.7</v>
      </c>
      <c r="K22" s="68">
        <v>440</v>
      </c>
      <c r="L22" s="106">
        <v>440</v>
      </c>
      <c r="M22" s="139">
        <v>440</v>
      </c>
      <c r="N22" s="566" t="s">
        <v>274</v>
      </c>
      <c r="O22" s="1"/>
      <c r="P22" s="107" t="s">
        <v>57</v>
      </c>
      <c r="Q22" s="26"/>
      <c r="R22" s="26"/>
      <c r="S22" s="26"/>
      <c r="T22" s="26"/>
      <c r="U22" s="111"/>
      <c r="V22" s="14"/>
      <c r="W22" s="14"/>
      <c r="X22" s="14"/>
      <c r="Y22" s="14"/>
      <c r="Z22" s="14"/>
      <c r="AA22" s="14"/>
      <c r="AB22" s="113"/>
      <c r="AC22" s="113"/>
      <c r="AD22" s="14"/>
      <c r="AE22" s="14"/>
      <c r="AF22" s="14"/>
      <c r="AG22" s="20"/>
      <c r="AH22" s="20" t="s">
        <v>53</v>
      </c>
      <c r="AI22" s="20">
        <v>1.2</v>
      </c>
      <c r="AJ22" s="20"/>
      <c r="AK22" s="20"/>
      <c r="AL22" s="20"/>
      <c r="AM22" s="20"/>
      <c r="AN22" s="20"/>
      <c r="AO22" s="20"/>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row>
    <row r="23" spans="1:72">
      <c r="A23" s="21" t="s">
        <v>42</v>
      </c>
      <c r="B23" s="458">
        <v>0</v>
      </c>
      <c r="C23" s="459">
        <v>0</v>
      </c>
      <c r="D23" s="460">
        <v>0</v>
      </c>
      <c r="E23" s="458">
        <v>0</v>
      </c>
      <c r="F23" s="459">
        <v>0</v>
      </c>
      <c r="G23" s="460">
        <v>0</v>
      </c>
      <c r="H23" s="458">
        <v>0</v>
      </c>
      <c r="I23" s="459">
        <v>0</v>
      </c>
      <c r="J23" s="460">
        <v>0</v>
      </c>
      <c r="K23" s="458">
        <v>0</v>
      </c>
      <c r="L23" s="459"/>
      <c r="M23" s="460"/>
      <c r="N23" s="568"/>
      <c r="O23" s="1"/>
      <c r="P23" s="91" t="s">
        <v>58</v>
      </c>
      <c r="Q23" s="26">
        <v>5500</v>
      </c>
      <c r="R23" s="26">
        <v>5500</v>
      </c>
      <c r="S23" s="26">
        <v>5500</v>
      </c>
      <c r="T23" s="26">
        <v>5500</v>
      </c>
      <c r="U23" s="111" t="s">
        <v>128</v>
      </c>
      <c r="V23" s="27">
        <v>5500</v>
      </c>
      <c r="W23" s="27">
        <v>5500</v>
      </c>
      <c r="X23" s="14"/>
      <c r="Y23" s="14"/>
      <c r="Z23" s="14"/>
      <c r="AA23" s="14"/>
      <c r="AB23" s="27">
        <v>5450</v>
      </c>
      <c r="AC23" s="27">
        <v>5450</v>
      </c>
      <c r="AD23" s="14"/>
      <c r="AE23" s="112">
        <v>329.678</v>
      </c>
      <c r="AF23" s="60">
        <v>1243.5999999999999</v>
      </c>
      <c r="AG23" s="20"/>
      <c r="AH23" s="20"/>
      <c r="AI23" s="20">
        <v>5500</v>
      </c>
      <c r="AJ23" s="20"/>
      <c r="AK23" s="20"/>
      <c r="AL23" s="20"/>
      <c r="AM23" s="20"/>
      <c r="AN23" s="20"/>
      <c r="AO23" s="20"/>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row>
    <row r="24" spans="1:72" ht="30" customHeight="1">
      <c r="A24" s="52" t="s">
        <v>43</v>
      </c>
      <c r="B24" s="56">
        <v>4600</v>
      </c>
      <c r="C24" s="105">
        <v>4600</v>
      </c>
      <c r="D24" s="178">
        <v>4600</v>
      </c>
      <c r="E24" s="56">
        <v>4600</v>
      </c>
      <c r="F24" s="531">
        <v>233</v>
      </c>
      <c r="G24" s="578">
        <v>4600</v>
      </c>
      <c r="H24" s="56">
        <v>4600</v>
      </c>
      <c r="I24" s="531">
        <f>MIN(AG16,AF16,AC16,AA16,Y16,W16,R16)</f>
        <v>4600</v>
      </c>
      <c r="J24" s="578">
        <f>MAX(AG16,AF16,AC16,AA16,Y16,W16,R16)</f>
        <v>4600</v>
      </c>
      <c r="K24" s="56">
        <v>4600</v>
      </c>
      <c r="L24" s="105">
        <v>4600</v>
      </c>
      <c r="M24" s="178">
        <v>4600</v>
      </c>
      <c r="N24" s="566" t="s">
        <v>273</v>
      </c>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row>
    <row r="25" spans="1:72" ht="29">
      <c r="A25" s="66" t="s">
        <v>44</v>
      </c>
      <c r="B25" s="68">
        <v>9</v>
      </c>
      <c r="C25" s="531">
        <f>MIN(X17,AB17,AE17,AL17,AO17,AH17,V17,Q17)</f>
        <v>0</v>
      </c>
      <c r="D25" s="395">
        <f>MAX(X17,AB17,AE17,AL17,AO17,AH17,V17,Q17)</f>
        <v>9</v>
      </c>
      <c r="E25" s="68">
        <v>0</v>
      </c>
      <c r="F25" s="531">
        <f>MIN(AM17,AH17,AE17,AB17,X17,V17,T17)</f>
        <v>0</v>
      </c>
      <c r="G25" s="578">
        <f>MAX(AM17,AH17,AE17,AB17,X17,V17,T17)</f>
        <v>3</v>
      </c>
      <c r="H25" s="68">
        <v>35</v>
      </c>
      <c r="I25" s="531">
        <f>MIN(AG17,AF17,AC17,AA17,Y17,W17,R17)</f>
        <v>0</v>
      </c>
      <c r="J25" s="578">
        <f>MAX(AG17,AF17,AC17,AA17,Y17,W17,R17)</f>
        <v>35</v>
      </c>
      <c r="K25" s="68">
        <v>4</v>
      </c>
      <c r="L25" s="106">
        <v>4</v>
      </c>
      <c r="M25" s="139">
        <v>4</v>
      </c>
      <c r="N25" s="566" t="s">
        <v>274</v>
      </c>
      <c r="O25" s="1"/>
      <c r="P25" s="1"/>
      <c r="Q25" s="652" t="s">
        <v>249</v>
      </c>
      <c r="R25" s="653"/>
      <c r="S25" s="9" t="s">
        <v>250</v>
      </c>
      <c r="T25" s="125" t="s">
        <v>129</v>
      </c>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row>
    <row r="26" spans="1:72">
      <c r="A26" s="37" t="s">
        <v>45</v>
      </c>
      <c r="B26" s="458"/>
      <c r="C26" s="459"/>
      <c r="D26" s="460"/>
      <c r="E26" s="458"/>
      <c r="F26" s="459"/>
      <c r="G26" s="460"/>
      <c r="H26" s="458"/>
      <c r="I26" s="459"/>
      <c r="J26" s="460"/>
      <c r="K26" s="458"/>
      <c r="L26" s="459"/>
      <c r="M26" s="460"/>
      <c r="N26" s="505"/>
      <c r="O26" s="1"/>
      <c r="P26" s="1"/>
      <c r="Q26" s="109" t="s">
        <v>86</v>
      </c>
      <c r="R26" s="109" t="s">
        <v>89</v>
      </c>
      <c r="S26" s="109" t="s">
        <v>87</v>
      </c>
      <c r="T26" s="109" t="s">
        <v>88</v>
      </c>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row>
    <row r="27" spans="1:72">
      <c r="A27" s="37" t="s">
        <v>46</v>
      </c>
      <c r="B27" s="458"/>
      <c r="C27" s="459"/>
      <c r="D27" s="460"/>
      <c r="E27" s="458"/>
      <c r="F27" s="459"/>
      <c r="G27" s="460"/>
      <c r="H27" s="458"/>
      <c r="I27" s="459"/>
      <c r="J27" s="460"/>
      <c r="K27" s="458"/>
      <c r="L27" s="459"/>
      <c r="M27" s="460"/>
      <c r="N27" s="505"/>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row>
    <row r="28" spans="1:72">
      <c r="A28" s="37" t="s">
        <v>47</v>
      </c>
      <c r="B28" s="458"/>
      <c r="C28" s="459"/>
      <c r="D28" s="460"/>
      <c r="E28" s="458"/>
      <c r="F28" s="459"/>
      <c r="G28" s="460"/>
      <c r="H28" s="458"/>
      <c r="I28" s="459"/>
      <c r="J28" s="460"/>
      <c r="K28" s="458"/>
      <c r="L28" s="459"/>
      <c r="M28" s="460"/>
      <c r="N28" s="57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row>
    <row r="29" spans="1:72">
      <c r="A29" s="37" t="s">
        <v>49</v>
      </c>
      <c r="B29" s="458"/>
      <c r="C29" s="459"/>
      <c r="D29" s="460"/>
      <c r="E29" s="458"/>
      <c r="F29" s="459"/>
      <c r="G29" s="460"/>
      <c r="H29" s="458"/>
      <c r="I29" s="459"/>
      <c r="J29" s="460"/>
      <c r="K29" s="458"/>
      <c r="L29" s="459"/>
      <c r="M29" s="460"/>
      <c r="N29" s="568"/>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row>
    <row r="30" spans="1:72">
      <c r="A30" s="21" t="s">
        <v>51</v>
      </c>
      <c r="B30" s="458">
        <v>0</v>
      </c>
      <c r="C30" s="459"/>
      <c r="D30" s="460"/>
      <c r="E30" s="458">
        <v>0</v>
      </c>
      <c r="F30" s="459">
        <v>0</v>
      </c>
      <c r="G30" s="460">
        <v>0</v>
      </c>
      <c r="H30" s="458">
        <v>0</v>
      </c>
      <c r="I30" s="459">
        <v>0</v>
      </c>
      <c r="J30" s="460">
        <v>0</v>
      </c>
      <c r="K30" s="458">
        <v>0</v>
      </c>
      <c r="L30" s="459">
        <v>0</v>
      </c>
      <c r="M30" s="460"/>
      <c r="N30" s="568"/>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row>
    <row r="31" spans="1:72">
      <c r="A31" s="21" t="s">
        <v>52</v>
      </c>
      <c r="B31" s="458">
        <v>0</v>
      </c>
      <c r="C31" s="459"/>
      <c r="D31" s="460"/>
      <c r="E31" s="458">
        <v>0</v>
      </c>
      <c r="F31" s="459">
        <v>0</v>
      </c>
      <c r="G31" s="460">
        <v>0</v>
      </c>
      <c r="H31" s="458">
        <v>0</v>
      </c>
      <c r="I31" s="459">
        <v>0</v>
      </c>
      <c r="J31" s="460">
        <v>0</v>
      </c>
      <c r="K31" s="458">
        <v>0</v>
      </c>
      <c r="L31" s="459">
        <v>0</v>
      </c>
      <c r="M31" s="460"/>
      <c r="N31" s="568"/>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row>
    <row r="32" spans="1:72" ht="29">
      <c r="A32" s="66" t="s">
        <v>54</v>
      </c>
      <c r="B32" s="68">
        <v>1</v>
      </c>
      <c r="C32" s="531">
        <f>MIN(X20,AB20,AE20,AL20,AO20,AH20,V20,Q20)</f>
        <v>1</v>
      </c>
      <c r="D32" s="395">
        <f>MAX(X20,AB20,AE20,AL20,AO20,AH20,V20,Q20)</f>
        <v>1</v>
      </c>
      <c r="E32" s="68">
        <v>0</v>
      </c>
      <c r="F32" s="531">
        <v>0</v>
      </c>
      <c r="G32" s="578">
        <v>1</v>
      </c>
      <c r="H32" s="68">
        <v>7</v>
      </c>
      <c r="I32" s="531">
        <v>7</v>
      </c>
      <c r="J32" s="578">
        <v>7</v>
      </c>
      <c r="K32" s="68">
        <v>1</v>
      </c>
      <c r="L32" s="106">
        <v>1</v>
      </c>
      <c r="M32" s="139">
        <v>1</v>
      </c>
      <c r="N32" s="566" t="s">
        <v>275</v>
      </c>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row>
    <row r="33" spans="1:72">
      <c r="A33" s="21" t="s">
        <v>55</v>
      </c>
      <c r="B33" s="458">
        <v>0</v>
      </c>
      <c r="C33" s="459">
        <v>0</v>
      </c>
      <c r="D33" s="460">
        <v>0</v>
      </c>
      <c r="E33" s="458">
        <v>0</v>
      </c>
      <c r="F33" s="459">
        <v>0</v>
      </c>
      <c r="G33" s="460">
        <v>0</v>
      </c>
      <c r="H33" s="458">
        <v>0</v>
      </c>
      <c r="I33" s="459"/>
      <c r="J33" s="460"/>
      <c r="K33" s="458">
        <v>0</v>
      </c>
      <c r="L33" s="459"/>
      <c r="M33" s="460"/>
      <c r="N33" s="572"/>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row>
    <row r="34" spans="1:72">
      <c r="A34" s="21" t="s">
        <v>56</v>
      </c>
      <c r="B34" s="458">
        <v>0</v>
      </c>
      <c r="C34" s="459">
        <v>0</v>
      </c>
      <c r="D34" s="460">
        <v>0</v>
      </c>
      <c r="E34" s="458">
        <v>0</v>
      </c>
      <c r="F34" s="459">
        <v>0</v>
      </c>
      <c r="G34" s="460">
        <v>0</v>
      </c>
      <c r="H34" s="458">
        <v>0</v>
      </c>
      <c r="I34" s="459"/>
      <c r="J34" s="460"/>
      <c r="K34" s="458">
        <v>0</v>
      </c>
      <c r="L34" s="459"/>
      <c r="M34" s="460"/>
      <c r="N34" s="572"/>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row>
    <row r="35" spans="1:72" ht="72.5">
      <c r="A35" s="21" t="s">
        <v>77</v>
      </c>
      <c r="B35" s="579">
        <v>0</v>
      </c>
      <c r="D35" s="575">
        <v>90</v>
      </c>
      <c r="E35" s="579">
        <v>0</v>
      </c>
      <c r="F35" s="108"/>
      <c r="G35" s="581">
        <v>90</v>
      </c>
      <c r="H35" s="579">
        <v>0</v>
      </c>
      <c r="I35" s="108"/>
      <c r="J35" s="581">
        <v>7000</v>
      </c>
      <c r="K35" s="579">
        <v>0</v>
      </c>
      <c r="L35" s="108"/>
      <c r="M35" s="581">
        <v>90</v>
      </c>
      <c r="N35" s="573" t="s">
        <v>278</v>
      </c>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row>
    <row r="36" spans="1:72">
      <c r="A36" s="37" t="s">
        <v>57</v>
      </c>
      <c r="B36" s="458">
        <v>0</v>
      </c>
      <c r="C36" s="459"/>
      <c r="D36" s="460"/>
      <c r="E36" s="458">
        <v>0</v>
      </c>
      <c r="F36" s="459"/>
      <c r="G36" s="460"/>
      <c r="H36" s="458">
        <v>0</v>
      </c>
      <c r="I36" s="459"/>
      <c r="J36" s="460"/>
      <c r="K36" s="458">
        <v>0</v>
      </c>
      <c r="L36" s="459"/>
      <c r="M36" s="460"/>
      <c r="N36" s="572"/>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row>
    <row r="37" spans="1:72" ht="29">
      <c r="A37" s="21" t="s">
        <v>58</v>
      </c>
      <c r="B37" s="582">
        <v>5500</v>
      </c>
      <c r="C37" s="531">
        <f>MIN(X23,AB23,AE23,AL23,AO23,AH23,V23,Q23)</f>
        <v>329.678</v>
      </c>
      <c r="D37" s="395">
        <f>MAX(X23,AB23,AE23,AL23,AO23,AH23,V23,Q23)</f>
        <v>5500</v>
      </c>
      <c r="E37" s="582">
        <v>5500</v>
      </c>
      <c r="F37" s="531">
        <f>MIN(AM23,AH23,AE23,AB23,X23,V23,T23)</f>
        <v>329.678</v>
      </c>
      <c r="G37" s="578">
        <f>MAX(AM23,AH23,AE23,AB23,X23,V23,T23)</f>
        <v>5500</v>
      </c>
      <c r="H37" s="582">
        <v>5500</v>
      </c>
      <c r="I37" s="531">
        <f>MIN(AG23,AF23,AC23,AA23,Y23,W23,R23)</f>
        <v>1243.5999999999999</v>
      </c>
      <c r="J37" s="578">
        <f>MAX(AG23,AF23,AC23,AA23,Y23,W23,R23)</f>
        <v>5500</v>
      </c>
      <c r="K37" s="582">
        <v>5500</v>
      </c>
      <c r="L37" s="116">
        <v>5500</v>
      </c>
      <c r="M37" s="587">
        <v>5500</v>
      </c>
      <c r="N37" s="566" t="s">
        <v>274</v>
      </c>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row>
    <row r="38" spans="1:72" ht="15" thickBot="1">
      <c r="A38" s="37" t="s">
        <v>60</v>
      </c>
      <c r="B38" s="283">
        <v>0</v>
      </c>
      <c r="C38" s="281"/>
      <c r="D38" s="282"/>
      <c r="E38" s="283">
        <v>0</v>
      </c>
      <c r="F38" s="281"/>
      <c r="G38" s="282"/>
      <c r="H38" s="283">
        <v>0</v>
      </c>
      <c r="I38" s="281"/>
      <c r="J38" s="282"/>
      <c r="K38" s="283">
        <v>0</v>
      </c>
      <c r="L38" s="281"/>
      <c r="M38" s="282"/>
      <c r="N38" s="574"/>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row>
    <row r="39" spans="1:72">
      <c r="A39" s="1"/>
      <c r="B39" s="1"/>
      <c r="C39" s="1"/>
      <c r="D39" s="1"/>
      <c r="E39" s="1"/>
      <c r="F39" s="1"/>
      <c r="G39" s="1"/>
      <c r="H39" s="1"/>
      <c r="I39" s="1"/>
      <c r="J39" s="1"/>
      <c r="K39" s="1"/>
      <c r="L39" s="1"/>
      <c r="M39" s="1"/>
      <c r="N39" s="10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row>
    <row r="40" spans="1:72">
      <c r="A40" s="1"/>
      <c r="B40" s="1"/>
      <c r="C40" s="1"/>
      <c r="D40" s="1"/>
      <c r="E40" s="1"/>
      <c r="F40" s="1"/>
      <c r="G40" s="1"/>
      <c r="H40" s="1"/>
      <c r="I40" s="1"/>
      <c r="J40" s="1"/>
      <c r="K40" s="1"/>
      <c r="L40" s="1"/>
      <c r="M40" s="1"/>
      <c r="N40" s="10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row>
    <row r="41" spans="1:72">
      <c r="A41" s="1"/>
      <c r="B41" s="1"/>
      <c r="C41" s="1"/>
      <c r="D41" s="1"/>
      <c r="E41" s="1"/>
      <c r="F41" s="1"/>
      <c r="G41" s="1"/>
      <c r="H41" s="1"/>
      <c r="I41" s="1"/>
      <c r="J41" s="1"/>
      <c r="K41" s="1"/>
      <c r="L41" s="1"/>
      <c r="M41" s="1"/>
      <c r="N41" s="10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row>
    <row r="42" spans="1:72">
      <c r="A42" s="1"/>
      <c r="B42" s="1"/>
      <c r="C42" s="1"/>
      <c r="D42" s="1"/>
      <c r="E42" s="1"/>
      <c r="F42" s="1"/>
      <c r="G42" s="1"/>
      <c r="H42" s="1"/>
      <c r="I42" s="1"/>
      <c r="J42" s="1"/>
      <c r="K42" s="1"/>
      <c r="L42" s="1"/>
      <c r="M42" s="1"/>
      <c r="N42" s="10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row>
    <row r="43" spans="1:72">
      <c r="A43" s="1"/>
      <c r="B43" s="1"/>
      <c r="C43" s="1"/>
      <c r="D43" s="1"/>
      <c r="E43" s="1"/>
      <c r="F43" s="1"/>
      <c r="G43" s="1"/>
      <c r="H43" s="1"/>
      <c r="I43" s="1"/>
      <c r="J43" s="1"/>
      <c r="K43" s="1"/>
      <c r="L43" s="1"/>
      <c r="M43" s="1"/>
      <c r="N43" s="10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row>
    <row r="44" spans="1:72">
      <c r="A44" s="1"/>
      <c r="B44" s="1"/>
      <c r="C44" s="1"/>
      <c r="D44" s="1"/>
      <c r="E44" s="1"/>
      <c r="F44" s="1"/>
      <c r="G44" s="1"/>
      <c r="H44" s="1"/>
      <c r="I44" s="1"/>
      <c r="J44" s="1"/>
      <c r="K44" s="1"/>
      <c r="L44" s="1"/>
      <c r="M44" s="1"/>
      <c r="N44" s="10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row>
    <row r="45" spans="1:72">
      <c r="A45" s="1"/>
      <c r="B45" s="1"/>
      <c r="C45" s="1"/>
      <c r="D45" s="1"/>
      <c r="E45" s="1"/>
      <c r="F45" s="1"/>
      <c r="G45" s="1"/>
      <c r="H45" s="1"/>
      <c r="I45" s="1"/>
      <c r="J45" s="1"/>
      <c r="K45" s="1"/>
      <c r="L45" s="1"/>
      <c r="M45" s="1"/>
      <c r="N45" s="10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row>
    <row r="46" spans="1:72">
      <c r="A46" s="1"/>
      <c r="B46" s="1"/>
      <c r="C46" s="1"/>
      <c r="D46" s="1"/>
      <c r="E46" s="1"/>
      <c r="F46" s="1"/>
      <c r="G46" s="1"/>
      <c r="H46" s="1"/>
      <c r="I46" s="1"/>
      <c r="J46" s="1"/>
      <c r="K46" s="1"/>
      <c r="L46" s="1"/>
      <c r="M46" s="1"/>
      <c r="N46" s="10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row>
    <row r="47" spans="1:72">
      <c r="A47" s="1"/>
      <c r="B47" s="1"/>
      <c r="C47" s="1"/>
      <c r="D47" s="1"/>
      <c r="E47" s="1"/>
      <c r="F47" s="1"/>
      <c r="G47" s="1"/>
      <c r="H47" s="1"/>
      <c r="I47" s="1"/>
      <c r="J47" s="1"/>
      <c r="K47" s="1"/>
      <c r="L47" s="1"/>
      <c r="M47" s="1"/>
      <c r="N47" s="10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row>
    <row r="48" spans="1:72">
      <c r="A48" s="1"/>
      <c r="B48" s="1"/>
      <c r="C48" s="1"/>
      <c r="D48" s="1"/>
      <c r="E48" s="1"/>
      <c r="F48" s="1"/>
      <c r="G48" s="1"/>
      <c r="H48" s="1"/>
      <c r="I48" s="1"/>
      <c r="J48" s="1"/>
      <c r="K48" s="1"/>
      <c r="L48" s="1"/>
      <c r="M48" s="1"/>
      <c r="N48" s="10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row>
    <row r="49" spans="1:72">
      <c r="A49" s="1"/>
      <c r="B49" s="1"/>
      <c r="C49" s="1"/>
      <c r="D49" s="1"/>
      <c r="E49" s="1"/>
      <c r="F49" s="1"/>
      <c r="G49" s="1"/>
      <c r="H49" s="1"/>
      <c r="I49" s="1"/>
      <c r="J49" s="1"/>
      <c r="K49" s="1"/>
      <c r="L49" s="1"/>
      <c r="M49" s="1"/>
      <c r="N49" s="10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row>
    <row r="50" spans="1:72">
      <c r="A50" s="1"/>
      <c r="B50" s="1"/>
      <c r="C50" s="1"/>
      <c r="D50" s="1"/>
      <c r="E50" s="1"/>
      <c r="F50" s="1"/>
      <c r="G50" s="1"/>
      <c r="H50" s="1"/>
      <c r="I50" s="1"/>
      <c r="J50" s="1"/>
      <c r="K50" s="1"/>
      <c r="L50" s="1"/>
      <c r="M50" s="1"/>
      <c r="N50" s="10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row>
    <row r="51" spans="1:72">
      <c r="A51" s="1"/>
      <c r="B51" s="1"/>
      <c r="C51" s="1"/>
      <c r="D51" s="1"/>
      <c r="E51" s="1"/>
      <c r="F51" s="1"/>
      <c r="G51" s="1"/>
      <c r="H51" s="1"/>
      <c r="I51" s="1"/>
      <c r="J51" s="1"/>
      <c r="K51" s="1"/>
      <c r="L51" s="1"/>
      <c r="M51" s="1"/>
      <c r="N51" s="10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row>
    <row r="52" spans="1:72">
      <c r="A52" s="1"/>
      <c r="B52" s="1"/>
      <c r="C52" s="1"/>
      <c r="D52" s="1"/>
      <c r="E52" s="1"/>
      <c r="F52" s="1"/>
      <c r="G52" s="1"/>
      <c r="H52" s="1"/>
      <c r="I52" s="1"/>
      <c r="J52" s="1"/>
      <c r="K52" s="1"/>
      <c r="L52" s="1"/>
      <c r="M52" s="1"/>
      <c r="N52" s="10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row>
    <row r="53" spans="1:72">
      <c r="A53" s="1"/>
      <c r="B53" s="1"/>
      <c r="C53" s="1"/>
      <c r="D53" s="1"/>
      <c r="E53" s="1"/>
      <c r="F53" s="1"/>
      <c r="G53" s="1"/>
      <c r="H53" s="1"/>
      <c r="I53" s="1"/>
      <c r="J53" s="1"/>
      <c r="K53" s="1"/>
      <c r="L53" s="1"/>
      <c r="M53" s="1"/>
      <c r="N53" s="10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row>
    <row r="54" spans="1:72">
      <c r="A54" s="1"/>
      <c r="B54" s="1"/>
      <c r="C54" s="1"/>
      <c r="D54" s="1"/>
      <c r="E54" s="1"/>
      <c r="F54" s="1"/>
      <c r="G54" s="1"/>
      <c r="H54" s="1"/>
      <c r="I54" s="1"/>
      <c r="J54" s="1"/>
      <c r="K54" s="1"/>
      <c r="L54" s="1"/>
      <c r="M54" s="1"/>
      <c r="N54" s="10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row>
    <row r="55" spans="1:72">
      <c r="A55" s="1"/>
      <c r="B55" s="1"/>
      <c r="C55" s="1"/>
      <c r="D55" s="1"/>
      <c r="E55" s="1"/>
      <c r="F55" s="1"/>
      <c r="G55" s="1"/>
      <c r="H55" s="1"/>
      <c r="I55" s="1"/>
      <c r="J55" s="1"/>
      <c r="K55" s="1"/>
      <c r="L55" s="1"/>
      <c r="M55" s="1"/>
      <c r="N55" s="10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row>
    <row r="56" spans="1:72">
      <c r="A56" s="1"/>
      <c r="B56" s="1"/>
      <c r="C56" s="1"/>
      <c r="D56" s="1"/>
      <c r="E56" s="1"/>
      <c r="F56" s="1"/>
      <c r="G56" s="1"/>
      <c r="H56" s="1"/>
      <c r="I56" s="1"/>
      <c r="J56" s="1"/>
      <c r="K56" s="1"/>
      <c r="L56" s="1"/>
      <c r="M56" s="1"/>
      <c r="N56" s="10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row>
    <row r="57" spans="1:72">
      <c r="A57" s="1"/>
      <c r="B57" s="1"/>
      <c r="C57" s="1"/>
      <c r="D57" s="1"/>
      <c r="E57" s="1"/>
      <c r="F57" s="1"/>
      <c r="G57" s="1"/>
      <c r="H57" s="1"/>
      <c r="I57" s="1"/>
      <c r="J57" s="1"/>
      <c r="K57" s="1"/>
      <c r="L57" s="1"/>
      <c r="M57" s="1"/>
      <c r="N57" s="10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row>
    <row r="58" spans="1:72">
      <c r="A58" s="1"/>
      <c r="B58" s="1"/>
      <c r="C58" s="1"/>
      <c r="D58" s="1"/>
      <c r="E58" s="1"/>
      <c r="F58" s="1"/>
      <c r="G58" s="1"/>
      <c r="H58" s="1"/>
      <c r="I58" s="1"/>
      <c r="J58" s="1"/>
      <c r="K58" s="1"/>
      <c r="L58" s="1"/>
      <c r="M58" s="1"/>
      <c r="N58" s="10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row>
    <row r="59" spans="1:72">
      <c r="A59" s="1"/>
      <c r="B59" s="1"/>
      <c r="C59" s="1"/>
      <c r="D59" s="1"/>
      <c r="E59" s="1"/>
      <c r="F59" s="1"/>
      <c r="G59" s="1"/>
      <c r="H59" s="1"/>
      <c r="I59" s="1"/>
      <c r="J59" s="1"/>
      <c r="K59" s="1"/>
      <c r="L59" s="1"/>
      <c r="M59" s="1"/>
      <c r="N59" s="10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row>
    <row r="60" spans="1:72">
      <c r="A60" s="1"/>
      <c r="B60" s="1"/>
      <c r="C60" s="1"/>
      <c r="D60" s="1"/>
      <c r="E60" s="1"/>
      <c r="F60" s="1"/>
      <c r="G60" s="1"/>
      <c r="H60" s="1"/>
      <c r="I60" s="1"/>
      <c r="J60" s="1"/>
      <c r="K60" s="1"/>
      <c r="L60" s="1"/>
      <c r="M60" s="1"/>
      <c r="N60" s="10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row>
    <row r="61" spans="1:72">
      <c r="A61" s="1"/>
      <c r="B61" s="1"/>
      <c r="C61" s="1"/>
      <c r="D61" s="1"/>
      <c r="E61" s="1"/>
      <c r="F61" s="1"/>
      <c r="G61" s="1"/>
      <c r="H61" s="1"/>
      <c r="I61" s="1"/>
      <c r="J61" s="1"/>
      <c r="K61" s="1"/>
      <c r="L61" s="1"/>
      <c r="M61" s="1"/>
      <c r="N61" s="10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row>
    <row r="62" spans="1:72">
      <c r="A62" s="1"/>
      <c r="B62" s="1"/>
      <c r="C62" s="1"/>
      <c r="D62" s="1"/>
      <c r="E62" s="1"/>
      <c r="F62" s="1"/>
      <c r="G62" s="1"/>
      <c r="H62" s="1"/>
      <c r="I62" s="1"/>
      <c r="J62" s="1"/>
      <c r="K62" s="1"/>
      <c r="L62" s="1"/>
      <c r="M62" s="1"/>
      <c r="N62" s="10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row>
    <row r="63" spans="1:72">
      <c r="A63" s="1"/>
      <c r="B63" s="1"/>
      <c r="C63" s="1"/>
      <c r="D63" s="1"/>
      <c r="E63" s="1"/>
      <c r="F63" s="1"/>
      <c r="G63" s="1"/>
      <c r="H63" s="1"/>
      <c r="I63" s="1"/>
      <c r="J63" s="1"/>
      <c r="K63" s="1"/>
      <c r="L63" s="1"/>
      <c r="M63" s="1"/>
      <c r="N63" s="10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row>
    <row r="64" spans="1:72">
      <c r="A64" s="1"/>
      <c r="B64" s="1"/>
      <c r="C64" s="1"/>
      <c r="D64" s="1"/>
      <c r="E64" s="1"/>
      <c r="F64" s="1"/>
      <c r="G64" s="1"/>
      <c r="H64" s="1"/>
      <c r="I64" s="1"/>
      <c r="J64" s="1"/>
      <c r="K64" s="1"/>
      <c r="L64" s="1"/>
      <c r="M64" s="1"/>
      <c r="N64" s="10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row>
    <row r="65" spans="1:72">
      <c r="A65" s="1"/>
      <c r="B65" s="1"/>
      <c r="C65" s="1"/>
      <c r="D65" s="1"/>
      <c r="E65" s="1"/>
      <c r="F65" s="1"/>
      <c r="G65" s="1"/>
      <c r="H65" s="1"/>
      <c r="I65" s="1"/>
      <c r="J65" s="1"/>
      <c r="K65" s="1"/>
      <c r="L65" s="1"/>
      <c r="M65" s="1"/>
      <c r="N65" s="10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row>
    <row r="66" spans="1:72">
      <c r="A66" s="1"/>
      <c r="B66" s="1"/>
      <c r="C66" s="1"/>
      <c r="D66" s="1"/>
      <c r="E66" s="1"/>
      <c r="F66" s="1"/>
      <c r="G66" s="1"/>
      <c r="H66" s="1"/>
      <c r="I66" s="1"/>
      <c r="J66" s="1"/>
      <c r="K66" s="1"/>
      <c r="L66" s="1"/>
      <c r="M66" s="1"/>
      <c r="N66" s="10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row>
    <row r="67" spans="1:72">
      <c r="A67" s="1"/>
      <c r="B67" s="1"/>
      <c r="C67" s="1"/>
      <c r="D67" s="1"/>
      <c r="E67" s="1"/>
      <c r="F67" s="1"/>
      <c r="G67" s="1"/>
      <c r="H67" s="1"/>
      <c r="I67" s="1"/>
      <c r="J67" s="1"/>
      <c r="K67" s="1"/>
      <c r="L67" s="1"/>
      <c r="M67" s="1"/>
      <c r="N67" s="10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row>
    <row r="68" spans="1:72">
      <c r="A68" s="1"/>
      <c r="B68" s="1"/>
      <c r="C68" s="1"/>
      <c r="D68" s="1"/>
      <c r="E68" s="1"/>
      <c r="F68" s="1"/>
      <c r="G68" s="1"/>
      <c r="H68" s="1"/>
      <c r="I68" s="1"/>
      <c r="J68" s="1"/>
      <c r="K68" s="1"/>
      <c r="L68" s="1"/>
      <c r="M68" s="1"/>
      <c r="N68" s="10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row>
    <row r="69" spans="1:72">
      <c r="A69" s="1"/>
      <c r="B69" s="1"/>
      <c r="C69" s="1"/>
      <c r="D69" s="1"/>
      <c r="E69" s="1"/>
      <c r="F69" s="1"/>
      <c r="G69" s="1"/>
      <c r="H69" s="1"/>
      <c r="I69" s="1"/>
      <c r="J69" s="1"/>
      <c r="K69" s="1"/>
      <c r="L69" s="1"/>
      <c r="M69" s="1"/>
      <c r="N69" s="10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row>
    <row r="70" spans="1:72">
      <c r="A70" s="1"/>
      <c r="B70" s="1"/>
      <c r="C70" s="1"/>
      <c r="D70" s="1"/>
      <c r="E70" s="1"/>
      <c r="F70" s="1"/>
      <c r="G70" s="1"/>
      <c r="H70" s="1"/>
      <c r="I70" s="1"/>
      <c r="J70" s="1"/>
      <c r="K70" s="1"/>
      <c r="L70" s="1"/>
      <c r="M70" s="1"/>
      <c r="N70" s="10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row>
    <row r="71" spans="1:72">
      <c r="A71" s="1"/>
      <c r="B71" s="1"/>
      <c r="C71" s="1"/>
      <c r="D71" s="1"/>
      <c r="E71" s="1"/>
      <c r="F71" s="1"/>
      <c r="G71" s="1"/>
      <c r="H71" s="1"/>
      <c r="I71" s="1"/>
      <c r="J71" s="1"/>
      <c r="K71" s="1"/>
      <c r="L71" s="1"/>
      <c r="M71" s="1"/>
      <c r="N71" s="10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row>
    <row r="72" spans="1:72">
      <c r="A72" s="1"/>
      <c r="B72" s="1"/>
      <c r="C72" s="1"/>
      <c r="D72" s="1"/>
      <c r="E72" s="1"/>
      <c r="F72" s="1"/>
      <c r="G72" s="1"/>
      <c r="H72" s="1"/>
      <c r="I72" s="1"/>
      <c r="J72" s="1"/>
      <c r="K72" s="1"/>
      <c r="L72" s="1"/>
      <c r="M72" s="1"/>
      <c r="N72" s="10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row>
    <row r="73" spans="1:72">
      <c r="A73" s="1"/>
      <c r="B73" s="1"/>
      <c r="C73" s="1"/>
      <c r="D73" s="1"/>
      <c r="E73" s="1"/>
      <c r="F73" s="1"/>
      <c r="G73" s="1"/>
      <c r="H73" s="1"/>
      <c r="I73" s="1"/>
      <c r="J73" s="1"/>
      <c r="K73" s="1"/>
      <c r="L73" s="1"/>
      <c r="M73" s="1"/>
      <c r="N73" s="10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row>
    <row r="74" spans="1:72">
      <c r="A74" s="1"/>
      <c r="B74" s="1"/>
      <c r="C74" s="1"/>
      <c r="D74" s="1"/>
      <c r="E74" s="1"/>
      <c r="F74" s="1"/>
      <c r="G74" s="1"/>
      <c r="H74" s="1"/>
      <c r="I74" s="1"/>
      <c r="J74" s="1"/>
      <c r="K74" s="1"/>
      <c r="L74" s="1"/>
      <c r="M74" s="1"/>
      <c r="N74" s="10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row>
    <row r="75" spans="1:72">
      <c r="A75" s="1"/>
      <c r="B75" s="1"/>
      <c r="C75" s="1"/>
      <c r="D75" s="1"/>
      <c r="E75" s="1"/>
      <c r="F75" s="1"/>
      <c r="G75" s="1"/>
      <c r="H75" s="1"/>
      <c r="I75" s="1"/>
      <c r="J75" s="1"/>
      <c r="K75" s="1"/>
      <c r="L75" s="1"/>
      <c r="M75" s="1"/>
      <c r="N75" s="10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row>
    <row r="76" spans="1:72">
      <c r="A76" s="1"/>
      <c r="B76" s="1"/>
      <c r="C76" s="1"/>
      <c r="D76" s="1"/>
      <c r="E76" s="1"/>
      <c r="F76" s="1"/>
      <c r="G76" s="1"/>
      <c r="H76" s="1"/>
      <c r="I76" s="1"/>
      <c r="J76" s="1"/>
      <c r="K76" s="1"/>
      <c r="L76" s="1"/>
      <c r="M76" s="1"/>
      <c r="N76" s="10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row>
    <row r="77" spans="1:72">
      <c r="A77" s="1"/>
      <c r="B77" s="1"/>
      <c r="C77" s="1"/>
      <c r="D77" s="1"/>
      <c r="E77" s="1"/>
      <c r="F77" s="1"/>
      <c r="G77" s="1"/>
      <c r="H77" s="1"/>
      <c r="I77" s="1"/>
      <c r="J77" s="1"/>
      <c r="K77" s="1"/>
      <c r="L77" s="1"/>
      <c r="M77" s="1"/>
      <c r="N77" s="10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row>
    <row r="78" spans="1:72">
      <c r="A78" s="1"/>
      <c r="B78" s="1"/>
      <c r="C78" s="1"/>
      <c r="D78" s="1"/>
      <c r="E78" s="1"/>
      <c r="F78" s="1"/>
      <c r="G78" s="1"/>
      <c r="H78" s="1"/>
      <c r="I78" s="1"/>
      <c r="J78" s="1"/>
      <c r="K78" s="1"/>
      <c r="L78" s="1"/>
      <c r="M78" s="1"/>
      <c r="N78" s="10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row>
    <row r="79" spans="1:72">
      <c r="A79" s="1"/>
      <c r="B79" s="1"/>
      <c r="C79" s="1"/>
      <c r="D79" s="1"/>
      <c r="E79" s="1"/>
      <c r="F79" s="1"/>
      <c r="G79" s="1"/>
      <c r="H79" s="1"/>
      <c r="I79" s="1"/>
      <c r="J79" s="1"/>
      <c r="K79" s="1"/>
      <c r="L79" s="1"/>
      <c r="M79" s="1"/>
      <c r="N79" s="10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row>
    <row r="80" spans="1:72">
      <c r="A80" s="1"/>
      <c r="B80" s="1"/>
      <c r="C80" s="1"/>
      <c r="D80" s="1"/>
      <c r="E80" s="1"/>
      <c r="F80" s="1"/>
      <c r="G80" s="1"/>
      <c r="H80" s="1"/>
      <c r="I80" s="1"/>
      <c r="J80" s="1"/>
      <c r="K80" s="1"/>
      <c r="L80" s="1"/>
      <c r="M80" s="1"/>
      <c r="N80" s="10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row>
    <row r="81" spans="1:72">
      <c r="A81" s="1"/>
      <c r="B81" s="1"/>
      <c r="C81" s="1"/>
      <c r="D81" s="1"/>
      <c r="E81" s="1"/>
      <c r="F81" s="1"/>
      <c r="G81" s="1"/>
      <c r="H81" s="1"/>
      <c r="I81" s="1"/>
      <c r="J81" s="1"/>
      <c r="K81" s="1"/>
      <c r="L81" s="1"/>
      <c r="M81" s="1"/>
      <c r="N81" s="10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row>
    <row r="82" spans="1:72">
      <c r="A82" s="1"/>
      <c r="B82" s="1"/>
      <c r="C82" s="1"/>
      <c r="D82" s="1"/>
      <c r="E82" s="1"/>
      <c r="F82" s="1"/>
      <c r="G82" s="1"/>
      <c r="H82" s="1"/>
      <c r="I82" s="1"/>
      <c r="J82" s="1"/>
      <c r="K82" s="1"/>
      <c r="L82" s="1"/>
      <c r="M82" s="1"/>
      <c r="N82" s="10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row>
    <row r="83" spans="1:72">
      <c r="A83" s="1"/>
      <c r="B83" s="1"/>
      <c r="C83" s="1"/>
      <c r="D83" s="1"/>
      <c r="E83" s="1"/>
      <c r="F83" s="1"/>
      <c r="G83" s="1"/>
      <c r="H83" s="1"/>
      <c r="I83" s="1"/>
      <c r="J83" s="1"/>
      <c r="K83" s="1"/>
      <c r="L83" s="1"/>
      <c r="M83" s="1"/>
      <c r="N83" s="10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row>
    <row r="84" spans="1:72">
      <c r="A84" s="1"/>
      <c r="B84" s="1"/>
      <c r="C84" s="1"/>
      <c r="D84" s="1"/>
      <c r="E84" s="1"/>
      <c r="F84" s="1"/>
      <c r="G84" s="1"/>
      <c r="H84" s="1"/>
      <c r="I84" s="1"/>
      <c r="J84" s="1"/>
      <c r="K84" s="1"/>
      <c r="L84" s="1"/>
      <c r="M84" s="1"/>
      <c r="N84" s="10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row>
    <row r="85" spans="1:72">
      <c r="A85" s="1"/>
      <c r="B85" s="1"/>
      <c r="C85" s="1"/>
      <c r="D85" s="1"/>
      <c r="E85" s="1"/>
      <c r="F85" s="1"/>
      <c r="G85" s="1"/>
      <c r="H85" s="1"/>
      <c r="I85" s="1"/>
      <c r="J85" s="1"/>
      <c r="K85" s="1"/>
      <c r="L85" s="1"/>
      <c r="M85" s="1"/>
      <c r="N85" s="10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row>
    <row r="86" spans="1:72">
      <c r="A86" s="1"/>
      <c r="B86" s="1"/>
      <c r="C86" s="1"/>
      <c r="D86" s="1"/>
      <c r="E86" s="1"/>
      <c r="F86" s="1"/>
      <c r="G86" s="1"/>
      <c r="H86" s="1"/>
      <c r="I86" s="1"/>
      <c r="J86" s="1"/>
      <c r="K86" s="1"/>
      <c r="L86" s="1"/>
      <c r="M86" s="1"/>
      <c r="N86" s="10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row>
    <row r="87" spans="1:72">
      <c r="A87" s="1"/>
      <c r="B87" s="1"/>
      <c r="C87" s="1"/>
      <c r="D87" s="1"/>
      <c r="E87" s="1"/>
      <c r="F87" s="1"/>
      <c r="G87" s="1"/>
      <c r="H87" s="1"/>
      <c r="I87" s="1"/>
      <c r="J87" s="1"/>
      <c r="K87" s="1"/>
      <c r="L87" s="1"/>
      <c r="M87" s="1"/>
      <c r="N87" s="10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row>
    <row r="88" spans="1:72">
      <c r="A88" s="1"/>
      <c r="B88" s="1"/>
      <c r="C88" s="1"/>
      <c r="D88" s="1"/>
      <c r="E88" s="1"/>
      <c r="F88" s="1"/>
      <c r="G88" s="1"/>
      <c r="H88" s="1"/>
      <c r="I88" s="1"/>
      <c r="J88" s="1"/>
      <c r="K88" s="1"/>
      <c r="L88" s="1"/>
      <c r="M88" s="1"/>
      <c r="N88" s="10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row>
    <row r="89" spans="1:72">
      <c r="A89" s="1"/>
      <c r="B89" s="1"/>
      <c r="C89" s="1"/>
      <c r="D89" s="1"/>
      <c r="E89" s="1"/>
      <c r="F89" s="1"/>
      <c r="G89" s="1"/>
      <c r="H89" s="1"/>
      <c r="I89" s="1"/>
      <c r="J89" s="1"/>
      <c r="K89" s="1"/>
      <c r="L89" s="1"/>
      <c r="M89" s="1"/>
      <c r="N89" s="10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row>
    <row r="90" spans="1:72">
      <c r="A90" s="1"/>
      <c r="B90" s="1"/>
      <c r="C90" s="1"/>
      <c r="D90" s="1"/>
      <c r="E90" s="1"/>
      <c r="F90" s="1"/>
      <c r="G90" s="1"/>
      <c r="H90" s="1"/>
      <c r="I90" s="1"/>
      <c r="J90" s="1"/>
      <c r="K90" s="1"/>
      <c r="L90" s="1"/>
      <c r="M90" s="1"/>
      <c r="N90" s="10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row>
    <row r="91" spans="1:72">
      <c r="A91" s="1"/>
      <c r="B91" s="1"/>
      <c r="C91" s="1"/>
      <c r="D91" s="1"/>
      <c r="E91" s="1"/>
      <c r="F91" s="1"/>
      <c r="G91" s="1"/>
      <c r="H91" s="1"/>
      <c r="I91" s="1"/>
      <c r="J91" s="1"/>
      <c r="K91" s="1"/>
      <c r="L91" s="1"/>
      <c r="M91" s="1"/>
      <c r="N91" s="10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row>
    <row r="92" spans="1:72">
      <c r="A92" s="1"/>
      <c r="B92" s="1"/>
      <c r="C92" s="1"/>
      <c r="D92" s="1"/>
      <c r="E92" s="1"/>
      <c r="F92" s="1"/>
      <c r="G92" s="1"/>
      <c r="H92" s="1"/>
      <c r="I92" s="1"/>
      <c r="J92" s="1"/>
      <c r="K92" s="1"/>
      <c r="L92" s="1"/>
      <c r="M92" s="1"/>
      <c r="N92" s="10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row>
    <row r="93" spans="1:72">
      <c r="A93" s="1"/>
      <c r="B93" s="1"/>
      <c r="C93" s="1"/>
      <c r="D93" s="1"/>
      <c r="E93" s="1"/>
      <c r="F93" s="1"/>
      <c r="G93" s="1"/>
      <c r="H93" s="1"/>
      <c r="I93" s="1"/>
      <c r="J93" s="1"/>
      <c r="K93" s="1"/>
      <c r="L93" s="1"/>
      <c r="M93" s="1"/>
      <c r="N93" s="10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row>
    <row r="94" spans="1:72">
      <c r="A94" s="1"/>
      <c r="B94" s="1"/>
      <c r="C94" s="1"/>
      <c r="D94" s="1"/>
      <c r="E94" s="1"/>
      <c r="F94" s="1"/>
      <c r="G94" s="1"/>
      <c r="H94" s="1"/>
      <c r="I94" s="1"/>
      <c r="J94" s="1"/>
      <c r="K94" s="1"/>
      <c r="L94" s="1"/>
      <c r="M94" s="1"/>
      <c r="N94" s="10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row>
    <row r="95" spans="1:72">
      <c r="A95" s="1"/>
      <c r="B95" s="1"/>
      <c r="C95" s="1"/>
      <c r="D95" s="1"/>
      <c r="E95" s="1"/>
      <c r="F95" s="1"/>
      <c r="G95" s="1"/>
      <c r="H95" s="1"/>
      <c r="I95" s="1"/>
      <c r="J95" s="1"/>
      <c r="K95" s="1"/>
      <c r="L95" s="1"/>
      <c r="M95" s="1"/>
      <c r="N95" s="10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row>
    <row r="96" spans="1:72">
      <c r="A96" s="1"/>
      <c r="B96" s="1"/>
      <c r="C96" s="1"/>
      <c r="D96" s="1"/>
      <c r="E96" s="1"/>
      <c r="F96" s="1"/>
      <c r="G96" s="1"/>
      <c r="H96" s="1"/>
      <c r="I96" s="1"/>
      <c r="J96" s="1"/>
      <c r="K96" s="1"/>
      <c r="L96" s="1"/>
      <c r="M96" s="1"/>
      <c r="N96" s="10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row>
    <row r="97" spans="1:72">
      <c r="A97" s="1"/>
      <c r="B97" s="1"/>
      <c r="C97" s="1"/>
      <c r="D97" s="1"/>
      <c r="E97" s="1"/>
      <c r="F97" s="1"/>
      <c r="G97" s="1"/>
      <c r="H97" s="1"/>
      <c r="I97" s="1"/>
      <c r="J97" s="1"/>
      <c r="K97" s="1"/>
      <c r="L97" s="1"/>
      <c r="M97" s="1"/>
      <c r="N97" s="10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row>
    <row r="98" spans="1:72">
      <c r="A98" s="1"/>
      <c r="B98" s="1"/>
      <c r="C98" s="1"/>
      <c r="D98" s="1"/>
      <c r="E98" s="1"/>
      <c r="F98" s="1"/>
      <c r="G98" s="1"/>
      <c r="H98" s="1"/>
      <c r="I98" s="1"/>
      <c r="J98" s="1"/>
      <c r="K98" s="1"/>
      <c r="L98" s="1"/>
      <c r="M98" s="1"/>
      <c r="N98" s="10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row>
    <row r="99" spans="1:72">
      <c r="A99" s="1"/>
      <c r="B99" s="1"/>
      <c r="C99" s="1"/>
      <c r="D99" s="1"/>
      <c r="E99" s="1"/>
      <c r="F99" s="1"/>
      <c r="G99" s="1"/>
      <c r="H99" s="1"/>
      <c r="I99" s="1"/>
      <c r="J99" s="1"/>
      <c r="K99" s="1"/>
      <c r="L99" s="1"/>
      <c r="M99" s="1"/>
      <c r="N99" s="10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row>
    <row r="100" spans="1:72">
      <c r="A100" s="1"/>
      <c r="B100" s="1"/>
      <c r="C100" s="1"/>
      <c r="D100" s="1"/>
      <c r="E100" s="1"/>
      <c r="F100" s="1"/>
      <c r="G100" s="1"/>
      <c r="H100" s="1"/>
      <c r="I100" s="1"/>
      <c r="J100" s="1"/>
      <c r="K100" s="1"/>
      <c r="L100" s="1"/>
      <c r="M100" s="1"/>
      <c r="N100" s="10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row>
    <row r="101" spans="1:72">
      <c r="A101" s="1"/>
      <c r="B101" s="1"/>
      <c r="C101" s="1"/>
      <c r="D101" s="1"/>
      <c r="E101" s="1"/>
      <c r="F101" s="1"/>
      <c r="G101" s="1"/>
      <c r="H101" s="1"/>
      <c r="I101" s="1"/>
      <c r="J101" s="1"/>
      <c r="K101" s="1"/>
      <c r="L101" s="1"/>
      <c r="M101" s="1"/>
      <c r="N101" s="10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row>
    <row r="102" spans="1:72">
      <c r="A102" s="1"/>
      <c r="B102" s="1"/>
      <c r="C102" s="1"/>
      <c r="D102" s="1"/>
      <c r="E102" s="1"/>
      <c r="F102" s="1"/>
      <c r="G102" s="1"/>
      <c r="H102" s="1"/>
      <c r="I102" s="1"/>
      <c r="J102" s="1"/>
      <c r="K102" s="1"/>
      <c r="L102" s="1"/>
      <c r="M102" s="1"/>
      <c r="N102" s="10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row>
    <row r="103" spans="1:72">
      <c r="A103" s="1"/>
      <c r="B103" s="1"/>
      <c r="C103" s="1"/>
      <c r="D103" s="1"/>
      <c r="E103" s="1"/>
      <c r="F103" s="1"/>
      <c r="G103" s="1"/>
      <c r="H103" s="1"/>
      <c r="I103" s="1"/>
      <c r="J103" s="1"/>
      <c r="K103" s="1"/>
      <c r="L103" s="1"/>
      <c r="M103" s="1"/>
      <c r="N103" s="10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row>
    <row r="104" spans="1:72">
      <c r="A104" s="1"/>
      <c r="B104" s="1"/>
      <c r="C104" s="1"/>
      <c r="D104" s="1"/>
      <c r="E104" s="1"/>
      <c r="F104" s="1"/>
      <c r="G104" s="1"/>
      <c r="H104" s="1"/>
      <c r="I104" s="1"/>
      <c r="J104" s="1"/>
      <c r="K104" s="1"/>
      <c r="L104" s="1"/>
      <c r="M104" s="1"/>
      <c r="N104" s="10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row>
    <row r="105" spans="1:72">
      <c r="A105" s="1"/>
      <c r="B105" s="1"/>
      <c r="C105" s="1"/>
      <c r="D105" s="1"/>
      <c r="E105" s="1"/>
      <c r="F105" s="1"/>
      <c r="G105" s="1"/>
      <c r="H105" s="1"/>
      <c r="I105" s="1"/>
      <c r="J105" s="1"/>
      <c r="K105" s="1"/>
      <c r="L105" s="1"/>
      <c r="M105" s="1"/>
      <c r="N105" s="10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row>
    <row r="106" spans="1:72">
      <c r="A106" s="1"/>
      <c r="B106" s="1"/>
      <c r="C106" s="1"/>
      <c r="D106" s="1"/>
      <c r="E106" s="1"/>
      <c r="F106" s="1"/>
      <c r="G106" s="1"/>
      <c r="H106" s="1"/>
      <c r="I106" s="1"/>
      <c r="J106" s="1"/>
      <c r="K106" s="1"/>
      <c r="L106" s="1"/>
      <c r="M106" s="1"/>
      <c r="N106" s="10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row>
    <row r="107" spans="1:72">
      <c r="A107" s="1"/>
      <c r="B107" s="1"/>
      <c r="C107" s="1"/>
      <c r="D107" s="1"/>
      <c r="E107" s="1"/>
      <c r="F107" s="1"/>
      <c r="G107" s="1"/>
      <c r="H107" s="1"/>
      <c r="I107" s="1"/>
      <c r="J107" s="1"/>
      <c r="K107" s="1"/>
      <c r="L107" s="1"/>
      <c r="M107" s="1"/>
      <c r="N107" s="10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row>
    <row r="108" spans="1:72">
      <c r="A108" s="1"/>
      <c r="B108" s="1"/>
      <c r="C108" s="1"/>
      <c r="D108" s="1"/>
      <c r="E108" s="1"/>
      <c r="F108" s="1"/>
      <c r="G108" s="1"/>
      <c r="H108" s="1"/>
      <c r="I108" s="1"/>
      <c r="J108" s="1"/>
      <c r="K108" s="1"/>
      <c r="L108" s="1"/>
      <c r="M108" s="1"/>
      <c r="N108" s="10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row>
    <row r="109" spans="1:72">
      <c r="A109" s="1"/>
      <c r="B109" s="1"/>
      <c r="C109" s="1"/>
      <c r="D109" s="1"/>
      <c r="E109" s="1"/>
      <c r="F109" s="1"/>
      <c r="G109" s="1"/>
      <c r="H109" s="1"/>
      <c r="I109" s="1"/>
      <c r="J109" s="1"/>
      <c r="K109" s="1"/>
      <c r="L109" s="1"/>
      <c r="M109" s="1"/>
      <c r="N109" s="10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row>
    <row r="110" spans="1:72">
      <c r="A110" s="1"/>
      <c r="B110" s="1"/>
      <c r="C110" s="1"/>
      <c r="D110" s="1"/>
      <c r="E110" s="1"/>
      <c r="F110" s="1"/>
      <c r="G110" s="1"/>
      <c r="H110" s="1"/>
      <c r="I110" s="1"/>
      <c r="J110" s="1"/>
      <c r="K110" s="1"/>
      <c r="L110" s="1"/>
      <c r="M110" s="1"/>
      <c r="N110" s="10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row>
    <row r="111" spans="1:72">
      <c r="A111" s="1"/>
      <c r="B111" s="1"/>
      <c r="C111" s="1"/>
      <c r="D111" s="1"/>
      <c r="E111" s="1"/>
      <c r="F111" s="1"/>
      <c r="G111" s="1"/>
      <c r="H111" s="1"/>
      <c r="I111" s="1"/>
      <c r="J111" s="1"/>
      <c r="K111" s="1"/>
      <c r="L111" s="1"/>
      <c r="M111" s="1"/>
      <c r="N111" s="10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row>
    <row r="112" spans="1:72">
      <c r="A112" s="1"/>
      <c r="B112" s="1"/>
      <c r="C112" s="1"/>
      <c r="D112" s="1"/>
      <c r="E112" s="1"/>
      <c r="F112" s="1"/>
      <c r="G112" s="1"/>
      <c r="H112" s="1"/>
      <c r="I112" s="1"/>
      <c r="J112" s="1"/>
      <c r="K112" s="1"/>
      <c r="L112" s="1"/>
      <c r="M112" s="1"/>
      <c r="N112" s="10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row>
    <row r="113" spans="1:72">
      <c r="A113" s="1"/>
      <c r="B113" s="1"/>
      <c r="C113" s="1"/>
      <c r="D113" s="1"/>
      <c r="E113" s="1"/>
      <c r="F113" s="1"/>
      <c r="G113" s="1"/>
      <c r="H113" s="1"/>
      <c r="I113" s="1"/>
      <c r="J113" s="1"/>
      <c r="K113" s="1"/>
      <c r="L113" s="1"/>
      <c r="M113" s="1"/>
      <c r="N113" s="10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row>
  </sheetData>
  <mergeCells count="22">
    <mergeCell ref="Q25:R25"/>
    <mergeCell ref="B1:B2"/>
    <mergeCell ref="C1:C2"/>
    <mergeCell ref="D1:D2"/>
    <mergeCell ref="F1:F2"/>
    <mergeCell ref="E1:E2"/>
    <mergeCell ref="H1:H2"/>
    <mergeCell ref="G1:G2"/>
    <mergeCell ref="I1:I2"/>
    <mergeCell ref="J1:J2"/>
    <mergeCell ref="L1:L2"/>
    <mergeCell ref="M1:M2"/>
    <mergeCell ref="K1:K2"/>
    <mergeCell ref="AG1:AJ1"/>
    <mergeCell ref="AK1:AM1"/>
    <mergeCell ref="V18:W18"/>
    <mergeCell ref="Q1:U1"/>
    <mergeCell ref="V1:W1"/>
    <mergeCell ref="X1:Y1"/>
    <mergeCell ref="Z1:AA1"/>
    <mergeCell ref="AB1:AC1"/>
    <mergeCell ref="AE1:AF1"/>
  </mergeCells>
  <conditionalFormatting sqref="Q3:T3">
    <cfRule type="colorScale" priority="1">
      <colorScale>
        <cfvo type="min"/>
        <cfvo type="percentile" val="50"/>
        <cfvo type="max"/>
        <color theme="9" tint="0.79998168889431442"/>
        <color theme="7" tint="0.79998168889431442"/>
        <color theme="5" tint="0.79998168889431442"/>
      </colorScale>
    </cfRule>
  </conditionalFormatting>
  <conditionalFormatting sqref="Q4:T4">
    <cfRule type="colorScale" priority="2">
      <colorScale>
        <cfvo type="min"/>
        <cfvo type="percentile" val="50"/>
        <cfvo type="max"/>
        <color theme="9" tint="0.79998168889431442"/>
        <color theme="7" tint="0.79998168889431442"/>
        <color theme="5" tint="0.79998168889431442"/>
      </colorScale>
    </cfRule>
  </conditionalFormatting>
  <conditionalFormatting sqref="Q5:T5">
    <cfRule type="colorScale" priority="3">
      <colorScale>
        <cfvo type="min"/>
        <cfvo type="percentile" val="50"/>
        <cfvo type="max"/>
        <color theme="9" tint="0.79998168889431442"/>
        <color theme="7" tint="0.79998168889431442"/>
        <color theme="5" tint="0.79998168889431442"/>
      </colorScale>
    </cfRule>
  </conditionalFormatting>
  <conditionalFormatting sqref="Q6:T6">
    <cfRule type="colorScale" priority="4">
      <colorScale>
        <cfvo type="min"/>
        <cfvo type="percentile" val="50"/>
        <cfvo type="max"/>
        <color theme="9" tint="0.79998168889431442"/>
        <color theme="7" tint="0.79998168889431442"/>
        <color theme="5" tint="0.79998168889431442"/>
      </colorScale>
    </cfRule>
  </conditionalFormatting>
  <conditionalFormatting sqref="Q7:T7 Q12:T12 Q16:T16 Q20:T22">
    <cfRule type="colorScale" priority="5">
      <colorScale>
        <cfvo type="min"/>
        <cfvo type="percentile" val="50"/>
        <cfvo type="max"/>
        <color theme="9" tint="0.79998168889431442"/>
        <color theme="7" tint="0.79998168889431442"/>
        <color theme="5" tint="0.79998168889431442"/>
      </colorScale>
    </cfRule>
  </conditionalFormatting>
  <conditionalFormatting sqref="Q8:T8 Q13:T13 Q17:T17">
    <cfRule type="colorScale" priority="6">
      <colorScale>
        <cfvo type="min"/>
        <cfvo type="percentile" val="50"/>
        <cfvo type="max"/>
        <color theme="9" tint="0.79998168889431442"/>
        <color theme="7" tint="0.79998168889431442"/>
        <color theme="5" tint="0.79998168889431442"/>
      </colorScale>
    </cfRule>
  </conditionalFormatting>
  <conditionalFormatting sqref="Q9:T9 Q14:T14">
    <cfRule type="colorScale" priority="7">
      <colorScale>
        <cfvo type="min"/>
        <cfvo type="percentile" val="50"/>
        <cfvo type="max"/>
        <color theme="9" tint="0.79998168889431442"/>
        <color theme="7" tint="0.79998168889431442"/>
        <color theme="5" tint="0.79998168889431442"/>
      </colorScale>
    </cfRule>
  </conditionalFormatting>
  <conditionalFormatting sqref="Q10:T11 Q15:T15 Q19:T19">
    <cfRule type="colorScale" priority="8">
      <colorScale>
        <cfvo type="min"/>
        <cfvo type="percentile" val="50"/>
        <cfvo type="max"/>
        <color theme="9" tint="0.79998168889431442"/>
        <color theme="7" tint="0.79998168889431442"/>
        <color theme="5" tint="0.79998168889431442"/>
      </colorScale>
    </cfRule>
  </conditionalFormatting>
  <hyperlinks>
    <hyperlink ref="AG1" r:id="rId1" display="https://doi.org/10.1016/j.rser.2022.112334" xr:uid="{11BCEDF6-62EE-4CA8-A2CD-1F3D0461208C}"/>
  </hyperlinks>
  <pageMargins left="0.7" right="0.7" top="0.75" bottom="0.75" header="0.3" footer="0.3"/>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4D4E7-1B44-4D60-9603-37D5047A6381}">
  <sheetPr>
    <tabColor theme="0" tint="-4.9989318521683403E-2"/>
  </sheetPr>
  <dimension ref="A1:BQ385"/>
  <sheetViews>
    <sheetView topLeftCell="C1" zoomScale="55" zoomScaleNormal="55" workbookViewId="0">
      <selection activeCell="H2" sqref="H2"/>
    </sheetView>
  </sheetViews>
  <sheetFormatPr baseColWidth="10" defaultRowHeight="14.5"/>
  <cols>
    <col min="1" max="1" width="20.08984375" customWidth="1"/>
    <col min="2" max="2" width="19.08984375" customWidth="1"/>
    <col min="3" max="3" width="35.36328125" customWidth="1"/>
    <col min="4" max="4" width="26.453125" customWidth="1"/>
    <col min="5" max="5" width="21.36328125" bestFit="1" customWidth="1"/>
    <col min="6" max="6" width="33" customWidth="1"/>
    <col min="7" max="7" width="24.7265625" customWidth="1"/>
    <col min="8" max="8" width="22.36328125" customWidth="1"/>
    <col min="9" max="11" width="20.453125" customWidth="1"/>
    <col min="12" max="12" width="30.54296875" customWidth="1"/>
    <col min="13" max="69" width="10.90625" style="1"/>
  </cols>
  <sheetData>
    <row r="1" spans="1:12" ht="44" customHeight="1">
      <c r="A1" s="420" t="s">
        <v>192</v>
      </c>
      <c r="B1" s="598" t="s">
        <v>177</v>
      </c>
      <c r="C1" s="598" t="s">
        <v>216</v>
      </c>
      <c r="D1" s="598" t="s">
        <v>217</v>
      </c>
      <c r="E1" s="661" t="s">
        <v>221</v>
      </c>
      <c r="F1" s="662" t="s">
        <v>224</v>
      </c>
      <c r="G1" s="661" t="s">
        <v>215</v>
      </c>
      <c r="H1" s="661"/>
      <c r="I1" s="610" t="s">
        <v>203</v>
      </c>
      <c r="J1" s="626" t="s">
        <v>144</v>
      </c>
      <c r="K1" s="628" t="s">
        <v>145</v>
      </c>
      <c r="L1" s="656" t="s">
        <v>142</v>
      </c>
    </row>
    <row r="2" spans="1:12" ht="40" customHeight="1" thickBot="1">
      <c r="A2" s="421" t="s">
        <v>67</v>
      </c>
      <c r="B2" s="598"/>
      <c r="C2" s="598"/>
      <c r="D2" s="598"/>
      <c r="E2" s="661"/>
      <c r="F2" s="663"/>
      <c r="G2" s="16" t="s">
        <v>69</v>
      </c>
      <c r="H2" s="16" t="s">
        <v>70</v>
      </c>
      <c r="I2" s="658"/>
      <c r="J2" s="660"/>
      <c r="K2" s="659"/>
      <c r="L2" s="657"/>
    </row>
    <row r="3" spans="1:12" ht="29.5" thickBot="1">
      <c r="A3" s="238" t="s">
        <v>21</v>
      </c>
      <c r="B3" s="422"/>
      <c r="C3" s="423">
        <f>1000*(62.8*97.3/100)</f>
        <v>61104.4</v>
      </c>
      <c r="D3" s="424"/>
      <c r="E3" s="424"/>
      <c r="F3" s="424"/>
      <c r="G3" s="423">
        <v>542</v>
      </c>
      <c r="H3" s="425">
        <v>577</v>
      </c>
      <c r="I3" s="248">
        <v>61104.4</v>
      </c>
      <c r="J3" s="249">
        <f>G3</f>
        <v>542</v>
      </c>
      <c r="K3" s="250">
        <f>I3</f>
        <v>61104.4</v>
      </c>
      <c r="L3" s="241" t="s">
        <v>152</v>
      </c>
    </row>
    <row r="4" spans="1:12">
      <c r="A4" s="86" t="s">
        <v>23</v>
      </c>
      <c r="B4" s="233"/>
      <c r="C4" s="234"/>
      <c r="D4" s="234"/>
      <c r="E4" s="234"/>
      <c r="F4" s="234"/>
      <c r="G4" s="234"/>
      <c r="H4" s="235"/>
      <c r="I4" s="226"/>
      <c r="J4" s="227"/>
      <c r="K4" s="228"/>
      <c r="L4" s="242"/>
    </row>
    <row r="5" spans="1:12">
      <c r="A5" s="86" t="s">
        <v>71</v>
      </c>
      <c r="B5" s="223"/>
      <c r="C5" s="224"/>
      <c r="D5" s="224"/>
      <c r="E5" s="224"/>
      <c r="F5" s="224"/>
      <c r="G5" s="224"/>
      <c r="H5" s="225"/>
      <c r="I5" s="226"/>
      <c r="J5" s="227"/>
      <c r="K5" s="228"/>
      <c r="L5" s="242"/>
    </row>
    <row r="6" spans="1:12" ht="107.5" customHeight="1">
      <c r="A6" s="84" t="s">
        <v>72</v>
      </c>
      <c r="B6" s="218">
        <v>2190</v>
      </c>
      <c r="C6" s="26"/>
      <c r="D6" s="27">
        <v>427</v>
      </c>
      <c r="E6" s="26"/>
      <c r="F6" s="26"/>
      <c r="G6" s="27">
        <v>571</v>
      </c>
      <c r="H6" s="217">
        <v>5444</v>
      </c>
      <c r="I6" s="211">
        <v>2190</v>
      </c>
      <c r="J6" s="221">
        <f>D6</f>
        <v>427</v>
      </c>
      <c r="K6" s="222">
        <f>H6</f>
        <v>5444</v>
      </c>
      <c r="L6" s="242" t="s">
        <v>151</v>
      </c>
    </row>
    <row r="7" spans="1:12">
      <c r="A7" s="84" t="s">
        <v>73</v>
      </c>
      <c r="B7" s="223"/>
      <c r="C7" s="224"/>
      <c r="D7" s="224"/>
      <c r="E7" s="224"/>
      <c r="F7" s="224"/>
      <c r="G7" s="224"/>
      <c r="H7" s="225"/>
      <c r="I7" s="226"/>
      <c r="J7" s="227"/>
      <c r="K7" s="228"/>
      <c r="L7" s="242"/>
    </row>
    <row r="8" spans="1:12">
      <c r="A8" s="95" t="s">
        <v>25</v>
      </c>
      <c r="B8" s="223"/>
      <c r="C8" s="224"/>
      <c r="D8" s="224"/>
      <c r="E8" s="224"/>
      <c r="F8" s="224"/>
      <c r="G8" s="224"/>
      <c r="H8" s="225"/>
      <c r="I8" s="226"/>
      <c r="J8" s="227"/>
      <c r="K8" s="228"/>
      <c r="L8" s="242"/>
    </row>
    <row r="9" spans="1:12" ht="20" customHeight="1">
      <c r="A9" s="84" t="s">
        <v>74</v>
      </c>
      <c r="B9" s="69">
        <v>1473.4</v>
      </c>
      <c r="C9" s="27">
        <f>1000*(62.8*2.3/100)</f>
        <v>1444.3999999999996</v>
      </c>
      <c r="D9" s="60">
        <v>60</v>
      </c>
      <c r="E9" s="27">
        <v>1345</v>
      </c>
      <c r="F9" s="43">
        <v>2500</v>
      </c>
      <c r="G9" s="27">
        <v>1489</v>
      </c>
      <c r="H9" s="166">
        <v>1523</v>
      </c>
      <c r="I9" s="102">
        <v>1473.4</v>
      </c>
      <c r="J9" s="231">
        <f>MIN(B9:H9)</f>
        <v>60</v>
      </c>
      <c r="K9" s="232">
        <f>MAX(B9:H9)</f>
        <v>2500</v>
      </c>
      <c r="L9" s="242" t="s">
        <v>154</v>
      </c>
    </row>
    <row r="10" spans="1:12">
      <c r="A10" s="71" t="s">
        <v>28</v>
      </c>
      <c r="B10" s="223"/>
      <c r="C10" s="224"/>
      <c r="D10" s="224"/>
      <c r="E10" s="224"/>
      <c r="F10" s="224"/>
      <c r="G10" s="224"/>
      <c r="H10" s="225"/>
      <c r="I10" s="226"/>
      <c r="J10" s="227"/>
      <c r="K10" s="228"/>
      <c r="L10" s="242"/>
    </row>
    <row r="11" spans="1:12">
      <c r="A11" s="84" t="s">
        <v>29</v>
      </c>
      <c r="B11" s="223"/>
      <c r="C11" s="224"/>
      <c r="D11" s="224"/>
      <c r="E11" s="224"/>
      <c r="F11" s="224"/>
      <c r="G11" s="224"/>
      <c r="H11" s="225"/>
      <c r="I11" s="226"/>
      <c r="J11" s="227"/>
      <c r="K11" s="228"/>
      <c r="L11" s="242"/>
    </row>
    <row r="12" spans="1:12">
      <c r="A12" s="84" t="s">
        <v>75</v>
      </c>
      <c r="B12" s="223"/>
      <c r="C12" s="224"/>
      <c r="D12" s="224"/>
      <c r="E12" s="224"/>
      <c r="F12" s="224"/>
      <c r="G12" s="224"/>
      <c r="H12" s="225"/>
      <c r="I12" s="226"/>
      <c r="J12" s="227"/>
      <c r="K12" s="228"/>
      <c r="L12" s="242"/>
    </row>
    <row r="13" spans="1:12">
      <c r="A13" s="95" t="s">
        <v>30</v>
      </c>
      <c r="B13" s="223"/>
      <c r="C13" s="224"/>
      <c r="D13" s="224"/>
      <c r="E13" s="224"/>
      <c r="F13" s="224"/>
      <c r="G13" s="224"/>
      <c r="H13" s="225"/>
      <c r="I13" s="226"/>
      <c r="J13" s="227"/>
      <c r="K13" s="228"/>
      <c r="L13" s="242"/>
    </row>
    <row r="14" spans="1:12" ht="18" customHeight="1">
      <c r="A14" s="86" t="s">
        <v>31</v>
      </c>
      <c r="B14" s="82"/>
      <c r="C14" s="26"/>
      <c r="D14" s="27">
        <v>1</v>
      </c>
      <c r="E14" s="26"/>
      <c r="F14" s="27">
        <v>0.48</v>
      </c>
      <c r="G14" s="26"/>
      <c r="H14" s="219"/>
      <c r="I14" s="102">
        <v>0.48</v>
      </c>
      <c r="J14" s="231">
        <f>F14</f>
        <v>0.48</v>
      </c>
      <c r="K14" s="232">
        <f>D14</f>
        <v>1</v>
      </c>
      <c r="L14" s="242" t="s">
        <v>156</v>
      </c>
    </row>
    <row r="15" spans="1:12" ht="29">
      <c r="A15" s="84" t="s">
        <v>32</v>
      </c>
      <c r="B15" s="82"/>
      <c r="C15" s="26"/>
      <c r="D15" s="27">
        <v>2</v>
      </c>
      <c r="E15" s="26"/>
      <c r="F15" s="27">
        <v>1.6</v>
      </c>
      <c r="G15" s="26"/>
      <c r="H15" s="219"/>
      <c r="I15" s="102">
        <v>1.6</v>
      </c>
      <c r="J15" s="231">
        <f>F15</f>
        <v>1.6</v>
      </c>
      <c r="K15" s="232">
        <f>D15</f>
        <v>2</v>
      </c>
      <c r="L15" s="242" t="s">
        <v>156</v>
      </c>
    </row>
    <row r="16" spans="1:12" ht="29">
      <c r="A16" s="86" t="s">
        <v>33</v>
      </c>
      <c r="B16" s="82"/>
      <c r="C16" s="26"/>
      <c r="D16" s="26"/>
      <c r="E16" s="26"/>
      <c r="F16" s="26"/>
      <c r="G16" s="43">
        <v>65888</v>
      </c>
      <c r="H16" s="175">
        <v>72244</v>
      </c>
      <c r="I16" s="226"/>
      <c r="J16" s="227"/>
      <c r="K16" s="228"/>
      <c r="L16" s="242" t="s">
        <v>155</v>
      </c>
    </row>
    <row r="17" spans="1:12" ht="29">
      <c r="A17" s="86" t="s">
        <v>35</v>
      </c>
      <c r="B17" s="82"/>
      <c r="C17" s="26"/>
      <c r="D17" s="27">
        <v>4</v>
      </c>
      <c r="E17" s="26"/>
      <c r="F17" s="26"/>
      <c r="G17" s="27">
        <v>11</v>
      </c>
      <c r="H17" s="166">
        <v>20</v>
      </c>
      <c r="I17" s="102">
        <v>4</v>
      </c>
      <c r="J17" s="96">
        <f>I17</f>
        <v>4</v>
      </c>
      <c r="K17" s="232">
        <f>H17</f>
        <v>20</v>
      </c>
      <c r="L17" s="242" t="s">
        <v>157</v>
      </c>
    </row>
    <row r="18" spans="1:12">
      <c r="A18" s="84" t="s">
        <v>37</v>
      </c>
      <c r="B18" s="82"/>
      <c r="C18" s="26"/>
      <c r="D18" s="26"/>
      <c r="E18" s="26"/>
      <c r="F18" s="26"/>
      <c r="G18" s="40">
        <v>6</v>
      </c>
      <c r="H18" s="220">
        <v>9</v>
      </c>
      <c r="I18" s="80"/>
      <c r="J18" s="67"/>
      <c r="K18" s="195"/>
      <c r="L18" s="242"/>
    </row>
    <row r="19" spans="1:12" ht="24.5" customHeight="1">
      <c r="A19" s="84" t="s">
        <v>38</v>
      </c>
      <c r="B19" s="69">
        <v>147.69</v>
      </c>
      <c r="C19" s="26"/>
      <c r="D19" s="26"/>
      <c r="E19" s="26"/>
      <c r="F19" s="26"/>
      <c r="G19" s="27">
        <v>230</v>
      </c>
      <c r="H19" s="166">
        <v>264</v>
      </c>
      <c r="I19" s="102">
        <v>147.69</v>
      </c>
      <c r="J19" s="102">
        <v>147.69</v>
      </c>
      <c r="K19" s="232">
        <f>H19</f>
        <v>264</v>
      </c>
      <c r="L19" s="242" t="s">
        <v>154</v>
      </c>
    </row>
    <row r="20" spans="1:12">
      <c r="A20" s="84" t="s">
        <v>76</v>
      </c>
      <c r="B20" s="223">
        <v>70.8</v>
      </c>
      <c r="C20" s="224"/>
      <c r="D20" s="224">
        <v>71</v>
      </c>
      <c r="E20" s="224"/>
      <c r="F20" s="224">
        <v>70.8</v>
      </c>
      <c r="G20" s="224"/>
      <c r="H20" s="225"/>
      <c r="I20" s="226">
        <v>70.8</v>
      </c>
      <c r="J20" s="227"/>
      <c r="K20" s="228"/>
      <c r="L20" s="242"/>
    </row>
    <row r="21" spans="1:12">
      <c r="A21" s="71" t="s">
        <v>39</v>
      </c>
      <c r="B21" s="223"/>
      <c r="C21" s="224"/>
      <c r="D21" s="224"/>
      <c r="E21" s="224"/>
      <c r="F21" s="224"/>
      <c r="G21" s="224"/>
      <c r="H21" s="225"/>
      <c r="I21" s="226"/>
      <c r="J21" s="227"/>
      <c r="K21" s="228"/>
      <c r="L21" s="242"/>
    </row>
    <row r="22" spans="1:12" ht="18" customHeight="1">
      <c r="A22" s="84" t="s">
        <v>40</v>
      </c>
      <c r="B22" s="69">
        <v>1297.4000000000001</v>
      </c>
      <c r="C22" s="26"/>
      <c r="D22" s="43">
        <v>256</v>
      </c>
      <c r="E22" s="43">
        <v>300</v>
      </c>
      <c r="F22" s="26"/>
      <c r="G22" s="27">
        <v>3355</v>
      </c>
      <c r="H22" s="166">
        <v>3217</v>
      </c>
      <c r="I22" s="212">
        <f>B22</f>
        <v>1297.4000000000001</v>
      </c>
      <c r="J22" s="98">
        <f>D22</f>
        <v>256</v>
      </c>
      <c r="K22" s="213">
        <f>G22</f>
        <v>3355</v>
      </c>
      <c r="L22" s="242" t="s">
        <v>153</v>
      </c>
    </row>
    <row r="23" spans="1:12">
      <c r="A23" s="84" t="s">
        <v>42</v>
      </c>
      <c r="B23" s="82"/>
      <c r="C23" s="26"/>
      <c r="D23" s="40">
        <v>2</v>
      </c>
      <c r="E23" s="26"/>
      <c r="F23" s="26"/>
      <c r="G23" s="26"/>
      <c r="H23" s="173"/>
      <c r="I23" s="103">
        <v>2</v>
      </c>
      <c r="J23" s="99">
        <f>D23</f>
        <v>2</v>
      </c>
      <c r="K23" s="215">
        <f>MAX(B23:H23)</f>
        <v>2</v>
      </c>
      <c r="L23" s="242" t="s">
        <v>162</v>
      </c>
    </row>
    <row r="24" spans="1:12">
      <c r="A24" s="95" t="s">
        <v>43</v>
      </c>
      <c r="B24" s="223"/>
      <c r="C24" s="224"/>
      <c r="D24" s="224"/>
      <c r="E24" s="224"/>
      <c r="F24" s="224"/>
      <c r="G24" s="224"/>
      <c r="H24" s="225"/>
      <c r="I24" s="226"/>
      <c r="J24" s="227"/>
      <c r="K24" s="228"/>
      <c r="L24" s="242"/>
    </row>
    <row r="25" spans="1:12">
      <c r="A25" s="71" t="s">
        <v>44</v>
      </c>
      <c r="B25" s="223"/>
      <c r="C25" s="224"/>
      <c r="D25" s="224"/>
      <c r="E25" s="224"/>
      <c r="F25" s="224"/>
      <c r="G25" s="224"/>
      <c r="H25" s="225"/>
      <c r="I25" s="226"/>
      <c r="J25" s="227"/>
      <c r="K25" s="228"/>
      <c r="L25" s="242"/>
    </row>
    <row r="26" spans="1:12">
      <c r="A26" s="86" t="s">
        <v>45</v>
      </c>
      <c r="B26" s="223"/>
      <c r="C26" s="224"/>
      <c r="D26" s="224"/>
      <c r="E26" s="224"/>
      <c r="F26" s="224"/>
      <c r="G26" s="224"/>
      <c r="H26" s="225"/>
      <c r="I26" s="226"/>
      <c r="J26" s="227"/>
      <c r="K26" s="228"/>
      <c r="L26" s="242"/>
    </row>
    <row r="27" spans="1:12">
      <c r="A27" s="86" t="s">
        <v>46</v>
      </c>
      <c r="B27" s="223"/>
      <c r="C27" s="224"/>
      <c r="D27" s="224"/>
      <c r="E27" s="224"/>
      <c r="F27" s="224"/>
      <c r="G27" s="224"/>
      <c r="H27" s="225"/>
      <c r="I27" s="226"/>
      <c r="J27" s="227"/>
      <c r="K27" s="228"/>
      <c r="L27" s="242"/>
    </row>
    <row r="28" spans="1:12" ht="43.5">
      <c r="A28" s="239" t="s">
        <v>47</v>
      </c>
      <c r="B28" s="82"/>
      <c r="C28" s="26"/>
      <c r="D28" s="27">
        <v>8</v>
      </c>
      <c r="E28" s="26"/>
      <c r="F28" s="27">
        <v>8.3000000000000007</v>
      </c>
      <c r="G28" s="26"/>
      <c r="H28" s="166">
        <v>0.06</v>
      </c>
      <c r="I28" s="103">
        <v>8.3000000000000007</v>
      </c>
      <c r="J28" s="99">
        <f>MIN(B28:H28)</f>
        <v>0.06</v>
      </c>
      <c r="K28" s="215">
        <f>MAX(B28:H28)</f>
        <v>8.3000000000000007</v>
      </c>
      <c r="L28" s="242" t="s">
        <v>179</v>
      </c>
    </row>
    <row r="29" spans="1:12">
      <c r="A29" s="86" t="s">
        <v>49</v>
      </c>
      <c r="B29" s="82"/>
      <c r="C29" s="60">
        <f>1000*(62.8*0.8/100)</f>
        <v>502.40000000000009</v>
      </c>
      <c r="D29" s="43">
        <v>486600</v>
      </c>
      <c r="E29" s="43"/>
      <c r="F29" s="26"/>
      <c r="G29" s="26"/>
      <c r="H29" s="219"/>
      <c r="I29" s="214">
        <f>D29</f>
        <v>486600</v>
      </c>
      <c r="J29" s="99">
        <f>MIN(B29:H29)</f>
        <v>502.40000000000009</v>
      </c>
      <c r="K29" s="215">
        <f>MAX(B29:H29)</f>
        <v>486600</v>
      </c>
      <c r="L29" s="242" t="s">
        <v>180</v>
      </c>
    </row>
    <row r="30" spans="1:12">
      <c r="A30" s="84" t="s">
        <v>51</v>
      </c>
      <c r="B30" s="223"/>
      <c r="C30" s="224"/>
      <c r="D30" s="224"/>
      <c r="E30" s="224"/>
      <c r="F30" s="224"/>
      <c r="G30" s="224"/>
      <c r="H30" s="225"/>
      <c r="I30" s="226"/>
      <c r="J30" s="229"/>
      <c r="K30" s="230"/>
      <c r="L30" s="243"/>
    </row>
    <row r="31" spans="1:12">
      <c r="A31" s="84" t="s">
        <v>52</v>
      </c>
      <c r="B31" s="223"/>
      <c r="C31" s="224"/>
      <c r="D31" s="224"/>
      <c r="E31" s="224"/>
      <c r="F31" s="224"/>
      <c r="G31" s="224"/>
      <c r="H31" s="225"/>
      <c r="I31" s="226"/>
      <c r="J31" s="229"/>
      <c r="K31" s="230"/>
      <c r="L31" s="243"/>
    </row>
    <row r="32" spans="1:12">
      <c r="A32" s="71" t="s">
        <v>54</v>
      </c>
      <c r="B32" s="223"/>
      <c r="C32" s="224"/>
      <c r="D32" s="224"/>
      <c r="E32" s="224"/>
      <c r="F32" s="224"/>
      <c r="G32" s="224"/>
      <c r="H32" s="225"/>
      <c r="I32" s="226"/>
      <c r="J32" s="229"/>
      <c r="K32" s="230"/>
      <c r="L32" s="243"/>
    </row>
    <row r="33" spans="1:12" ht="14.5" customHeight="1">
      <c r="A33" s="84" t="s">
        <v>55</v>
      </c>
      <c r="B33" s="82"/>
      <c r="C33" s="26"/>
      <c r="D33" s="40">
        <v>5</v>
      </c>
      <c r="E33" s="26"/>
      <c r="F33" s="26"/>
      <c r="G33" s="26"/>
      <c r="H33" s="166">
        <v>0.3</v>
      </c>
      <c r="I33" s="103">
        <v>5</v>
      </c>
      <c r="J33" s="99">
        <f>MIN(B33:H33)</f>
        <v>0.3</v>
      </c>
      <c r="K33" s="215">
        <f>MAX(B33:H33)</f>
        <v>5</v>
      </c>
      <c r="L33" s="242" t="s">
        <v>180</v>
      </c>
    </row>
    <row r="34" spans="1:12">
      <c r="A34" s="84" t="s">
        <v>56</v>
      </c>
      <c r="B34" s="82"/>
      <c r="C34" s="26"/>
      <c r="D34" s="40">
        <v>5</v>
      </c>
      <c r="E34" s="26"/>
      <c r="F34" s="26"/>
      <c r="G34" s="26"/>
      <c r="H34" s="219"/>
      <c r="I34" s="103">
        <v>5</v>
      </c>
      <c r="J34" s="99">
        <f t="shared" ref="J34:J36" si="0">MIN(B34:H34)</f>
        <v>5</v>
      </c>
      <c r="K34" s="215">
        <f t="shared" ref="K34:K36" si="1">MAX(B34:H34)</f>
        <v>5</v>
      </c>
      <c r="L34" s="242" t="s">
        <v>162</v>
      </c>
    </row>
    <row r="35" spans="1:12">
      <c r="A35" s="84" t="s">
        <v>77</v>
      </c>
      <c r="B35" s="82"/>
      <c r="C35" s="26"/>
      <c r="D35" s="40">
        <v>1</v>
      </c>
      <c r="E35" s="26"/>
      <c r="F35" s="26"/>
      <c r="G35" s="26"/>
      <c r="H35" s="219"/>
      <c r="I35" s="103">
        <v>1</v>
      </c>
      <c r="J35" s="99">
        <f>MIN(B35:H35)</f>
        <v>1</v>
      </c>
      <c r="K35" s="215">
        <f t="shared" si="1"/>
        <v>1</v>
      </c>
      <c r="L35" s="242" t="s">
        <v>162</v>
      </c>
    </row>
    <row r="36" spans="1:12">
      <c r="A36" s="86" t="s">
        <v>57</v>
      </c>
      <c r="B36" s="82"/>
      <c r="C36" s="26"/>
      <c r="D36" s="40">
        <v>1</v>
      </c>
      <c r="E36" s="26"/>
      <c r="F36" s="26"/>
      <c r="G36" s="26"/>
      <c r="H36" s="219"/>
      <c r="I36" s="103">
        <v>1</v>
      </c>
      <c r="J36" s="99">
        <f t="shared" si="0"/>
        <v>1</v>
      </c>
      <c r="K36" s="215">
        <f t="shared" si="1"/>
        <v>1</v>
      </c>
      <c r="L36" s="242" t="s">
        <v>162</v>
      </c>
    </row>
    <row r="37" spans="1:12" ht="29">
      <c r="A37" s="84" t="s">
        <v>58</v>
      </c>
      <c r="B37" s="82"/>
      <c r="C37" s="26"/>
      <c r="D37" s="26"/>
      <c r="E37" s="26"/>
      <c r="F37" s="26"/>
      <c r="G37" s="40">
        <v>48</v>
      </c>
      <c r="H37" s="220">
        <v>87</v>
      </c>
      <c r="I37" s="214">
        <f>AVERAGE(G37:H37)</f>
        <v>67.5</v>
      </c>
      <c r="J37" s="99">
        <f>G37</f>
        <v>48</v>
      </c>
      <c r="K37" s="215">
        <f>H37</f>
        <v>87</v>
      </c>
      <c r="L37" s="242" t="s">
        <v>280</v>
      </c>
    </row>
    <row r="38" spans="1:12" ht="29.5" thickBot="1">
      <c r="A38" s="240" t="s">
        <v>60</v>
      </c>
      <c r="B38" s="236"/>
      <c r="C38" s="237"/>
      <c r="D38" s="246">
        <v>31</v>
      </c>
      <c r="E38" s="237"/>
      <c r="F38" s="237"/>
      <c r="G38" s="237"/>
      <c r="H38" s="247">
        <v>14</v>
      </c>
      <c r="I38" s="251">
        <v>31</v>
      </c>
      <c r="J38" s="252">
        <f t="shared" ref="J38" si="2">MIN(B38:H38)</f>
        <v>14</v>
      </c>
      <c r="K38" s="253">
        <f t="shared" ref="K38" si="3">MAX(B38:H38)</f>
        <v>31</v>
      </c>
      <c r="L38" s="244" t="s">
        <v>181</v>
      </c>
    </row>
    <row r="39" spans="1:12" s="1" customFormat="1">
      <c r="L39" s="101"/>
    </row>
    <row r="40" spans="1:12" s="1" customFormat="1"/>
    <row r="41" spans="1:12" s="1" customFormat="1"/>
    <row r="42" spans="1:12" s="1" customFormat="1"/>
    <row r="43" spans="1:12" s="1" customFormat="1"/>
    <row r="44" spans="1:12" s="1" customFormat="1"/>
    <row r="45" spans="1:12" s="1" customFormat="1"/>
    <row r="46" spans="1:12" s="1" customFormat="1"/>
    <row r="47" spans="1:12" s="1" customFormat="1"/>
    <row r="48" spans="1:12"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sheetData>
  <mergeCells count="10">
    <mergeCell ref="B1:B2"/>
    <mergeCell ref="F1:F2"/>
    <mergeCell ref="E1:E2"/>
    <mergeCell ref="D1:D2"/>
    <mergeCell ref="C1:C2"/>
    <mergeCell ref="L1:L2"/>
    <mergeCell ref="I1:I2"/>
    <mergeCell ref="K1:K2"/>
    <mergeCell ref="J1:J2"/>
    <mergeCell ref="G1:H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30AFF-5006-4CC9-96D5-8ACCFDE11795}">
  <sheetPr>
    <tabColor theme="0" tint="-4.9989318521683403E-2"/>
  </sheetPr>
  <dimension ref="A1:GG200"/>
  <sheetViews>
    <sheetView zoomScale="70" zoomScaleNormal="70" workbookViewId="0">
      <selection activeCell="C1" sqref="C1:C2"/>
    </sheetView>
  </sheetViews>
  <sheetFormatPr baseColWidth="10" defaultRowHeight="14.5"/>
  <cols>
    <col min="1" max="1" width="12" bestFit="1" customWidth="1"/>
    <col min="2" max="2" width="21.1796875" customWidth="1"/>
    <col min="3" max="3" width="21.26953125" customWidth="1"/>
    <col min="8" max="8" width="19.36328125" customWidth="1"/>
    <col min="9" max="189" width="10.90625" style="1"/>
  </cols>
  <sheetData>
    <row r="1" spans="1:8" ht="29" customHeight="1" thickBot="1">
      <c r="A1" s="124" t="s">
        <v>200</v>
      </c>
      <c r="B1" s="670" t="s">
        <v>264</v>
      </c>
      <c r="C1" s="674" t="s">
        <v>265</v>
      </c>
      <c r="D1" s="672" t="s">
        <v>204</v>
      </c>
      <c r="E1" s="664" t="s">
        <v>143</v>
      </c>
      <c r="F1" s="666" t="s">
        <v>144</v>
      </c>
      <c r="G1" s="668" t="s">
        <v>145</v>
      </c>
      <c r="H1" s="328" t="s">
        <v>165</v>
      </c>
    </row>
    <row r="2" spans="1:8" ht="26.5" customHeight="1" thickBot="1">
      <c r="A2" s="209" t="s">
        <v>150</v>
      </c>
      <c r="B2" s="671"/>
      <c r="C2" s="675"/>
      <c r="D2" s="673"/>
      <c r="E2" s="665"/>
      <c r="F2" s="667"/>
      <c r="G2" s="669"/>
      <c r="H2" s="333" t="s">
        <v>169</v>
      </c>
    </row>
    <row r="3" spans="1:8" ht="58">
      <c r="A3" s="272" t="s">
        <v>21</v>
      </c>
      <c r="B3" s="416">
        <v>3400</v>
      </c>
      <c r="C3" s="417"/>
      <c r="D3" s="418">
        <v>1635</v>
      </c>
      <c r="E3" s="369">
        <v>3400</v>
      </c>
      <c r="F3" s="370">
        <v>1635</v>
      </c>
      <c r="G3" s="371">
        <v>3400</v>
      </c>
      <c r="H3" s="329" t="s">
        <v>266</v>
      </c>
    </row>
    <row r="4" spans="1:8" ht="21.5" customHeight="1">
      <c r="A4" s="75" t="s">
        <v>23</v>
      </c>
      <c r="B4" s="267"/>
      <c r="C4" s="267"/>
      <c r="D4" s="279"/>
      <c r="E4" s="280"/>
      <c r="F4" s="267"/>
      <c r="G4" s="100"/>
      <c r="H4" s="334"/>
    </row>
    <row r="5" spans="1:8">
      <c r="A5" s="75" t="s">
        <v>71</v>
      </c>
      <c r="B5" s="267"/>
      <c r="C5" s="267"/>
      <c r="D5" s="279"/>
      <c r="E5" s="280"/>
      <c r="F5" s="267"/>
      <c r="G5" s="100"/>
      <c r="H5" s="334"/>
    </row>
    <row r="6" spans="1:8" ht="58">
      <c r="A6" s="272" t="s">
        <v>72</v>
      </c>
      <c r="B6" s="368">
        <v>1500</v>
      </c>
      <c r="C6" s="269"/>
      <c r="D6" s="367">
        <v>12395</v>
      </c>
      <c r="E6" s="365">
        <v>1500</v>
      </c>
      <c r="F6" s="365">
        <v>1500</v>
      </c>
      <c r="G6" s="366">
        <f>D6</f>
        <v>12395</v>
      </c>
      <c r="H6" s="329" t="s">
        <v>267</v>
      </c>
    </row>
    <row r="7" spans="1:8">
      <c r="A7" s="254" t="s">
        <v>73</v>
      </c>
      <c r="B7" s="267"/>
      <c r="C7" s="267"/>
      <c r="D7" s="279"/>
      <c r="E7" s="280"/>
      <c r="F7" s="267"/>
      <c r="G7" s="100"/>
      <c r="H7" s="334"/>
    </row>
    <row r="8" spans="1:8">
      <c r="A8" s="64" t="s">
        <v>25</v>
      </c>
      <c r="B8" s="267"/>
      <c r="C8" s="267"/>
      <c r="D8" s="279"/>
      <c r="E8" s="280"/>
      <c r="F8" s="267"/>
      <c r="G8" s="100"/>
      <c r="H8" s="334"/>
    </row>
    <row r="9" spans="1:8" ht="26.5" customHeight="1">
      <c r="A9" s="272" t="s">
        <v>74</v>
      </c>
      <c r="B9" s="359">
        <v>1050</v>
      </c>
      <c r="C9" s="270">
        <v>3160</v>
      </c>
      <c r="D9" s="362">
        <v>6735</v>
      </c>
      <c r="E9" s="278">
        <v>3160</v>
      </c>
      <c r="F9" s="360">
        <f>MIN(B9:C9)</f>
        <v>1050</v>
      </c>
      <c r="G9" s="361">
        <f>D9</f>
        <v>6735</v>
      </c>
      <c r="H9" s="242" t="s">
        <v>268</v>
      </c>
    </row>
    <row r="10" spans="1:8">
      <c r="A10" s="274" t="s">
        <v>28</v>
      </c>
      <c r="B10" s="267"/>
      <c r="C10" s="267"/>
      <c r="D10" s="279"/>
      <c r="E10" s="280"/>
      <c r="F10" s="267"/>
      <c r="G10" s="100"/>
      <c r="H10" s="334"/>
    </row>
    <row r="11" spans="1:8">
      <c r="A11" s="254" t="s">
        <v>29</v>
      </c>
      <c r="B11" s="267"/>
      <c r="C11" s="267"/>
      <c r="D11" s="279"/>
      <c r="E11" s="280"/>
      <c r="F11" s="267"/>
      <c r="G11" s="100"/>
      <c r="H11" s="334"/>
    </row>
    <row r="12" spans="1:8">
      <c r="A12" s="254" t="s">
        <v>75</v>
      </c>
      <c r="B12" s="267"/>
      <c r="C12" s="267"/>
      <c r="D12" s="279"/>
      <c r="E12" s="280"/>
      <c r="F12" s="267"/>
      <c r="G12" s="100"/>
      <c r="H12" s="334"/>
    </row>
    <row r="13" spans="1:8">
      <c r="A13" s="64" t="s">
        <v>30</v>
      </c>
      <c r="B13" s="267"/>
      <c r="C13" s="267"/>
      <c r="D13" s="279"/>
      <c r="E13" s="280"/>
      <c r="F13" s="267"/>
      <c r="G13" s="100"/>
      <c r="H13" s="334"/>
    </row>
    <row r="14" spans="1:8">
      <c r="A14" s="75" t="s">
        <v>31</v>
      </c>
      <c r="B14" s="267"/>
      <c r="C14" s="267"/>
      <c r="D14" s="279"/>
      <c r="E14" s="280"/>
      <c r="F14" s="267"/>
      <c r="G14" s="100"/>
      <c r="H14" s="334"/>
    </row>
    <row r="15" spans="1:8">
      <c r="A15" s="254" t="s">
        <v>32</v>
      </c>
      <c r="B15" s="267"/>
      <c r="C15" s="267"/>
      <c r="D15" s="279"/>
      <c r="E15" s="287"/>
      <c r="F15" s="288"/>
      <c r="G15" s="330"/>
      <c r="H15" s="334"/>
    </row>
    <row r="16" spans="1:8" ht="58">
      <c r="A16" s="275" t="s">
        <v>33</v>
      </c>
      <c r="B16" s="364">
        <v>175000</v>
      </c>
      <c r="C16" s="353"/>
      <c r="D16" s="363">
        <v>338665</v>
      </c>
      <c r="E16" s="372">
        <v>175000</v>
      </c>
      <c r="F16" s="372">
        <v>175000</v>
      </c>
      <c r="G16" s="372">
        <f>D16</f>
        <v>338665</v>
      </c>
      <c r="H16" s="329" t="s">
        <v>266</v>
      </c>
    </row>
    <row r="17" spans="1:8" ht="58">
      <c r="A17" s="380" t="s">
        <v>35</v>
      </c>
      <c r="B17" s="373">
        <v>300</v>
      </c>
      <c r="C17" s="353"/>
      <c r="D17" s="374">
        <v>59</v>
      </c>
      <c r="E17" s="375">
        <v>300</v>
      </c>
      <c r="F17" s="376">
        <v>59</v>
      </c>
      <c r="G17" s="377">
        <v>300</v>
      </c>
      <c r="H17" s="329" t="s">
        <v>267</v>
      </c>
    </row>
    <row r="18" spans="1:8" ht="58">
      <c r="A18" s="380" t="s">
        <v>37</v>
      </c>
      <c r="B18" s="373">
        <v>100</v>
      </c>
      <c r="C18" s="353"/>
      <c r="D18" s="374">
        <v>37</v>
      </c>
      <c r="E18" s="375">
        <v>100</v>
      </c>
      <c r="F18" s="376">
        <v>37</v>
      </c>
      <c r="G18" s="377">
        <v>100</v>
      </c>
      <c r="H18" s="329" t="s">
        <v>267</v>
      </c>
    </row>
    <row r="19" spans="1:8" ht="58">
      <c r="A19" s="272" t="s">
        <v>38</v>
      </c>
      <c r="B19" s="352">
        <v>200</v>
      </c>
      <c r="C19" s="353"/>
      <c r="D19" s="354">
        <v>3393</v>
      </c>
      <c r="E19" s="355">
        <v>200</v>
      </c>
      <c r="F19" s="356">
        <v>200</v>
      </c>
      <c r="G19" s="357">
        <f>D19</f>
        <v>3393</v>
      </c>
      <c r="H19" s="329" t="s">
        <v>267</v>
      </c>
    </row>
    <row r="20" spans="1:8">
      <c r="A20" s="272" t="s">
        <v>76</v>
      </c>
      <c r="B20" s="352">
        <v>250</v>
      </c>
      <c r="C20" s="353"/>
      <c r="D20" s="358"/>
      <c r="E20" s="355">
        <v>250</v>
      </c>
      <c r="F20" s="356">
        <v>250</v>
      </c>
      <c r="G20" s="357">
        <v>250</v>
      </c>
      <c r="H20" s="242" t="s">
        <v>162</v>
      </c>
    </row>
    <row r="21" spans="1:8">
      <c r="A21" s="274" t="s">
        <v>39</v>
      </c>
      <c r="B21" s="267"/>
      <c r="C21" s="267"/>
      <c r="D21" s="279"/>
      <c r="E21" s="286"/>
      <c r="F21" s="267"/>
      <c r="G21" s="100"/>
      <c r="H21" s="334"/>
    </row>
    <row r="22" spans="1:8">
      <c r="A22" s="272" t="s">
        <v>40</v>
      </c>
      <c r="B22" s="269"/>
      <c r="C22" s="269"/>
      <c r="D22" s="273">
        <v>7587</v>
      </c>
      <c r="E22" s="284"/>
      <c r="F22" s="268"/>
      <c r="G22" s="331"/>
      <c r="H22" s="335"/>
    </row>
    <row r="23" spans="1:8">
      <c r="A23" s="254" t="s">
        <v>42</v>
      </c>
      <c r="B23" s="267"/>
      <c r="C23" s="267"/>
      <c r="D23" s="279"/>
      <c r="E23" s="280"/>
      <c r="F23" s="267"/>
      <c r="G23" s="100"/>
      <c r="H23" s="334"/>
    </row>
    <row r="24" spans="1:8">
      <c r="A24" s="64" t="s">
        <v>43</v>
      </c>
      <c r="B24" s="267"/>
      <c r="C24" s="267"/>
      <c r="D24" s="279"/>
      <c r="E24" s="280"/>
      <c r="F24" s="267"/>
      <c r="G24" s="100"/>
      <c r="H24" s="334"/>
    </row>
    <row r="25" spans="1:8">
      <c r="A25" s="274" t="s">
        <v>44</v>
      </c>
      <c r="B25" s="267"/>
      <c r="C25" s="267"/>
      <c r="D25" s="279"/>
      <c r="E25" s="280"/>
      <c r="F25" s="267"/>
      <c r="G25" s="100"/>
      <c r="H25" s="334"/>
    </row>
    <row r="26" spans="1:8">
      <c r="A26" s="75" t="s">
        <v>45</v>
      </c>
      <c r="B26" s="267"/>
      <c r="C26" s="267"/>
      <c r="D26" s="279"/>
      <c r="E26" s="280"/>
      <c r="F26" s="267"/>
      <c r="G26" s="100"/>
      <c r="H26" s="334"/>
    </row>
    <row r="27" spans="1:8">
      <c r="A27" s="75" t="s">
        <v>46</v>
      </c>
      <c r="B27" s="267"/>
      <c r="C27" s="267"/>
      <c r="D27" s="279"/>
      <c r="E27" s="280"/>
      <c r="F27" s="267"/>
      <c r="G27" s="100"/>
      <c r="H27" s="334"/>
    </row>
    <row r="28" spans="1:8">
      <c r="A28" s="75" t="s">
        <v>47</v>
      </c>
      <c r="B28" s="267"/>
      <c r="C28" s="267"/>
      <c r="D28" s="279"/>
      <c r="E28" s="280"/>
      <c r="F28" s="267"/>
      <c r="G28" s="100"/>
      <c r="H28" s="334"/>
    </row>
    <row r="29" spans="1:8">
      <c r="A29" s="275" t="s">
        <v>49</v>
      </c>
      <c r="B29" s="285">
        <v>175000</v>
      </c>
      <c r="C29" s="269"/>
      <c r="D29" s="269"/>
      <c r="E29" s="277">
        <v>175000</v>
      </c>
      <c r="F29" s="277">
        <v>175000</v>
      </c>
      <c r="G29" s="277">
        <v>175000</v>
      </c>
      <c r="H29" s="242" t="s">
        <v>162</v>
      </c>
    </row>
    <row r="30" spans="1:8">
      <c r="A30" s="254" t="s">
        <v>51</v>
      </c>
      <c r="B30" s="267"/>
      <c r="C30" s="267"/>
      <c r="D30" s="279"/>
      <c r="E30" s="280"/>
      <c r="F30" s="267"/>
      <c r="G30" s="100"/>
      <c r="H30" s="334"/>
    </row>
    <row r="31" spans="1:8">
      <c r="A31" s="254" t="s">
        <v>52</v>
      </c>
      <c r="B31" s="267"/>
      <c r="C31" s="267"/>
      <c r="D31" s="279"/>
      <c r="E31" s="280"/>
      <c r="F31" s="267"/>
      <c r="G31" s="100"/>
      <c r="H31" s="334"/>
    </row>
    <row r="32" spans="1:8">
      <c r="A32" s="274" t="s">
        <v>54</v>
      </c>
      <c r="B32" s="267"/>
      <c r="C32" s="267"/>
      <c r="D32" s="279"/>
      <c r="E32" s="280"/>
      <c r="F32" s="267"/>
      <c r="G32" s="100"/>
      <c r="H32" s="334"/>
    </row>
    <row r="33" spans="1:8">
      <c r="A33" s="254" t="s">
        <v>55</v>
      </c>
      <c r="B33" s="267"/>
      <c r="C33" s="267"/>
      <c r="D33" s="279"/>
      <c r="E33" s="280"/>
      <c r="F33" s="267"/>
      <c r="G33" s="100"/>
      <c r="H33" s="334"/>
    </row>
    <row r="34" spans="1:8">
      <c r="A34" s="254" t="s">
        <v>56</v>
      </c>
      <c r="B34" s="267"/>
      <c r="C34" s="267"/>
      <c r="D34" s="279"/>
      <c r="E34" s="280"/>
      <c r="F34" s="267"/>
      <c r="G34" s="100"/>
      <c r="H34" s="334"/>
    </row>
    <row r="35" spans="1:8">
      <c r="A35" s="254" t="s">
        <v>77</v>
      </c>
      <c r="B35" s="267"/>
      <c r="C35" s="267"/>
      <c r="D35" s="279"/>
      <c r="E35" s="280"/>
      <c r="F35" s="267"/>
      <c r="G35" s="100"/>
      <c r="H35" s="334"/>
    </row>
    <row r="36" spans="1:8">
      <c r="A36" s="75" t="s">
        <v>57</v>
      </c>
      <c r="B36" s="267"/>
      <c r="C36" s="267"/>
      <c r="D36" s="279"/>
      <c r="E36" s="280"/>
      <c r="F36" s="267"/>
      <c r="G36" s="100"/>
      <c r="H36" s="334"/>
    </row>
    <row r="37" spans="1:8">
      <c r="A37" s="272" t="s">
        <v>58</v>
      </c>
      <c r="B37" s="359">
        <v>400</v>
      </c>
      <c r="C37" s="269"/>
      <c r="D37" s="362">
        <v>253</v>
      </c>
      <c r="E37" s="378">
        <v>400</v>
      </c>
      <c r="F37" s="378">
        <f>D37</f>
        <v>253</v>
      </c>
      <c r="G37" s="379">
        <v>400</v>
      </c>
      <c r="H37" s="242" t="s">
        <v>162</v>
      </c>
    </row>
    <row r="38" spans="1:8" ht="15" thickBot="1">
      <c r="A38" s="276" t="s">
        <v>60</v>
      </c>
      <c r="B38" s="281"/>
      <c r="C38" s="281"/>
      <c r="D38" s="282"/>
      <c r="E38" s="283"/>
      <c r="F38" s="281"/>
      <c r="G38" s="332"/>
      <c r="H38" s="336"/>
    </row>
    <row r="39" spans="1:8" s="1" customFormat="1"/>
    <row r="40" spans="1:8" s="1" customFormat="1"/>
    <row r="41" spans="1:8" s="1" customFormat="1"/>
    <row r="42" spans="1:8" s="1" customFormat="1"/>
    <row r="43" spans="1:8" s="1" customFormat="1"/>
    <row r="44" spans="1:8" s="1" customFormat="1"/>
    <row r="45" spans="1:8" s="1" customFormat="1"/>
    <row r="46" spans="1:8" s="1" customFormat="1"/>
    <row r="47" spans="1:8" s="1" customFormat="1"/>
    <row r="48" spans="1: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sheetData>
  <sortState xmlns:xlrd2="http://schemas.microsoft.com/office/spreadsheetml/2017/richdata2" ref="A1:H38">
    <sortCondition ref="A2:A38"/>
  </sortState>
  <mergeCells count="6">
    <mergeCell ref="E1:E2"/>
    <mergeCell ref="F1:F2"/>
    <mergeCell ref="G1:G2"/>
    <mergeCell ref="B1:B2"/>
    <mergeCell ref="D1:D2"/>
    <mergeCell ref="C1:C2"/>
  </mergeCells>
  <phoneticPr fontId="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E6CC7-8C00-494D-9B82-9658D2EDEA8C}">
  <sheetPr>
    <tabColor theme="0" tint="-4.9989318521683403E-2"/>
  </sheetPr>
  <dimension ref="A1:KG250"/>
  <sheetViews>
    <sheetView zoomScale="85" zoomScaleNormal="85" workbookViewId="0">
      <selection activeCell="V40" sqref="V40"/>
    </sheetView>
  </sheetViews>
  <sheetFormatPr baseColWidth="10" defaultRowHeight="14.5"/>
  <cols>
    <col min="2" max="2" width="21.1796875" customWidth="1"/>
    <col min="3" max="3" width="16.90625" customWidth="1"/>
    <col min="4" max="4" width="27" customWidth="1"/>
    <col min="5" max="5" width="29.36328125" customWidth="1"/>
    <col min="6" max="6" width="16.36328125" bestFit="1" customWidth="1"/>
    <col min="7" max="9" width="12.08984375" bestFit="1" customWidth="1"/>
    <col min="10" max="10" width="21.54296875" style="12" customWidth="1"/>
    <col min="11" max="293" width="10.90625" style="1"/>
  </cols>
  <sheetData>
    <row r="1" spans="1:293" s="5" customFormat="1" ht="66" customHeight="1">
      <c r="A1" s="19" t="s">
        <v>195</v>
      </c>
      <c r="B1" s="682" t="s">
        <v>208</v>
      </c>
      <c r="C1" s="683" t="s">
        <v>207</v>
      </c>
      <c r="D1" s="685" t="s">
        <v>183</v>
      </c>
      <c r="E1" s="680" t="s">
        <v>185</v>
      </c>
      <c r="F1" s="678" t="s">
        <v>205</v>
      </c>
      <c r="G1" s="639" t="s">
        <v>209</v>
      </c>
      <c r="H1" s="688" t="s">
        <v>144</v>
      </c>
      <c r="I1" s="676" t="s">
        <v>145</v>
      </c>
      <c r="J1" s="414" t="s">
        <v>142</v>
      </c>
      <c r="K1" s="151"/>
      <c r="L1" s="151"/>
      <c r="M1" s="151"/>
      <c r="N1" s="151"/>
      <c r="O1" s="151"/>
      <c r="P1" s="151"/>
      <c r="Q1" s="151"/>
      <c r="R1" s="151"/>
      <c r="S1" s="151"/>
      <c r="T1" s="151"/>
      <c r="U1" s="151"/>
      <c r="V1" s="151"/>
      <c r="W1" s="151"/>
      <c r="X1" s="151"/>
      <c r="Y1" s="151"/>
      <c r="Z1" s="151"/>
      <c r="AA1" s="151"/>
      <c r="AB1" s="151"/>
      <c r="AC1" s="151"/>
      <c r="AD1" s="151"/>
      <c r="AE1" s="151"/>
      <c r="AF1" s="151"/>
      <c r="AG1" s="151"/>
      <c r="AH1" s="151"/>
      <c r="AI1" s="151"/>
      <c r="AJ1" s="151"/>
      <c r="AK1" s="151"/>
      <c r="AL1" s="151"/>
      <c r="AM1" s="151"/>
      <c r="AN1" s="151"/>
      <c r="AO1" s="151"/>
      <c r="AP1" s="151"/>
      <c r="AQ1" s="151"/>
      <c r="AR1" s="151"/>
      <c r="AS1" s="151"/>
      <c r="AT1" s="151"/>
      <c r="AU1" s="151"/>
      <c r="AV1" s="151"/>
      <c r="AW1" s="151"/>
      <c r="AX1" s="151"/>
      <c r="AY1" s="151"/>
      <c r="AZ1" s="151"/>
      <c r="BA1" s="151"/>
      <c r="BB1" s="151"/>
      <c r="BC1" s="151"/>
      <c r="BD1" s="151"/>
      <c r="BE1" s="151"/>
      <c r="BF1" s="151"/>
      <c r="BG1" s="151"/>
      <c r="BH1" s="151"/>
      <c r="BI1" s="151"/>
      <c r="BJ1" s="151"/>
      <c r="BK1" s="151"/>
      <c r="BL1" s="151"/>
      <c r="BM1" s="151"/>
      <c r="BN1" s="151"/>
      <c r="BO1" s="151"/>
      <c r="BP1" s="151"/>
      <c r="BQ1" s="151"/>
      <c r="BR1" s="151"/>
      <c r="BS1" s="151"/>
      <c r="BT1" s="151"/>
      <c r="BU1" s="151"/>
      <c r="BV1" s="151"/>
      <c r="BW1" s="151"/>
      <c r="BX1" s="151"/>
      <c r="BY1" s="151"/>
      <c r="BZ1" s="151"/>
      <c r="CA1" s="151"/>
      <c r="CB1" s="151"/>
      <c r="CC1" s="151"/>
      <c r="CD1" s="151"/>
      <c r="CE1" s="151"/>
      <c r="CF1" s="151"/>
      <c r="CG1" s="151"/>
      <c r="CH1" s="151"/>
      <c r="CI1" s="151"/>
      <c r="CJ1" s="151"/>
      <c r="CK1" s="151"/>
      <c r="CL1" s="151"/>
      <c r="CM1" s="151"/>
      <c r="CN1" s="151"/>
      <c r="CO1" s="151"/>
      <c r="CP1" s="151"/>
      <c r="CQ1" s="151"/>
      <c r="CR1" s="151"/>
      <c r="CS1" s="151"/>
      <c r="CT1" s="151"/>
      <c r="CU1" s="151"/>
      <c r="CV1" s="151"/>
      <c r="CW1" s="151"/>
      <c r="CX1" s="151"/>
      <c r="CY1" s="151"/>
      <c r="CZ1" s="151"/>
      <c r="DA1" s="151"/>
      <c r="DB1" s="151"/>
      <c r="DC1" s="151"/>
      <c r="DD1" s="151"/>
      <c r="DE1" s="151"/>
      <c r="DF1" s="151"/>
      <c r="DG1" s="151"/>
      <c r="DH1" s="151"/>
      <c r="DI1" s="151"/>
      <c r="DJ1" s="151"/>
      <c r="DK1" s="151"/>
      <c r="DL1" s="151"/>
      <c r="DM1" s="151"/>
      <c r="DN1" s="151"/>
      <c r="DO1" s="151"/>
      <c r="DP1" s="151"/>
      <c r="DQ1" s="151"/>
      <c r="DR1" s="151"/>
      <c r="DS1" s="151"/>
      <c r="DT1" s="151"/>
      <c r="DU1" s="151"/>
      <c r="DV1" s="151"/>
      <c r="DW1" s="151"/>
      <c r="DX1" s="151"/>
      <c r="DY1" s="151"/>
      <c r="DZ1" s="151"/>
      <c r="EA1" s="151"/>
      <c r="EB1" s="151"/>
      <c r="EC1" s="151"/>
      <c r="ED1" s="151"/>
      <c r="EE1" s="151"/>
      <c r="EF1" s="151"/>
      <c r="EG1" s="151"/>
      <c r="EH1" s="151"/>
      <c r="EI1" s="151"/>
      <c r="EJ1" s="151"/>
      <c r="EK1" s="151"/>
      <c r="EL1" s="151"/>
      <c r="EM1" s="151"/>
      <c r="EN1" s="151"/>
      <c r="EO1" s="151"/>
      <c r="EP1" s="151"/>
      <c r="EQ1" s="151"/>
      <c r="ER1" s="151"/>
      <c r="ES1" s="151"/>
      <c r="ET1" s="151"/>
      <c r="EU1" s="151"/>
      <c r="EV1" s="151"/>
      <c r="EW1" s="151"/>
      <c r="EX1" s="151"/>
      <c r="EY1" s="151"/>
      <c r="EZ1" s="151"/>
      <c r="FA1" s="151"/>
      <c r="FB1" s="151"/>
      <c r="FC1" s="151"/>
      <c r="FD1" s="151"/>
      <c r="FE1" s="151"/>
      <c r="FF1" s="151"/>
      <c r="FG1" s="151"/>
      <c r="FH1" s="151"/>
      <c r="FI1" s="151"/>
      <c r="FJ1" s="151"/>
      <c r="FK1" s="151"/>
      <c r="FL1" s="151"/>
      <c r="FM1" s="151"/>
      <c r="FN1" s="151"/>
      <c r="FO1" s="151"/>
      <c r="FP1" s="151"/>
      <c r="FQ1" s="151"/>
      <c r="FR1" s="151"/>
      <c r="FS1" s="151"/>
      <c r="FT1" s="151"/>
      <c r="FU1" s="151"/>
      <c r="FV1" s="151"/>
      <c r="FW1" s="151"/>
      <c r="FX1" s="151"/>
      <c r="FY1" s="151"/>
      <c r="FZ1" s="151"/>
      <c r="GA1" s="151"/>
      <c r="GB1" s="151"/>
      <c r="GC1" s="151"/>
      <c r="GD1" s="151"/>
      <c r="GE1" s="151"/>
      <c r="GF1" s="151"/>
      <c r="GG1" s="151"/>
      <c r="GH1" s="151"/>
      <c r="GI1" s="151"/>
      <c r="GJ1" s="151"/>
      <c r="GK1" s="151"/>
      <c r="GL1" s="151"/>
      <c r="GM1" s="151"/>
      <c r="GN1" s="151"/>
      <c r="GO1" s="151"/>
      <c r="GP1" s="151"/>
      <c r="GQ1" s="151"/>
      <c r="GR1" s="151"/>
      <c r="GS1" s="151"/>
      <c r="GT1" s="151"/>
      <c r="GU1" s="151"/>
      <c r="GV1" s="151"/>
      <c r="GW1" s="151"/>
      <c r="GX1" s="151"/>
      <c r="GY1" s="151"/>
      <c r="GZ1" s="151"/>
      <c r="HA1" s="151"/>
      <c r="HB1" s="151"/>
      <c r="HC1" s="151"/>
      <c r="HD1" s="151"/>
      <c r="HE1" s="151"/>
      <c r="HF1" s="151"/>
      <c r="HG1" s="151"/>
      <c r="HH1" s="151"/>
      <c r="HI1" s="151"/>
      <c r="HJ1" s="151"/>
      <c r="HK1" s="151"/>
      <c r="HL1" s="151"/>
      <c r="HM1" s="151"/>
      <c r="HN1" s="151"/>
      <c r="HO1" s="151"/>
      <c r="HP1" s="151"/>
      <c r="HQ1" s="151"/>
      <c r="HR1" s="151"/>
      <c r="HS1" s="151"/>
      <c r="HT1" s="151"/>
      <c r="HU1" s="151"/>
      <c r="HV1" s="151"/>
      <c r="HW1" s="151"/>
      <c r="HX1" s="151"/>
      <c r="HY1" s="151"/>
      <c r="HZ1" s="151"/>
      <c r="IA1" s="151"/>
      <c r="IB1" s="151"/>
      <c r="IC1" s="151"/>
      <c r="ID1" s="151"/>
      <c r="IE1" s="151"/>
      <c r="IF1" s="151"/>
      <c r="IG1" s="151"/>
      <c r="IH1" s="151"/>
      <c r="II1" s="151"/>
      <c r="IJ1" s="151"/>
      <c r="IK1" s="151"/>
      <c r="IL1" s="151"/>
      <c r="IM1" s="151"/>
      <c r="IN1" s="151"/>
      <c r="IO1" s="151"/>
      <c r="IP1" s="151"/>
      <c r="IQ1" s="151"/>
      <c r="IR1" s="151"/>
      <c r="IS1" s="151"/>
      <c r="IT1" s="151"/>
      <c r="IU1" s="151"/>
      <c r="IV1" s="151"/>
      <c r="IW1" s="151"/>
      <c r="IX1" s="151"/>
      <c r="IY1" s="151"/>
      <c r="IZ1" s="151"/>
      <c r="JA1" s="151"/>
      <c r="JB1" s="151"/>
      <c r="JC1" s="151"/>
      <c r="JD1" s="151"/>
      <c r="JE1" s="151"/>
      <c r="JF1" s="151"/>
      <c r="JG1" s="151"/>
      <c r="JH1" s="151"/>
      <c r="JI1" s="151"/>
      <c r="JJ1" s="151"/>
      <c r="JK1" s="151"/>
      <c r="JL1" s="151"/>
      <c r="JM1" s="151"/>
      <c r="JN1" s="151"/>
      <c r="JO1" s="151"/>
      <c r="JP1" s="151"/>
      <c r="JQ1" s="151"/>
      <c r="JR1" s="151"/>
      <c r="JS1" s="151"/>
      <c r="JT1" s="151"/>
      <c r="JU1" s="151"/>
      <c r="JV1" s="151"/>
      <c r="JW1" s="151"/>
      <c r="JX1" s="151"/>
      <c r="JY1" s="151"/>
      <c r="JZ1" s="151"/>
      <c r="KA1" s="151"/>
      <c r="KB1" s="151"/>
      <c r="KC1" s="151"/>
      <c r="KD1" s="151"/>
      <c r="KE1" s="151"/>
      <c r="KF1" s="151"/>
      <c r="KG1" s="151"/>
    </row>
    <row r="2" spans="1:293" s="5" customFormat="1" ht="34.5" customHeight="1" thickBot="1">
      <c r="A2" s="415" t="s">
        <v>67</v>
      </c>
      <c r="B2" s="682"/>
      <c r="C2" s="684"/>
      <c r="D2" s="686"/>
      <c r="E2" s="681"/>
      <c r="F2" s="679"/>
      <c r="G2" s="687"/>
      <c r="H2" s="689"/>
      <c r="I2" s="677"/>
      <c r="J2" s="398" t="s">
        <v>164</v>
      </c>
      <c r="K2" s="151"/>
      <c r="L2" s="151"/>
      <c r="M2" s="151"/>
      <c r="N2" s="151"/>
      <c r="O2" s="151"/>
      <c r="P2" s="151"/>
      <c r="Q2" s="151"/>
      <c r="R2" s="151"/>
      <c r="S2" s="151"/>
      <c r="T2" s="151"/>
      <c r="U2" s="151"/>
      <c r="V2" s="151"/>
      <c r="W2" s="151"/>
      <c r="X2" s="151"/>
      <c r="Y2" s="151"/>
      <c r="Z2" s="151"/>
      <c r="AA2" s="151"/>
      <c r="AB2" s="151"/>
      <c r="AC2" s="151"/>
      <c r="AD2" s="151"/>
      <c r="AE2" s="151"/>
      <c r="AF2" s="151"/>
      <c r="AG2" s="151"/>
      <c r="AH2" s="151"/>
      <c r="AI2" s="151"/>
      <c r="AJ2" s="151"/>
      <c r="AK2" s="151"/>
      <c r="AL2" s="151"/>
      <c r="AM2" s="151"/>
      <c r="AN2" s="151"/>
      <c r="AO2" s="151"/>
      <c r="AP2" s="151"/>
      <c r="AQ2" s="151"/>
      <c r="AR2" s="151"/>
      <c r="AS2" s="151"/>
      <c r="AT2" s="151"/>
      <c r="AU2" s="151"/>
      <c r="AV2" s="151"/>
      <c r="AW2" s="151"/>
      <c r="AX2" s="151"/>
      <c r="AY2" s="151"/>
      <c r="AZ2" s="151"/>
      <c r="BA2" s="151"/>
      <c r="BB2" s="151"/>
      <c r="BC2" s="151"/>
      <c r="BD2" s="151"/>
      <c r="BE2" s="151"/>
      <c r="BF2" s="151"/>
      <c r="BG2" s="151"/>
      <c r="BH2" s="151"/>
      <c r="BI2" s="151"/>
      <c r="BJ2" s="151"/>
      <c r="BK2" s="151"/>
      <c r="BL2" s="151"/>
      <c r="BM2" s="151"/>
      <c r="BN2" s="151"/>
      <c r="BO2" s="151"/>
      <c r="BP2" s="151"/>
      <c r="BQ2" s="151"/>
      <c r="BR2" s="151"/>
      <c r="BS2" s="151"/>
      <c r="BT2" s="151"/>
      <c r="BU2" s="151"/>
      <c r="BV2" s="151"/>
      <c r="BW2" s="151"/>
      <c r="BX2" s="151"/>
      <c r="BY2" s="151"/>
      <c r="BZ2" s="151"/>
      <c r="CA2" s="151"/>
      <c r="CB2" s="151"/>
      <c r="CC2" s="151"/>
      <c r="CD2" s="151"/>
      <c r="CE2" s="151"/>
      <c r="CF2" s="151"/>
      <c r="CG2" s="151"/>
      <c r="CH2" s="151"/>
      <c r="CI2" s="151"/>
      <c r="CJ2" s="151"/>
      <c r="CK2" s="151"/>
      <c r="CL2" s="151"/>
      <c r="CM2" s="151"/>
      <c r="CN2" s="151"/>
      <c r="CO2" s="151"/>
      <c r="CP2" s="151"/>
      <c r="CQ2" s="151"/>
      <c r="CR2" s="151"/>
      <c r="CS2" s="151"/>
      <c r="CT2" s="151"/>
      <c r="CU2" s="151"/>
      <c r="CV2" s="151"/>
      <c r="CW2" s="151"/>
      <c r="CX2" s="151"/>
      <c r="CY2" s="151"/>
      <c r="CZ2" s="151"/>
      <c r="DA2" s="151"/>
      <c r="DB2" s="151"/>
      <c r="DC2" s="151"/>
      <c r="DD2" s="151"/>
      <c r="DE2" s="151"/>
      <c r="DF2" s="151"/>
      <c r="DG2" s="151"/>
      <c r="DH2" s="151"/>
      <c r="DI2" s="151"/>
      <c r="DJ2" s="151"/>
      <c r="DK2" s="151"/>
      <c r="DL2" s="151"/>
      <c r="DM2" s="151"/>
      <c r="DN2" s="151"/>
      <c r="DO2" s="151"/>
      <c r="DP2" s="151"/>
      <c r="DQ2" s="151"/>
      <c r="DR2" s="151"/>
      <c r="DS2" s="151"/>
      <c r="DT2" s="151"/>
      <c r="DU2" s="151"/>
      <c r="DV2" s="151"/>
      <c r="DW2" s="151"/>
      <c r="DX2" s="151"/>
      <c r="DY2" s="151"/>
      <c r="DZ2" s="151"/>
      <c r="EA2" s="151"/>
      <c r="EB2" s="151"/>
      <c r="EC2" s="151"/>
      <c r="ED2" s="151"/>
      <c r="EE2" s="151"/>
      <c r="EF2" s="151"/>
      <c r="EG2" s="151"/>
      <c r="EH2" s="151"/>
      <c r="EI2" s="151"/>
      <c r="EJ2" s="151"/>
      <c r="EK2" s="151"/>
      <c r="EL2" s="151"/>
      <c r="EM2" s="151"/>
      <c r="EN2" s="151"/>
      <c r="EO2" s="151"/>
      <c r="EP2" s="151"/>
      <c r="EQ2" s="151"/>
      <c r="ER2" s="151"/>
      <c r="ES2" s="151"/>
      <c r="ET2" s="151"/>
      <c r="EU2" s="151"/>
      <c r="EV2" s="151"/>
      <c r="EW2" s="151"/>
      <c r="EX2" s="151"/>
      <c r="EY2" s="151"/>
      <c r="EZ2" s="151"/>
      <c r="FA2" s="151"/>
      <c r="FB2" s="151"/>
      <c r="FC2" s="151"/>
      <c r="FD2" s="151"/>
      <c r="FE2" s="151"/>
      <c r="FF2" s="151"/>
      <c r="FG2" s="151"/>
      <c r="FH2" s="151"/>
      <c r="FI2" s="151"/>
      <c r="FJ2" s="151"/>
      <c r="FK2" s="151"/>
      <c r="FL2" s="151"/>
      <c r="FM2" s="151"/>
      <c r="FN2" s="151"/>
      <c r="FO2" s="151"/>
      <c r="FP2" s="151"/>
      <c r="FQ2" s="151"/>
      <c r="FR2" s="151"/>
      <c r="FS2" s="151"/>
      <c r="FT2" s="151"/>
      <c r="FU2" s="151"/>
      <c r="FV2" s="151"/>
      <c r="FW2" s="151"/>
      <c r="FX2" s="151"/>
      <c r="FY2" s="151"/>
      <c r="FZ2" s="151"/>
      <c r="GA2" s="151"/>
      <c r="GB2" s="151"/>
      <c r="GC2" s="151"/>
      <c r="GD2" s="151"/>
      <c r="GE2" s="151"/>
      <c r="GF2" s="151"/>
      <c r="GG2" s="151"/>
      <c r="GH2" s="151"/>
      <c r="GI2" s="151"/>
      <c r="GJ2" s="151"/>
      <c r="GK2" s="151"/>
      <c r="GL2" s="151"/>
      <c r="GM2" s="151"/>
      <c r="GN2" s="151"/>
      <c r="GO2" s="151"/>
      <c r="GP2" s="151"/>
      <c r="GQ2" s="151"/>
      <c r="GR2" s="151"/>
      <c r="GS2" s="151"/>
      <c r="GT2" s="151"/>
      <c r="GU2" s="151"/>
      <c r="GV2" s="151"/>
      <c r="GW2" s="151"/>
      <c r="GX2" s="151"/>
      <c r="GY2" s="151"/>
      <c r="GZ2" s="151"/>
      <c r="HA2" s="151"/>
      <c r="HB2" s="151"/>
      <c r="HC2" s="151"/>
      <c r="HD2" s="151"/>
      <c r="HE2" s="151"/>
      <c r="HF2" s="151"/>
      <c r="HG2" s="151"/>
      <c r="HH2" s="151"/>
      <c r="HI2" s="151"/>
      <c r="HJ2" s="151"/>
      <c r="HK2" s="151"/>
      <c r="HL2" s="151"/>
      <c r="HM2" s="151"/>
      <c r="HN2" s="151"/>
      <c r="HO2" s="151"/>
      <c r="HP2" s="151"/>
      <c r="HQ2" s="151"/>
      <c r="HR2" s="151"/>
      <c r="HS2" s="151"/>
      <c r="HT2" s="151"/>
      <c r="HU2" s="151"/>
      <c r="HV2" s="151"/>
      <c r="HW2" s="151"/>
      <c r="HX2" s="151"/>
      <c r="HY2" s="151"/>
      <c r="HZ2" s="151"/>
      <c r="IA2" s="151"/>
      <c r="IB2" s="151"/>
      <c r="IC2" s="151"/>
      <c r="ID2" s="151"/>
      <c r="IE2" s="151"/>
      <c r="IF2" s="151"/>
      <c r="IG2" s="151"/>
      <c r="IH2" s="151"/>
      <c r="II2" s="151"/>
      <c r="IJ2" s="151"/>
      <c r="IK2" s="151"/>
      <c r="IL2" s="151"/>
      <c r="IM2" s="151"/>
      <c r="IN2" s="151"/>
      <c r="IO2" s="151"/>
      <c r="IP2" s="151"/>
      <c r="IQ2" s="151"/>
      <c r="IR2" s="151"/>
      <c r="IS2" s="151"/>
      <c r="IT2" s="151"/>
      <c r="IU2" s="151"/>
      <c r="IV2" s="151"/>
      <c r="IW2" s="151"/>
      <c r="IX2" s="151"/>
      <c r="IY2" s="151"/>
      <c r="IZ2" s="151"/>
      <c r="JA2" s="151"/>
      <c r="JB2" s="151"/>
      <c r="JC2" s="151"/>
      <c r="JD2" s="151"/>
      <c r="JE2" s="151"/>
      <c r="JF2" s="151"/>
      <c r="JG2" s="151"/>
      <c r="JH2" s="151"/>
      <c r="JI2" s="151"/>
      <c r="JJ2" s="151"/>
      <c r="JK2" s="151"/>
      <c r="JL2" s="151"/>
      <c r="JM2" s="151"/>
      <c r="JN2" s="151"/>
      <c r="JO2" s="151"/>
      <c r="JP2" s="151"/>
      <c r="JQ2" s="151"/>
      <c r="JR2" s="151"/>
      <c r="JS2" s="151"/>
      <c r="JT2" s="151"/>
      <c r="JU2" s="151"/>
      <c r="JV2" s="151"/>
      <c r="JW2" s="151"/>
      <c r="JX2" s="151"/>
      <c r="JY2" s="151"/>
      <c r="JZ2" s="151"/>
      <c r="KA2" s="151"/>
      <c r="KB2" s="151"/>
      <c r="KC2" s="151"/>
      <c r="KD2" s="151"/>
      <c r="KE2" s="151"/>
      <c r="KF2" s="151"/>
      <c r="KG2" s="151"/>
    </row>
    <row r="3" spans="1:293" ht="58">
      <c r="A3" s="117" t="s">
        <v>21</v>
      </c>
      <c r="B3" s="322">
        <f>1000*(33.9*0.8/100)</f>
        <v>271.2</v>
      </c>
      <c r="C3" s="323">
        <v>3900</v>
      </c>
      <c r="D3" s="294"/>
      <c r="E3" s="323">
        <v>1300</v>
      </c>
      <c r="F3" s="324">
        <v>184</v>
      </c>
      <c r="G3" s="325">
        <f>AVERAGE(C3,E3)</f>
        <v>2600</v>
      </c>
      <c r="H3" s="326">
        <f>MIN(B3:E3)</f>
        <v>271.2</v>
      </c>
      <c r="I3" s="337">
        <f>MAX(B3:F3)</f>
        <v>3900</v>
      </c>
      <c r="J3" s="329" t="s">
        <v>163</v>
      </c>
    </row>
    <row r="4" spans="1:293">
      <c r="A4" s="118" t="s">
        <v>23</v>
      </c>
      <c r="B4" s="147"/>
      <c r="C4" s="146"/>
      <c r="D4" s="146"/>
      <c r="E4" s="146"/>
      <c r="F4" s="167"/>
      <c r="G4" s="257">
        <v>0</v>
      </c>
      <c r="H4" s="258"/>
      <c r="I4" s="338"/>
      <c r="J4" s="198"/>
    </row>
    <row r="5" spans="1:293">
      <c r="A5" s="118" t="s">
        <v>71</v>
      </c>
      <c r="B5" s="147"/>
      <c r="C5" s="146"/>
      <c r="D5" s="146"/>
      <c r="E5" s="146"/>
      <c r="F5" s="167"/>
      <c r="G5" s="257">
        <v>0</v>
      </c>
      <c r="H5" s="258"/>
      <c r="I5" s="338"/>
      <c r="J5" s="198"/>
    </row>
    <row r="6" spans="1:293" ht="18.5" customHeight="1">
      <c r="A6" s="119" t="s">
        <v>72</v>
      </c>
      <c r="B6" s="82"/>
      <c r="C6" s="43">
        <v>2</v>
      </c>
      <c r="D6" s="26"/>
      <c r="E6" s="26"/>
      <c r="F6" s="217">
        <v>269</v>
      </c>
      <c r="G6" s="259">
        <v>2</v>
      </c>
      <c r="H6" s="260">
        <f>MIN(B6:F6)</f>
        <v>2</v>
      </c>
      <c r="I6" s="339">
        <f>C6</f>
        <v>2</v>
      </c>
      <c r="J6" s="242" t="s">
        <v>159</v>
      </c>
    </row>
    <row r="7" spans="1:293">
      <c r="A7" s="21" t="s">
        <v>73</v>
      </c>
      <c r="B7" s="82"/>
      <c r="C7" s="43">
        <v>2</v>
      </c>
      <c r="D7" s="26"/>
      <c r="E7" s="26"/>
      <c r="F7" s="217">
        <v>7.0000000000000007E-2</v>
      </c>
      <c r="G7" s="259">
        <v>2</v>
      </c>
      <c r="H7" s="260">
        <f>MAX(A7:E7)</f>
        <v>2</v>
      </c>
      <c r="I7" s="339">
        <f>MAX(B7:F7)</f>
        <v>2</v>
      </c>
      <c r="J7" s="242" t="s">
        <v>159</v>
      </c>
    </row>
    <row r="8" spans="1:293">
      <c r="A8" s="120" t="s">
        <v>25</v>
      </c>
      <c r="B8" s="18"/>
      <c r="C8" s="20"/>
      <c r="D8" s="20"/>
      <c r="E8" s="35">
        <v>159000</v>
      </c>
      <c r="F8" s="33"/>
      <c r="G8" s="261">
        <v>159000</v>
      </c>
      <c r="H8" s="261">
        <v>159000</v>
      </c>
      <c r="I8" s="340">
        <v>159000</v>
      </c>
      <c r="J8" s="190" t="s">
        <v>162</v>
      </c>
    </row>
    <row r="9" spans="1:293" ht="14.5" customHeight="1">
      <c r="A9" s="119" t="s">
        <v>74</v>
      </c>
      <c r="B9" s="42">
        <f>1000*(33.9*0.1/100)</f>
        <v>33.9</v>
      </c>
      <c r="C9" s="27">
        <v>2270</v>
      </c>
      <c r="D9" s="27">
        <f>(1300+3050)/2</f>
        <v>2175</v>
      </c>
      <c r="E9" s="26"/>
      <c r="F9" s="217">
        <v>333</v>
      </c>
      <c r="G9" s="262">
        <v>2175</v>
      </c>
      <c r="H9" s="256">
        <f>MIN(B9:F9)</f>
        <v>33.9</v>
      </c>
      <c r="I9" s="341">
        <f>MAX(B9:F9)</f>
        <v>2270</v>
      </c>
      <c r="J9" s="242" t="s">
        <v>158</v>
      </c>
    </row>
    <row r="10" spans="1:293">
      <c r="A10" s="121" t="s">
        <v>28</v>
      </c>
      <c r="B10" s="147"/>
      <c r="C10" s="146"/>
      <c r="D10" s="146"/>
      <c r="E10" s="146"/>
      <c r="F10" s="167"/>
      <c r="G10" s="257">
        <v>0</v>
      </c>
      <c r="H10" s="258"/>
      <c r="I10" s="338"/>
      <c r="J10" s="198"/>
    </row>
    <row r="11" spans="1:293">
      <c r="A11" s="119" t="s">
        <v>29</v>
      </c>
      <c r="B11" s="147"/>
      <c r="C11" s="146"/>
      <c r="D11" s="146"/>
      <c r="E11" s="146"/>
      <c r="F11" s="167"/>
      <c r="G11" s="257">
        <v>0</v>
      </c>
      <c r="H11" s="258"/>
      <c r="I11" s="338"/>
      <c r="J11" s="198"/>
    </row>
    <row r="12" spans="1:293">
      <c r="A12" s="119" t="s">
        <v>75</v>
      </c>
      <c r="B12" s="147"/>
      <c r="C12" s="146"/>
      <c r="D12" s="146"/>
      <c r="E12" s="146"/>
      <c r="F12" s="167"/>
      <c r="G12" s="257">
        <v>0</v>
      </c>
      <c r="H12" s="258"/>
      <c r="I12" s="338"/>
      <c r="J12" s="198"/>
    </row>
    <row r="13" spans="1:293">
      <c r="A13" s="120" t="s">
        <v>30</v>
      </c>
      <c r="B13" s="147"/>
      <c r="C13" s="146"/>
      <c r="D13" s="146"/>
      <c r="E13" s="146"/>
      <c r="F13" s="167"/>
      <c r="G13" s="257">
        <v>0</v>
      </c>
      <c r="H13" s="258"/>
      <c r="I13" s="338"/>
      <c r="J13" s="198"/>
    </row>
    <row r="14" spans="1:293">
      <c r="A14" s="118" t="s">
        <v>31</v>
      </c>
      <c r="B14" s="147"/>
      <c r="C14" s="146"/>
      <c r="D14" s="146"/>
      <c r="E14" s="146"/>
      <c r="F14" s="167"/>
      <c r="G14" s="257">
        <v>0</v>
      </c>
      <c r="H14" s="258"/>
      <c r="I14" s="338"/>
      <c r="J14" s="198"/>
    </row>
    <row r="15" spans="1:293">
      <c r="A15" s="119" t="s">
        <v>32</v>
      </c>
      <c r="B15" s="147"/>
      <c r="C15" s="146"/>
      <c r="D15" s="146"/>
      <c r="E15" s="146"/>
      <c r="F15" s="167"/>
      <c r="G15" s="257">
        <v>0</v>
      </c>
      <c r="H15" s="258"/>
      <c r="I15" s="338"/>
      <c r="J15" s="198"/>
    </row>
    <row r="16" spans="1:293" ht="14.5" customHeight="1">
      <c r="A16" s="118" t="s">
        <v>33</v>
      </c>
      <c r="B16" s="82"/>
      <c r="C16" s="26"/>
      <c r="D16" s="26"/>
      <c r="E16" s="40">
        <v>52000</v>
      </c>
      <c r="F16" s="217">
        <v>45152</v>
      </c>
      <c r="G16" s="263"/>
      <c r="H16" s="264"/>
      <c r="I16" s="342"/>
      <c r="J16" s="199" t="s">
        <v>160</v>
      </c>
    </row>
    <row r="17" spans="1:10" ht="43.5">
      <c r="A17" s="37" t="s">
        <v>35</v>
      </c>
      <c r="B17" s="82"/>
      <c r="C17" s="43">
        <v>104</v>
      </c>
      <c r="D17" s="26"/>
      <c r="E17" s="26"/>
      <c r="F17" s="217">
        <v>4</v>
      </c>
      <c r="G17" s="259">
        <v>104</v>
      </c>
      <c r="H17" s="260">
        <f>MIN(B17:E17)</f>
        <v>104</v>
      </c>
      <c r="I17" s="339">
        <f>MAX(B17:F17)</f>
        <v>104</v>
      </c>
      <c r="J17" s="242" t="s">
        <v>161</v>
      </c>
    </row>
    <row r="18" spans="1:10">
      <c r="A18" s="119" t="s">
        <v>37</v>
      </c>
      <c r="B18" s="147"/>
      <c r="C18" s="146"/>
      <c r="D18" s="146"/>
      <c r="E18" s="146"/>
      <c r="F18" s="167"/>
      <c r="G18" s="257">
        <v>0</v>
      </c>
      <c r="H18" s="258"/>
      <c r="I18" s="338"/>
      <c r="J18" s="198"/>
    </row>
    <row r="19" spans="1:10">
      <c r="A19" s="21" t="s">
        <v>38</v>
      </c>
      <c r="B19" s="82"/>
      <c r="C19" s="26"/>
      <c r="D19" s="26"/>
      <c r="E19" s="26"/>
      <c r="F19" s="217">
        <v>544</v>
      </c>
      <c r="G19" s="349">
        <v>0</v>
      </c>
      <c r="H19" s="350"/>
      <c r="I19" s="351"/>
      <c r="J19" s="200"/>
    </row>
    <row r="20" spans="1:10">
      <c r="A20" s="119" t="s">
        <v>76</v>
      </c>
      <c r="B20" s="147"/>
      <c r="C20" s="146"/>
      <c r="D20" s="146"/>
      <c r="E20" s="146"/>
      <c r="F20" s="167"/>
      <c r="G20" s="257">
        <v>0</v>
      </c>
      <c r="H20" s="258"/>
      <c r="I20" s="338"/>
      <c r="J20" s="198"/>
    </row>
    <row r="21" spans="1:10">
      <c r="A21" s="121" t="s">
        <v>39</v>
      </c>
      <c r="B21" s="147"/>
      <c r="C21" s="146"/>
      <c r="D21" s="146"/>
      <c r="E21" s="146"/>
      <c r="F21" s="167"/>
      <c r="G21" s="257">
        <v>0</v>
      </c>
      <c r="H21" s="258"/>
      <c r="I21" s="338"/>
      <c r="J21" s="198"/>
    </row>
    <row r="22" spans="1:10" ht="15" customHeight="1">
      <c r="A22" s="21" t="s">
        <v>40</v>
      </c>
      <c r="B22" s="82"/>
      <c r="C22" s="60">
        <v>20</v>
      </c>
      <c r="D22" s="26"/>
      <c r="E22" s="26"/>
      <c r="F22" s="217">
        <v>1597</v>
      </c>
      <c r="G22" s="259">
        <v>20</v>
      </c>
      <c r="H22" s="260">
        <f>MIN(B22:F22)</f>
        <v>20</v>
      </c>
      <c r="I22" s="339">
        <f>MIN(C22:G22)</f>
        <v>20</v>
      </c>
      <c r="J22" s="242" t="s">
        <v>161</v>
      </c>
    </row>
    <row r="23" spans="1:10">
      <c r="A23" s="119" t="s">
        <v>42</v>
      </c>
      <c r="B23" s="147"/>
      <c r="C23" s="146"/>
      <c r="D23" s="146"/>
      <c r="E23" s="146"/>
      <c r="F23" s="167"/>
      <c r="G23" s="257">
        <v>0</v>
      </c>
      <c r="H23" s="258"/>
      <c r="I23" s="338"/>
      <c r="J23" s="198"/>
    </row>
    <row r="24" spans="1:10">
      <c r="A24" s="120" t="s">
        <v>43</v>
      </c>
      <c r="B24" s="147"/>
      <c r="C24" s="146"/>
      <c r="D24" s="146"/>
      <c r="E24" s="146"/>
      <c r="F24" s="167"/>
      <c r="G24" s="257">
        <v>0</v>
      </c>
      <c r="H24" s="258"/>
      <c r="I24" s="338"/>
      <c r="J24" s="198"/>
    </row>
    <row r="25" spans="1:10">
      <c r="A25" s="121" t="s">
        <v>44</v>
      </c>
      <c r="B25" s="147"/>
      <c r="C25" s="146"/>
      <c r="D25" s="146"/>
      <c r="E25" s="146"/>
      <c r="F25" s="167"/>
      <c r="G25" s="257">
        <v>0</v>
      </c>
      <c r="H25" s="258"/>
      <c r="I25" s="338"/>
      <c r="J25" s="198"/>
    </row>
    <row r="26" spans="1:10">
      <c r="A26" s="118" t="s">
        <v>45</v>
      </c>
      <c r="B26" s="147"/>
      <c r="C26" s="146"/>
      <c r="D26" s="146"/>
      <c r="E26" s="146"/>
      <c r="F26" s="167"/>
      <c r="G26" s="257">
        <v>0</v>
      </c>
      <c r="H26" s="258"/>
      <c r="I26" s="338"/>
      <c r="J26" s="198"/>
    </row>
    <row r="27" spans="1:10">
      <c r="A27" s="118" t="s">
        <v>46</v>
      </c>
      <c r="B27" s="147"/>
      <c r="C27" s="146"/>
      <c r="D27" s="146"/>
      <c r="E27" s="146"/>
      <c r="F27" s="167"/>
      <c r="G27" s="257">
        <v>0</v>
      </c>
      <c r="H27" s="258"/>
      <c r="I27" s="338"/>
      <c r="J27" s="198"/>
    </row>
    <row r="28" spans="1:10">
      <c r="A28" s="118" t="s">
        <v>47</v>
      </c>
      <c r="B28" s="147"/>
      <c r="C28" s="146"/>
      <c r="D28" s="146"/>
      <c r="E28" s="146"/>
      <c r="F28" s="167"/>
      <c r="G28" s="257">
        <v>0</v>
      </c>
      <c r="H28" s="258"/>
      <c r="I28" s="338"/>
      <c r="J28" s="198"/>
    </row>
    <row r="29" spans="1:10">
      <c r="A29" s="37" t="s">
        <v>49</v>
      </c>
      <c r="B29" s="42">
        <f>1000*(33.9*99.1/100)</f>
        <v>33594.899999999994</v>
      </c>
      <c r="C29" s="60">
        <v>138000</v>
      </c>
      <c r="D29" s="26"/>
      <c r="E29" s="26"/>
      <c r="F29" s="173"/>
      <c r="G29" s="255">
        <v>138000</v>
      </c>
      <c r="H29" s="256">
        <f>MIN(B29:F29)</f>
        <v>33594.899999999994</v>
      </c>
      <c r="I29" s="341">
        <f>MAX(B29:F29)</f>
        <v>138000</v>
      </c>
      <c r="J29" s="242" t="s">
        <v>159</v>
      </c>
    </row>
    <row r="30" spans="1:10">
      <c r="A30" s="119" t="s">
        <v>51</v>
      </c>
      <c r="B30" s="147"/>
      <c r="C30" s="146"/>
      <c r="D30" s="146"/>
      <c r="E30" s="146"/>
      <c r="F30" s="167"/>
      <c r="G30" s="257">
        <v>0</v>
      </c>
      <c r="H30" s="258"/>
      <c r="I30" s="338"/>
      <c r="J30" s="198"/>
    </row>
    <row r="31" spans="1:10">
      <c r="A31" s="119" t="s">
        <v>52</v>
      </c>
      <c r="B31" s="147"/>
      <c r="C31" s="146"/>
      <c r="D31" s="146"/>
      <c r="E31" s="146"/>
      <c r="F31" s="167"/>
      <c r="G31" s="257">
        <v>0</v>
      </c>
      <c r="H31" s="258"/>
      <c r="I31" s="338"/>
      <c r="J31" s="198"/>
    </row>
    <row r="32" spans="1:10">
      <c r="A32" s="121" t="s">
        <v>54</v>
      </c>
      <c r="B32" s="147"/>
      <c r="C32" s="146"/>
      <c r="D32" s="146"/>
      <c r="E32" s="146"/>
      <c r="F32" s="167"/>
      <c r="G32" s="257">
        <v>0</v>
      </c>
      <c r="H32" s="258"/>
      <c r="I32" s="338"/>
      <c r="J32" s="198"/>
    </row>
    <row r="33" spans="1:10">
      <c r="A33" s="119" t="s">
        <v>55</v>
      </c>
      <c r="B33" s="147"/>
      <c r="C33" s="146"/>
      <c r="D33" s="146"/>
      <c r="E33" s="146"/>
      <c r="F33" s="167"/>
      <c r="G33" s="257">
        <v>0</v>
      </c>
      <c r="H33" s="258"/>
      <c r="I33" s="338"/>
      <c r="J33" s="198"/>
    </row>
    <row r="34" spans="1:10">
      <c r="A34" s="119" t="s">
        <v>56</v>
      </c>
      <c r="B34" s="147"/>
      <c r="C34" s="146"/>
      <c r="D34" s="146"/>
      <c r="E34" s="146"/>
      <c r="F34" s="167"/>
      <c r="G34" s="257">
        <v>0</v>
      </c>
      <c r="H34" s="258"/>
      <c r="I34" s="338"/>
      <c r="J34" s="198"/>
    </row>
    <row r="35" spans="1:10">
      <c r="A35" s="119" t="s">
        <v>77</v>
      </c>
      <c r="B35" s="147"/>
      <c r="C35" s="146"/>
      <c r="D35" s="146"/>
      <c r="E35" s="146"/>
      <c r="F35" s="167"/>
      <c r="G35" s="257">
        <v>0</v>
      </c>
      <c r="H35" s="258"/>
      <c r="I35" s="338"/>
      <c r="J35" s="198"/>
    </row>
    <row r="36" spans="1:10">
      <c r="A36" s="118" t="s">
        <v>57</v>
      </c>
      <c r="B36" s="147"/>
      <c r="C36" s="146"/>
      <c r="D36" s="146"/>
      <c r="E36" s="146"/>
      <c r="F36" s="167"/>
      <c r="G36" s="257">
        <v>0</v>
      </c>
      <c r="H36" s="258"/>
      <c r="I36" s="338"/>
      <c r="J36" s="198"/>
    </row>
    <row r="37" spans="1:10" ht="43.5">
      <c r="A37" s="122" t="s">
        <v>58</v>
      </c>
      <c r="B37" s="82"/>
      <c r="C37" s="43">
        <v>160</v>
      </c>
      <c r="D37" s="26"/>
      <c r="E37" s="26"/>
      <c r="F37" s="217">
        <v>18</v>
      </c>
      <c r="G37" s="259">
        <v>160</v>
      </c>
      <c r="H37" s="259">
        <v>160</v>
      </c>
      <c r="I37" s="343">
        <v>160</v>
      </c>
      <c r="J37" s="242" t="s">
        <v>161</v>
      </c>
    </row>
    <row r="38" spans="1:10" ht="15" thickBot="1">
      <c r="A38" s="123" t="s">
        <v>60</v>
      </c>
      <c r="B38" s="163"/>
      <c r="C38" s="164"/>
      <c r="D38" s="164"/>
      <c r="E38" s="164"/>
      <c r="F38" s="168"/>
      <c r="G38" s="265">
        <v>0</v>
      </c>
      <c r="H38" s="266"/>
      <c r="I38" s="344"/>
      <c r="J38" s="201"/>
    </row>
    <row r="39" spans="1:10">
      <c r="A39" s="1"/>
      <c r="B39" s="1"/>
      <c r="C39" s="1"/>
      <c r="D39" s="1"/>
      <c r="E39" s="1"/>
      <c r="F39" s="1"/>
      <c r="G39" s="1"/>
      <c r="H39" s="1"/>
      <c r="I39" s="1"/>
      <c r="J39" s="101"/>
    </row>
    <row r="40" spans="1:10">
      <c r="A40" s="1"/>
      <c r="B40" s="1"/>
      <c r="C40" s="1"/>
      <c r="D40" s="1"/>
      <c r="E40" s="1"/>
      <c r="F40" s="1"/>
      <c r="G40" s="1"/>
      <c r="H40" s="1"/>
      <c r="I40" s="1"/>
      <c r="J40" s="101"/>
    </row>
    <row r="41" spans="1:10">
      <c r="A41" s="1"/>
      <c r="B41" s="1"/>
      <c r="C41" s="1"/>
      <c r="D41" s="1"/>
      <c r="E41" s="1"/>
      <c r="F41" s="1"/>
      <c r="G41" s="1"/>
      <c r="H41" s="1"/>
      <c r="I41" s="1"/>
      <c r="J41" s="101"/>
    </row>
    <row r="42" spans="1:10">
      <c r="A42" s="1"/>
      <c r="B42" s="1"/>
      <c r="C42" s="1"/>
      <c r="D42" s="1"/>
      <c r="E42" s="1"/>
      <c r="F42" s="1"/>
      <c r="G42" s="1"/>
      <c r="H42" s="1"/>
      <c r="I42" s="1"/>
      <c r="J42" s="101"/>
    </row>
    <row r="43" spans="1:10">
      <c r="A43" s="1"/>
      <c r="B43" s="1"/>
      <c r="C43" s="1"/>
      <c r="D43" s="1"/>
      <c r="E43" s="1"/>
      <c r="F43" s="1"/>
      <c r="G43" s="1"/>
      <c r="H43" s="1"/>
      <c r="I43" s="1"/>
      <c r="J43" s="101"/>
    </row>
    <row r="44" spans="1:10">
      <c r="A44" s="1"/>
      <c r="B44" s="1"/>
      <c r="C44" s="1"/>
      <c r="D44" s="1"/>
      <c r="E44" s="1"/>
      <c r="F44" s="1"/>
      <c r="G44" s="1"/>
      <c r="H44" s="1"/>
      <c r="I44" s="1"/>
      <c r="J44" s="101"/>
    </row>
    <row r="45" spans="1:10">
      <c r="A45" s="1"/>
      <c r="B45" s="1"/>
      <c r="C45" s="1"/>
      <c r="D45" s="1"/>
      <c r="E45" s="1"/>
      <c r="F45" s="1"/>
      <c r="G45" s="1"/>
      <c r="H45" s="1"/>
      <c r="I45" s="1"/>
      <c r="J45" s="101"/>
    </row>
    <row r="46" spans="1:10">
      <c r="A46" s="1"/>
      <c r="B46" s="1"/>
      <c r="C46" s="1"/>
      <c r="D46" s="1"/>
      <c r="E46" s="1"/>
      <c r="F46" s="1"/>
      <c r="G46" s="1"/>
      <c r="H46" s="1"/>
      <c r="I46" s="1"/>
      <c r="J46" s="101"/>
    </row>
    <row r="47" spans="1:10">
      <c r="A47" s="1"/>
      <c r="B47" s="1"/>
      <c r="C47" s="1"/>
      <c r="D47" s="1"/>
      <c r="E47" s="1"/>
      <c r="F47" s="1"/>
      <c r="G47" s="1"/>
      <c r="H47" s="1"/>
      <c r="I47" s="1"/>
      <c r="J47" s="101"/>
    </row>
    <row r="48" spans="1:10">
      <c r="A48" s="1"/>
      <c r="B48" s="1"/>
      <c r="C48" s="1"/>
      <c r="D48" s="1"/>
      <c r="E48" s="1"/>
      <c r="F48" s="1"/>
      <c r="G48" s="1"/>
      <c r="H48" s="1"/>
      <c r="I48" s="1"/>
      <c r="J48" s="101"/>
    </row>
    <row r="49" spans="1:10">
      <c r="A49" s="1"/>
      <c r="B49" s="1"/>
      <c r="C49" s="1"/>
      <c r="D49" s="1"/>
      <c r="E49" s="1"/>
      <c r="F49" s="1"/>
      <c r="G49" s="1"/>
      <c r="H49" s="1"/>
      <c r="I49" s="1"/>
      <c r="J49" s="101"/>
    </row>
    <row r="50" spans="1:10">
      <c r="A50" s="1"/>
      <c r="B50" s="1"/>
      <c r="C50" s="1"/>
      <c r="D50" s="1"/>
      <c r="E50" s="1"/>
      <c r="F50" s="1"/>
      <c r="G50" s="1"/>
      <c r="H50" s="1"/>
      <c r="I50" s="1"/>
      <c r="J50" s="101"/>
    </row>
    <row r="51" spans="1:10">
      <c r="A51" s="1"/>
      <c r="B51" s="1"/>
      <c r="C51" s="1"/>
      <c r="D51" s="1"/>
      <c r="E51" s="1"/>
      <c r="F51" s="1"/>
      <c r="G51" s="1"/>
      <c r="H51" s="1"/>
      <c r="I51" s="1"/>
      <c r="J51" s="101"/>
    </row>
    <row r="52" spans="1:10">
      <c r="A52" s="1"/>
      <c r="B52" s="1"/>
      <c r="C52" s="1"/>
      <c r="D52" s="1"/>
      <c r="E52" s="1"/>
      <c r="F52" s="1"/>
      <c r="G52" s="1"/>
      <c r="H52" s="1"/>
      <c r="I52" s="1"/>
      <c r="J52" s="101"/>
    </row>
    <row r="53" spans="1:10">
      <c r="A53" s="1"/>
      <c r="B53" s="1"/>
      <c r="C53" s="1"/>
      <c r="D53" s="1"/>
      <c r="E53" s="1"/>
      <c r="F53" s="1"/>
      <c r="G53" s="1"/>
      <c r="H53" s="1"/>
      <c r="I53" s="1"/>
      <c r="J53" s="101"/>
    </row>
    <row r="54" spans="1:10">
      <c r="A54" s="1"/>
      <c r="B54" s="1"/>
      <c r="C54" s="1"/>
      <c r="D54" s="1"/>
      <c r="E54" s="1"/>
      <c r="F54" s="1"/>
      <c r="G54" s="1"/>
      <c r="H54" s="1"/>
      <c r="I54" s="1"/>
      <c r="J54" s="101"/>
    </row>
    <row r="55" spans="1:10">
      <c r="A55" s="1"/>
      <c r="B55" s="1"/>
      <c r="C55" s="1"/>
      <c r="D55" s="1"/>
      <c r="E55" s="1"/>
      <c r="F55" s="1"/>
      <c r="G55" s="1"/>
      <c r="H55" s="1"/>
      <c r="I55" s="1"/>
      <c r="J55" s="101"/>
    </row>
    <row r="56" spans="1:10">
      <c r="A56" s="1"/>
      <c r="B56" s="1"/>
      <c r="C56" s="1"/>
      <c r="D56" s="1"/>
      <c r="E56" s="1"/>
      <c r="F56" s="1"/>
      <c r="G56" s="1"/>
      <c r="H56" s="1"/>
      <c r="I56" s="1"/>
      <c r="J56" s="101"/>
    </row>
    <row r="57" spans="1:10">
      <c r="A57" s="1"/>
      <c r="B57" s="1"/>
      <c r="C57" s="1"/>
      <c r="D57" s="1"/>
      <c r="E57" s="1"/>
      <c r="F57" s="1"/>
      <c r="G57" s="1"/>
      <c r="H57" s="1"/>
      <c r="I57" s="1"/>
      <c r="J57" s="101"/>
    </row>
    <row r="58" spans="1:10">
      <c r="A58" s="1"/>
      <c r="B58" s="1"/>
      <c r="C58" s="1"/>
      <c r="D58" s="1"/>
      <c r="E58" s="1"/>
      <c r="F58" s="1"/>
      <c r="G58" s="1"/>
      <c r="H58" s="1"/>
      <c r="I58" s="1"/>
      <c r="J58" s="101"/>
    </row>
    <row r="59" spans="1:10">
      <c r="A59" s="1"/>
      <c r="B59" s="1"/>
      <c r="C59" s="1"/>
      <c r="D59" s="1"/>
      <c r="E59" s="1"/>
      <c r="F59" s="1"/>
      <c r="G59" s="1"/>
      <c r="H59" s="1"/>
      <c r="I59" s="1"/>
      <c r="J59" s="101"/>
    </row>
    <row r="60" spans="1:10">
      <c r="A60" s="1"/>
      <c r="B60" s="1"/>
      <c r="C60" s="1"/>
      <c r="D60" s="1"/>
      <c r="E60" s="1"/>
      <c r="F60" s="1"/>
      <c r="G60" s="1"/>
      <c r="H60" s="1"/>
      <c r="I60" s="1"/>
      <c r="J60" s="101"/>
    </row>
    <row r="61" spans="1:10">
      <c r="A61" s="1"/>
      <c r="B61" s="1"/>
      <c r="C61" s="1"/>
      <c r="D61" s="1"/>
      <c r="E61" s="1"/>
      <c r="F61" s="1"/>
      <c r="G61" s="1"/>
      <c r="H61" s="1"/>
      <c r="I61" s="1"/>
      <c r="J61" s="101"/>
    </row>
    <row r="62" spans="1:10">
      <c r="A62" s="1"/>
      <c r="B62" s="1"/>
      <c r="C62" s="1"/>
      <c r="D62" s="1"/>
      <c r="E62" s="1"/>
      <c r="F62" s="1"/>
      <c r="G62" s="1"/>
      <c r="H62" s="1"/>
      <c r="I62" s="1"/>
      <c r="J62" s="101"/>
    </row>
    <row r="63" spans="1:10">
      <c r="A63" s="1"/>
      <c r="B63" s="1"/>
      <c r="C63" s="1"/>
      <c r="D63" s="1"/>
      <c r="E63" s="1"/>
      <c r="F63" s="1"/>
      <c r="G63" s="1"/>
      <c r="H63" s="1"/>
      <c r="I63" s="1"/>
      <c r="J63" s="101"/>
    </row>
    <row r="64" spans="1:10">
      <c r="A64" s="1"/>
      <c r="B64" s="1"/>
      <c r="C64" s="1"/>
      <c r="D64" s="1"/>
      <c r="E64" s="1"/>
      <c r="F64" s="1"/>
      <c r="G64" s="1"/>
      <c r="H64" s="1"/>
      <c r="I64" s="1"/>
      <c r="J64" s="101"/>
    </row>
    <row r="65" spans="1:10">
      <c r="A65" s="1"/>
      <c r="B65" s="1"/>
      <c r="C65" s="1"/>
      <c r="D65" s="1"/>
      <c r="E65" s="1"/>
      <c r="F65" s="1"/>
      <c r="G65" s="1"/>
      <c r="H65" s="1"/>
      <c r="I65" s="1"/>
      <c r="J65" s="101"/>
    </row>
    <row r="66" spans="1:10">
      <c r="A66" s="1"/>
      <c r="B66" s="1"/>
      <c r="C66" s="1"/>
      <c r="D66" s="1"/>
      <c r="E66" s="1"/>
      <c r="F66" s="1"/>
      <c r="G66" s="1"/>
      <c r="H66" s="1"/>
      <c r="I66" s="1"/>
      <c r="J66" s="101"/>
    </row>
    <row r="67" spans="1:10">
      <c r="A67" s="1"/>
      <c r="B67" s="1"/>
      <c r="C67" s="1"/>
      <c r="D67" s="1"/>
      <c r="E67" s="1"/>
      <c r="F67" s="1"/>
      <c r="G67" s="1"/>
      <c r="H67" s="1"/>
      <c r="I67" s="1"/>
      <c r="J67" s="101"/>
    </row>
    <row r="68" spans="1:10">
      <c r="A68" s="1"/>
      <c r="B68" s="1"/>
      <c r="C68" s="1"/>
      <c r="D68" s="1"/>
      <c r="E68" s="1"/>
      <c r="F68" s="1"/>
      <c r="G68" s="1"/>
      <c r="H68" s="1"/>
      <c r="I68" s="1"/>
      <c r="J68" s="101"/>
    </row>
    <row r="69" spans="1:10" ht="108.5" customHeight="1">
      <c r="A69" s="1"/>
      <c r="B69" s="1"/>
      <c r="C69" s="1"/>
      <c r="D69" s="1"/>
      <c r="E69" s="1"/>
      <c r="F69" s="1"/>
      <c r="G69" s="1"/>
      <c r="H69" s="1"/>
      <c r="I69" s="1"/>
      <c r="J69" s="101"/>
    </row>
    <row r="70" spans="1:10" s="1" customFormat="1">
      <c r="J70" s="101"/>
    </row>
    <row r="71" spans="1:10" s="1" customFormat="1" ht="21.5" customHeight="1">
      <c r="J71" s="101"/>
    </row>
    <row r="72" spans="1:10" s="1" customFormat="1">
      <c r="J72" s="101"/>
    </row>
    <row r="73" spans="1:10" s="1" customFormat="1">
      <c r="J73" s="101"/>
    </row>
    <row r="74" spans="1:10" s="1" customFormat="1">
      <c r="J74" s="101"/>
    </row>
    <row r="75" spans="1:10" s="1" customFormat="1">
      <c r="J75" s="101"/>
    </row>
    <row r="76" spans="1:10" s="1" customFormat="1">
      <c r="J76" s="101"/>
    </row>
    <row r="77" spans="1:10" s="1" customFormat="1">
      <c r="J77" s="101"/>
    </row>
    <row r="78" spans="1:10" s="1" customFormat="1">
      <c r="J78" s="101"/>
    </row>
    <row r="79" spans="1:10" s="1" customFormat="1">
      <c r="J79" s="101"/>
    </row>
    <row r="80" spans="1:10" s="1" customFormat="1">
      <c r="J80" s="101"/>
    </row>
    <row r="81" spans="10:10" s="1" customFormat="1">
      <c r="J81" s="101"/>
    </row>
    <row r="82" spans="10:10" s="1" customFormat="1">
      <c r="J82" s="101"/>
    </row>
    <row r="83" spans="10:10" s="1" customFormat="1">
      <c r="J83" s="101"/>
    </row>
    <row r="84" spans="10:10" s="1" customFormat="1">
      <c r="J84" s="101"/>
    </row>
    <row r="85" spans="10:10" s="1" customFormat="1">
      <c r="J85" s="101"/>
    </row>
    <row r="86" spans="10:10" s="1" customFormat="1">
      <c r="J86" s="101"/>
    </row>
    <row r="87" spans="10:10" s="1" customFormat="1">
      <c r="J87" s="101"/>
    </row>
    <row r="88" spans="10:10" s="1" customFormat="1">
      <c r="J88" s="101"/>
    </row>
    <row r="89" spans="10:10" s="1" customFormat="1">
      <c r="J89" s="101"/>
    </row>
    <row r="90" spans="10:10" s="1" customFormat="1">
      <c r="J90" s="101"/>
    </row>
    <row r="91" spans="10:10" s="1" customFormat="1">
      <c r="J91" s="101"/>
    </row>
    <row r="92" spans="10:10" s="1" customFormat="1">
      <c r="J92" s="101"/>
    </row>
    <row r="93" spans="10:10" s="1" customFormat="1">
      <c r="J93" s="101"/>
    </row>
    <row r="94" spans="10:10" s="1" customFormat="1">
      <c r="J94" s="101"/>
    </row>
    <row r="95" spans="10:10" s="1" customFormat="1">
      <c r="J95" s="101"/>
    </row>
    <row r="96" spans="10:10" s="1" customFormat="1">
      <c r="J96" s="101"/>
    </row>
    <row r="97" spans="10:10" s="1" customFormat="1">
      <c r="J97" s="101"/>
    </row>
    <row r="98" spans="10:10" s="1" customFormat="1">
      <c r="J98" s="101"/>
    </row>
    <row r="99" spans="10:10" s="1" customFormat="1">
      <c r="J99" s="101"/>
    </row>
    <row r="100" spans="10:10" s="1" customFormat="1">
      <c r="J100" s="101"/>
    </row>
    <row r="101" spans="10:10" s="1" customFormat="1">
      <c r="J101" s="101"/>
    </row>
    <row r="102" spans="10:10" s="1" customFormat="1">
      <c r="J102" s="101"/>
    </row>
    <row r="103" spans="10:10" s="1" customFormat="1">
      <c r="J103" s="101"/>
    </row>
    <row r="104" spans="10:10" s="1" customFormat="1">
      <c r="J104" s="101"/>
    </row>
    <row r="105" spans="10:10" s="1" customFormat="1">
      <c r="J105" s="101"/>
    </row>
    <row r="106" spans="10:10" s="1" customFormat="1">
      <c r="J106" s="101"/>
    </row>
    <row r="107" spans="10:10" s="1" customFormat="1">
      <c r="J107" s="101"/>
    </row>
    <row r="108" spans="10:10" s="1" customFormat="1">
      <c r="J108" s="101"/>
    </row>
    <row r="109" spans="10:10" s="1" customFormat="1">
      <c r="J109" s="101"/>
    </row>
    <row r="110" spans="10:10" s="1" customFormat="1">
      <c r="J110" s="101"/>
    </row>
    <row r="111" spans="10:10" s="1" customFormat="1">
      <c r="J111" s="101"/>
    </row>
    <row r="112" spans="10:10" s="1" customFormat="1">
      <c r="J112" s="101"/>
    </row>
    <row r="113" spans="10:10" s="1" customFormat="1">
      <c r="J113" s="101"/>
    </row>
    <row r="114" spans="10:10" s="1" customFormat="1">
      <c r="J114" s="101"/>
    </row>
    <row r="115" spans="10:10" s="1" customFormat="1">
      <c r="J115" s="101"/>
    </row>
    <row r="116" spans="10:10" s="1" customFormat="1">
      <c r="J116" s="101"/>
    </row>
    <row r="117" spans="10:10" s="1" customFormat="1">
      <c r="J117" s="101"/>
    </row>
    <row r="118" spans="10:10" s="1" customFormat="1">
      <c r="J118" s="101"/>
    </row>
    <row r="119" spans="10:10" s="1" customFormat="1">
      <c r="J119" s="101"/>
    </row>
    <row r="120" spans="10:10" s="1" customFormat="1">
      <c r="J120" s="101"/>
    </row>
    <row r="121" spans="10:10" s="1" customFormat="1">
      <c r="J121" s="101"/>
    </row>
    <row r="122" spans="10:10" s="1" customFormat="1">
      <c r="J122" s="101"/>
    </row>
    <row r="123" spans="10:10" s="1" customFormat="1">
      <c r="J123" s="101"/>
    </row>
    <row r="124" spans="10:10" s="1" customFormat="1">
      <c r="J124" s="101"/>
    </row>
    <row r="125" spans="10:10" s="1" customFormat="1">
      <c r="J125" s="101"/>
    </row>
    <row r="126" spans="10:10" s="1" customFormat="1">
      <c r="J126" s="101"/>
    </row>
    <row r="127" spans="10:10" s="1" customFormat="1">
      <c r="J127" s="101"/>
    </row>
    <row r="128" spans="10:10" s="1" customFormat="1">
      <c r="J128" s="101"/>
    </row>
    <row r="129" spans="10:10" s="1" customFormat="1">
      <c r="J129" s="101"/>
    </row>
    <row r="130" spans="10:10" s="1" customFormat="1">
      <c r="J130" s="101"/>
    </row>
    <row r="131" spans="10:10" s="1" customFormat="1">
      <c r="J131" s="101"/>
    </row>
    <row r="132" spans="10:10" s="1" customFormat="1">
      <c r="J132" s="101"/>
    </row>
    <row r="133" spans="10:10" s="1" customFormat="1">
      <c r="J133" s="101"/>
    </row>
    <row r="134" spans="10:10" s="1" customFormat="1">
      <c r="J134" s="101"/>
    </row>
    <row r="135" spans="10:10" s="1" customFormat="1">
      <c r="J135" s="101"/>
    </row>
    <row r="136" spans="10:10" s="1" customFormat="1">
      <c r="J136" s="101"/>
    </row>
    <row r="137" spans="10:10" s="1" customFormat="1">
      <c r="J137" s="101"/>
    </row>
    <row r="138" spans="10:10" s="1" customFormat="1">
      <c r="J138" s="101"/>
    </row>
    <row r="139" spans="10:10" s="1" customFormat="1">
      <c r="J139" s="101"/>
    </row>
    <row r="140" spans="10:10" s="1" customFormat="1">
      <c r="J140" s="101"/>
    </row>
    <row r="141" spans="10:10" s="1" customFormat="1">
      <c r="J141" s="101"/>
    </row>
    <row r="142" spans="10:10" s="1" customFormat="1">
      <c r="J142" s="101"/>
    </row>
    <row r="143" spans="10:10" s="1" customFormat="1">
      <c r="J143" s="101"/>
    </row>
    <row r="144" spans="10:10" s="1" customFormat="1">
      <c r="J144" s="101"/>
    </row>
    <row r="145" spans="10:10" s="1" customFormat="1">
      <c r="J145" s="101"/>
    </row>
    <row r="146" spans="10:10" s="1" customFormat="1">
      <c r="J146" s="101"/>
    </row>
    <row r="147" spans="10:10" s="1" customFormat="1">
      <c r="J147" s="101"/>
    </row>
    <row r="148" spans="10:10" s="1" customFormat="1">
      <c r="J148" s="101"/>
    </row>
    <row r="149" spans="10:10" s="1" customFormat="1">
      <c r="J149" s="101"/>
    </row>
    <row r="150" spans="10:10" s="1" customFormat="1">
      <c r="J150" s="101"/>
    </row>
    <row r="151" spans="10:10" s="1" customFormat="1">
      <c r="J151" s="101"/>
    </row>
    <row r="152" spans="10:10" s="1" customFormat="1">
      <c r="J152" s="101"/>
    </row>
    <row r="153" spans="10:10" s="1" customFormat="1">
      <c r="J153" s="101"/>
    </row>
    <row r="154" spans="10:10" s="1" customFormat="1">
      <c r="J154" s="101"/>
    </row>
    <row r="155" spans="10:10" s="1" customFormat="1">
      <c r="J155" s="101"/>
    </row>
    <row r="156" spans="10:10" s="1" customFormat="1">
      <c r="J156" s="101"/>
    </row>
    <row r="157" spans="10:10" s="1" customFormat="1">
      <c r="J157" s="101"/>
    </row>
    <row r="158" spans="10:10" s="1" customFormat="1">
      <c r="J158" s="101"/>
    </row>
    <row r="159" spans="10:10" s="1" customFormat="1">
      <c r="J159" s="101"/>
    </row>
    <row r="160" spans="10:10" s="1" customFormat="1">
      <c r="J160" s="101"/>
    </row>
    <row r="161" spans="10:10" s="1" customFormat="1">
      <c r="J161" s="101"/>
    </row>
    <row r="162" spans="10:10" s="1" customFormat="1">
      <c r="J162" s="101"/>
    </row>
    <row r="163" spans="10:10" s="1" customFormat="1">
      <c r="J163" s="101"/>
    </row>
    <row r="164" spans="10:10" s="1" customFormat="1">
      <c r="J164" s="101"/>
    </row>
    <row r="165" spans="10:10" s="1" customFormat="1">
      <c r="J165" s="101"/>
    </row>
    <row r="166" spans="10:10" s="1" customFormat="1">
      <c r="J166" s="101"/>
    </row>
    <row r="167" spans="10:10" s="1" customFormat="1">
      <c r="J167" s="101"/>
    </row>
    <row r="168" spans="10:10" s="1" customFormat="1">
      <c r="J168" s="101"/>
    </row>
    <row r="169" spans="10:10" s="1" customFormat="1">
      <c r="J169" s="101"/>
    </row>
    <row r="170" spans="10:10" s="1" customFormat="1">
      <c r="J170" s="101"/>
    </row>
    <row r="171" spans="10:10" s="1" customFormat="1">
      <c r="J171" s="101"/>
    </row>
    <row r="172" spans="10:10" s="1" customFormat="1">
      <c r="J172" s="101"/>
    </row>
    <row r="173" spans="10:10" s="1" customFormat="1">
      <c r="J173" s="101"/>
    </row>
    <row r="174" spans="10:10" s="1" customFormat="1">
      <c r="J174" s="101"/>
    </row>
    <row r="175" spans="10:10" s="1" customFormat="1">
      <c r="J175" s="101"/>
    </row>
    <row r="176" spans="10:10" s="1" customFormat="1">
      <c r="J176" s="101"/>
    </row>
    <row r="177" spans="10:10" s="1" customFormat="1">
      <c r="J177" s="101"/>
    </row>
    <row r="178" spans="10:10" s="1" customFormat="1">
      <c r="J178" s="101"/>
    </row>
    <row r="179" spans="10:10" s="1" customFormat="1">
      <c r="J179" s="101"/>
    </row>
    <row r="180" spans="10:10" s="1" customFormat="1">
      <c r="J180" s="101"/>
    </row>
    <row r="181" spans="10:10" s="1" customFormat="1">
      <c r="J181" s="101"/>
    </row>
    <row r="182" spans="10:10" s="1" customFormat="1">
      <c r="J182" s="101"/>
    </row>
    <row r="183" spans="10:10" s="1" customFormat="1">
      <c r="J183" s="101"/>
    </row>
    <row r="184" spans="10:10" s="1" customFormat="1">
      <c r="J184" s="101"/>
    </row>
    <row r="185" spans="10:10" s="1" customFormat="1">
      <c r="J185" s="101"/>
    </row>
    <row r="186" spans="10:10" s="1" customFormat="1">
      <c r="J186" s="101"/>
    </row>
    <row r="187" spans="10:10" s="1" customFormat="1">
      <c r="J187" s="101"/>
    </row>
    <row r="188" spans="10:10" s="1" customFormat="1">
      <c r="J188" s="101"/>
    </row>
    <row r="189" spans="10:10" s="1" customFormat="1">
      <c r="J189" s="101"/>
    </row>
    <row r="190" spans="10:10" s="1" customFormat="1">
      <c r="J190" s="101"/>
    </row>
    <row r="191" spans="10:10" s="1" customFormat="1">
      <c r="J191" s="101"/>
    </row>
    <row r="192" spans="10:10" s="1" customFormat="1">
      <c r="J192" s="101"/>
    </row>
    <row r="193" spans="10:10" s="1" customFormat="1">
      <c r="J193" s="101"/>
    </row>
    <row r="194" spans="10:10" s="1" customFormat="1">
      <c r="J194" s="101"/>
    </row>
    <row r="195" spans="10:10" s="1" customFormat="1">
      <c r="J195" s="101"/>
    </row>
    <row r="196" spans="10:10" s="1" customFormat="1">
      <c r="J196" s="101"/>
    </row>
    <row r="197" spans="10:10" s="1" customFormat="1">
      <c r="J197" s="101"/>
    </row>
    <row r="198" spans="10:10" s="1" customFormat="1">
      <c r="J198" s="101"/>
    </row>
    <row r="199" spans="10:10" s="1" customFormat="1">
      <c r="J199" s="101"/>
    </row>
    <row r="200" spans="10:10" s="1" customFormat="1">
      <c r="J200" s="101"/>
    </row>
    <row r="201" spans="10:10" s="1" customFormat="1">
      <c r="J201" s="101"/>
    </row>
    <row r="202" spans="10:10" s="1" customFormat="1">
      <c r="J202" s="101"/>
    </row>
    <row r="203" spans="10:10" s="1" customFormat="1">
      <c r="J203" s="101"/>
    </row>
    <row r="204" spans="10:10" s="1" customFormat="1">
      <c r="J204" s="101"/>
    </row>
    <row r="205" spans="10:10" s="1" customFormat="1">
      <c r="J205" s="101"/>
    </row>
    <row r="206" spans="10:10" s="1" customFormat="1">
      <c r="J206" s="101"/>
    </row>
    <row r="207" spans="10:10" s="1" customFormat="1">
      <c r="J207" s="101"/>
    </row>
    <row r="208" spans="10:10" s="1" customFormat="1">
      <c r="J208" s="101"/>
    </row>
    <row r="209" spans="10:10" s="1" customFormat="1">
      <c r="J209" s="101"/>
    </row>
    <row r="210" spans="10:10" s="1" customFormat="1">
      <c r="J210" s="101"/>
    </row>
    <row r="211" spans="10:10" s="1" customFormat="1">
      <c r="J211" s="101"/>
    </row>
    <row r="212" spans="10:10" s="1" customFormat="1">
      <c r="J212" s="101"/>
    </row>
    <row r="213" spans="10:10" s="1" customFormat="1">
      <c r="J213" s="101"/>
    </row>
    <row r="214" spans="10:10" s="1" customFormat="1">
      <c r="J214" s="101"/>
    </row>
    <row r="215" spans="10:10" s="1" customFormat="1">
      <c r="J215" s="101"/>
    </row>
    <row r="216" spans="10:10" s="1" customFormat="1">
      <c r="J216" s="101"/>
    </row>
    <row r="217" spans="10:10" s="1" customFormat="1">
      <c r="J217" s="101"/>
    </row>
    <row r="218" spans="10:10" s="1" customFormat="1">
      <c r="J218" s="101"/>
    </row>
    <row r="219" spans="10:10" s="1" customFormat="1">
      <c r="J219" s="101"/>
    </row>
    <row r="220" spans="10:10" s="1" customFormat="1">
      <c r="J220" s="101"/>
    </row>
    <row r="221" spans="10:10" s="1" customFormat="1">
      <c r="J221" s="101"/>
    </row>
    <row r="222" spans="10:10" s="1" customFormat="1">
      <c r="J222" s="101"/>
    </row>
    <row r="223" spans="10:10" s="1" customFormat="1">
      <c r="J223" s="101"/>
    </row>
    <row r="224" spans="10:10" s="1" customFormat="1">
      <c r="J224" s="101"/>
    </row>
    <row r="225" spans="10:10" s="1" customFormat="1">
      <c r="J225" s="101"/>
    </row>
    <row r="226" spans="10:10" s="1" customFormat="1">
      <c r="J226" s="101"/>
    </row>
    <row r="227" spans="10:10" s="1" customFormat="1">
      <c r="J227" s="101"/>
    </row>
    <row r="228" spans="10:10" s="1" customFormat="1">
      <c r="J228" s="101"/>
    </row>
    <row r="229" spans="10:10" s="1" customFormat="1">
      <c r="J229" s="101"/>
    </row>
    <row r="230" spans="10:10" s="1" customFormat="1">
      <c r="J230" s="101"/>
    </row>
    <row r="231" spans="10:10" s="1" customFormat="1">
      <c r="J231" s="101"/>
    </row>
    <row r="232" spans="10:10" s="1" customFormat="1">
      <c r="J232" s="101"/>
    </row>
    <row r="233" spans="10:10" s="1" customFormat="1">
      <c r="J233" s="101"/>
    </row>
    <row r="234" spans="10:10" s="1" customFormat="1">
      <c r="J234" s="101"/>
    </row>
    <row r="235" spans="10:10" s="1" customFormat="1">
      <c r="J235" s="101"/>
    </row>
    <row r="236" spans="10:10" s="1" customFormat="1">
      <c r="J236" s="101"/>
    </row>
    <row r="237" spans="10:10" s="1" customFormat="1">
      <c r="J237" s="101"/>
    </row>
    <row r="238" spans="10:10" s="1" customFormat="1">
      <c r="J238" s="101"/>
    </row>
    <row r="239" spans="10:10" s="1" customFormat="1">
      <c r="J239" s="101"/>
    </row>
    <row r="240" spans="10:10" s="1" customFormat="1">
      <c r="J240" s="101"/>
    </row>
    <row r="241" spans="10:10" s="1" customFormat="1">
      <c r="J241" s="101"/>
    </row>
    <row r="242" spans="10:10" s="1" customFormat="1">
      <c r="J242" s="101"/>
    </row>
    <row r="243" spans="10:10" s="1" customFormat="1">
      <c r="J243" s="101"/>
    </row>
    <row r="244" spans="10:10" s="1" customFormat="1">
      <c r="J244" s="101"/>
    </row>
    <row r="245" spans="10:10" s="1" customFormat="1">
      <c r="J245" s="101"/>
    </row>
    <row r="246" spans="10:10" s="1" customFormat="1">
      <c r="J246" s="101"/>
    </row>
    <row r="247" spans="10:10" s="1" customFormat="1">
      <c r="J247" s="101"/>
    </row>
    <row r="248" spans="10:10" s="1" customFormat="1">
      <c r="J248" s="101"/>
    </row>
    <row r="249" spans="10:10" s="1" customFormat="1">
      <c r="J249" s="101"/>
    </row>
    <row r="250" spans="10:10" s="1" customFormat="1">
      <c r="J250" s="101"/>
    </row>
  </sheetData>
  <mergeCells count="8">
    <mergeCell ref="I1:I2"/>
    <mergeCell ref="F1:F2"/>
    <mergeCell ref="E1:E2"/>
    <mergeCell ref="B1:B2"/>
    <mergeCell ref="C1:C2"/>
    <mergeCell ref="D1:D2"/>
    <mergeCell ref="G1:G2"/>
    <mergeCell ref="H1:H2"/>
  </mergeCells>
  <pageMargins left="0.7" right="0.7" top="0.75" bottom="0.75" header="0.3" footer="0.3"/>
  <ignoredErrors>
    <ignoredError sqref="H17:I17 H22 I7 H6" formulaRange="1"/>
  </ignoredErrors>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030B4-D353-4C27-B662-54B8944AC69B}">
  <sheetPr>
    <tabColor theme="0" tint="-4.9989318521683403E-2"/>
  </sheetPr>
  <dimension ref="A1:CK205"/>
  <sheetViews>
    <sheetView zoomScale="85" zoomScaleNormal="85" workbookViewId="0">
      <selection activeCell="V40" sqref="V40"/>
    </sheetView>
  </sheetViews>
  <sheetFormatPr baseColWidth="10" defaultRowHeight="14.5"/>
  <cols>
    <col min="1" max="1" width="13.36328125" customWidth="1"/>
    <col min="2" max="2" width="16.36328125" customWidth="1"/>
    <col min="3" max="3" width="14.90625" customWidth="1"/>
    <col min="4" max="4" width="28.08984375" customWidth="1"/>
    <col min="5" max="5" width="24.54296875" customWidth="1"/>
    <col min="6" max="6" width="20.08984375" customWidth="1"/>
    <col min="7" max="7" width="16.36328125" bestFit="1" customWidth="1"/>
    <col min="8" max="8" width="18.36328125" bestFit="1" customWidth="1"/>
    <col min="9" max="10" width="18.36328125" customWidth="1"/>
    <col min="11" max="11" width="18.7265625" customWidth="1"/>
    <col min="12" max="12" width="18.7265625" style="1" customWidth="1"/>
    <col min="13" max="89" width="10.90625" style="1"/>
  </cols>
  <sheetData>
    <row r="1" spans="1:89" s="5" customFormat="1" ht="45.5" customHeight="1">
      <c r="A1" s="409" t="s">
        <v>201</v>
      </c>
      <c r="B1" s="690" t="s">
        <v>174</v>
      </c>
      <c r="C1" s="690"/>
      <c r="D1" s="693" t="s">
        <v>210</v>
      </c>
      <c r="E1" s="693" t="s">
        <v>214</v>
      </c>
      <c r="F1" s="125" t="s">
        <v>182</v>
      </c>
      <c r="G1" s="695" t="s">
        <v>204</v>
      </c>
      <c r="H1" s="639" t="s">
        <v>202</v>
      </c>
      <c r="I1" s="622" t="s">
        <v>144</v>
      </c>
      <c r="J1" s="691" t="s">
        <v>145</v>
      </c>
      <c r="K1" s="328" t="s">
        <v>165</v>
      </c>
      <c r="L1" s="151"/>
      <c r="M1" s="151"/>
      <c r="N1" s="151"/>
      <c r="O1" s="151"/>
      <c r="P1" s="151"/>
      <c r="Q1" s="151"/>
      <c r="R1" s="151"/>
      <c r="S1" s="151"/>
      <c r="T1" s="151"/>
      <c r="U1" s="151"/>
      <c r="V1" s="151"/>
      <c r="W1" s="151"/>
      <c r="X1" s="151"/>
      <c r="Y1" s="151"/>
      <c r="Z1" s="151"/>
      <c r="AA1" s="151"/>
      <c r="AB1" s="151"/>
      <c r="AC1" s="151"/>
      <c r="AD1" s="151"/>
      <c r="AE1" s="151"/>
      <c r="AF1" s="151"/>
      <c r="AG1" s="151"/>
      <c r="AH1" s="151"/>
      <c r="AI1" s="151"/>
      <c r="AJ1" s="151"/>
      <c r="AK1" s="151"/>
      <c r="AL1" s="151"/>
      <c r="AM1" s="151"/>
      <c r="AN1" s="151"/>
      <c r="AO1" s="151"/>
      <c r="AP1" s="151"/>
      <c r="AQ1" s="151"/>
      <c r="AR1" s="151"/>
      <c r="AS1" s="151"/>
      <c r="AT1" s="151"/>
      <c r="AU1" s="151"/>
      <c r="AV1" s="151"/>
      <c r="AW1" s="151"/>
      <c r="AX1" s="151"/>
      <c r="AY1" s="151"/>
      <c r="AZ1" s="151"/>
      <c r="BA1" s="151"/>
      <c r="BB1" s="151"/>
      <c r="BC1" s="151"/>
      <c r="BD1" s="151"/>
      <c r="BE1" s="151"/>
      <c r="BF1" s="151"/>
      <c r="BG1" s="151"/>
      <c r="BH1" s="151"/>
      <c r="BI1" s="151"/>
      <c r="BJ1" s="151"/>
      <c r="BK1" s="151"/>
      <c r="BL1" s="151"/>
      <c r="BM1" s="151"/>
      <c r="BN1" s="151"/>
      <c r="BO1" s="151"/>
      <c r="BP1" s="151"/>
      <c r="BQ1" s="151"/>
      <c r="BR1" s="151"/>
      <c r="BS1" s="151"/>
      <c r="BT1" s="151"/>
      <c r="BU1" s="151"/>
      <c r="BV1" s="151"/>
      <c r="BW1" s="151"/>
      <c r="BX1" s="151"/>
      <c r="BY1" s="151"/>
      <c r="BZ1" s="151"/>
      <c r="CA1" s="151"/>
      <c r="CB1" s="151"/>
      <c r="CC1" s="151"/>
      <c r="CD1" s="151"/>
      <c r="CE1" s="151"/>
      <c r="CF1" s="151"/>
      <c r="CG1" s="151"/>
      <c r="CH1" s="151"/>
      <c r="CI1" s="151"/>
      <c r="CJ1" s="151"/>
      <c r="CK1" s="151"/>
    </row>
    <row r="2" spans="1:89" s="5" customFormat="1" ht="49" customHeight="1" thickBot="1">
      <c r="A2" s="419" t="s">
        <v>67</v>
      </c>
      <c r="B2" s="390" t="s">
        <v>176</v>
      </c>
      <c r="C2" s="412" t="s">
        <v>130</v>
      </c>
      <c r="D2" s="694"/>
      <c r="E2" s="694"/>
      <c r="F2" s="9" t="s">
        <v>183</v>
      </c>
      <c r="G2" s="696"/>
      <c r="H2" s="687"/>
      <c r="I2" s="623"/>
      <c r="J2" s="692"/>
      <c r="K2" s="398" t="s">
        <v>170</v>
      </c>
      <c r="L2" s="151"/>
      <c r="M2" s="151"/>
      <c r="N2" s="151"/>
      <c r="O2" s="151"/>
      <c r="P2" s="151"/>
      <c r="Q2" s="151"/>
      <c r="R2" s="151"/>
      <c r="S2" s="151"/>
      <c r="T2" s="151"/>
      <c r="U2" s="151"/>
      <c r="V2" s="151"/>
      <c r="W2" s="151"/>
      <c r="X2" s="151"/>
      <c r="Y2" s="151"/>
      <c r="Z2" s="151"/>
      <c r="AA2" s="151"/>
      <c r="AB2" s="151"/>
      <c r="AC2" s="151"/>
      <c r="AD2" s="151"/>
      <c r="AE2" s="151"/>
      <c r="AF2" s="151"/>
      <c r="AG2" s="151"/>
      <c r="AH2" s="151"/>
      <c r="AI2" s="151"/>
      <c r="AJ2" s="151"/>
      <c r="AK2" s="151"/>
      <c r="AL2" s="151"/>
      <c r="AM2" s="151"/>
      <c r="AN2" s="151"/>
      <c r="AO2" s="151"/>
      <c r="AP2" s="151"/>
      <c r="AQ2" s="151"/>
      <c r="AR2" s="151"/>
      <c r="AS2" s="151"/>
      <c r="AT2" s="151"/>
      <c r="AU2" s="151"/>
      <c r="AV2" s="151"/>
      <c r="AW2" s="151"/>
      <c r="AX2" s="151"/>
      <c r="AY2" s="151"/>
      <c r="AZ2" s="151"/>
      <c r="BA2" s="151"/>
      <c r="BB2" s="151"/>
      <c r="BC2" s="151"/>
      <c r="BD2" s="151"/>
      <c r="BE2" s="151"/>
      <c r="BF2" s="151"/>
      <c r="BG2" s="151"/>
      <c r="BH2" s="151"/>
      <c r="BI2" s="151"/>
      <c r="BJ2" s="151"/>
      <c r="BK2" s="151"/>
      <c r="BL2" s="151"/>
      <c r="BM2" s="151"/>
      <c r="BN2" s="151"/>
      <c r="BO2" s="151"/>
      <c r="BP2" s="151"/>
      <c r="BQ2" s="151"/>
      <c r="BR2" s="151"/>
      <c r="BS2" s="151"/>
      <c r="BT2" s="151"/>
      <c r="BU2" s="151"/>
      <c r="BV2" s="151"/>
      <c r="BW2" s="151"/>
      <c r="BX2" s="151"/>
      <c r="BY2" s="151"/>
      <c r="BZ2" s="151"/>
      <c r="CA2" s="151"/>
      <c r="CB2" s="151"/>
      <c r="CC2" s="151"/>
      <c r="CD2" s="151"/>
      <c r="CE2" s="151"/>
      <c r="CF2" s="151"/>
      <c r="CG2" s="151"/>
      <c r="CH2" s="151"/>
      <c r="CI2" s="151"/>
      <c r="CJ2" s="151"/>
      <c r="CK2" s="151"/>
    </row>
    <row r="3" spans="1:89" ht="58">
      <c r="A3" s="293" t="s">
        <v>21</v>
      </c>
      <c r="B3" s="294"/>
      <c r="C3" s="294"/>
      <c r="D3" s="381">
        <v>46100</v>
      </c>
      <c r="E3" s="298">
        <v>2386</v>
      </c>
      <c r="F3" s="294"/>
      <c r="G3" s="302">
        <v>4922</v>
      </c>
      <c r="H3" s="322">
        <v>2386</v>
      </c>
      <c r="I3" s="322">
        <v>2386</v>
      </c>
      <c r="J3" s="381">
        <v>46100</v>
      </c>
      <c r="K3" s="329" t="s">
        <v>168</v>
      </c>
    </row>
    <row r="4" spans="1:89">
      <c r="A4" s="75" t="s">
        <v>23</v>
      </c>
      <c r="B4" s="143"/>
      <c r="C4" s="143"/>
      <c r="D4" s="143"/>
      <c r="E4" s="143"/>
      <c r="F4" s="143"/>
      <c r="G4" s="177"/>
      <c r="H4" s="176">
        <v>0</v>
      </c>
      <c r="I4" s="143"/>
      <c r="J4" s="152"/>
      <c r="K4" s="189"/>
    </row>
    <row r="5" spans="1:89">
      <c r="A5" s="75" t="s">
        <v>71</v>
      </c>
      <c r="B5" s="143"/>
      <c r="C5" s="143"/>
      <c r="D5" s="143"/>
      <c r="E5" s="143"/>
      <c r="F5" s="143"/>
      <c r="G5" s="177"/>
      <c r="H5" s="176">
        <v>0</v>
      </c>
      <c r="I5" s="143"/>
      <c r="J5" s="152"/>
      <c r="K5" s="189"/>
    </row>
    <row r="6" spans="1:89" ht="18.5" customHeight="1">
      <c r="A6" s="254" t="s">
        <v>72</v>
      </c>
      <c r="B6" s="27">
        <v>64405</v>
      </c>
      <c r="C6" s="26"/>
      <c r="D6" s="26"/>
      <c r="E6" s="26"/>
      <c r="F6" s="26"/>
      <c r="G6" s="166">
        <v>13663</v>
      </c>
      <c r="H6" s="68">
        <v>64405</v>
      </c>
      <c r="I6" s="166">
        <v>13663</v>
      </c>
      <c r="J6" s="68">
        <v>64405</v>
      </c>
      <c r="K6" s="242" t="s">
        <v>171</v>
      </c>
    </row>
    <row r="7" spans="1:89">
      <c r="A7" s="254" t="s">
        <v>73</v>
      </c>
      <c r="B7" s="143"/>
      <c r="C7" s="143"/>
      <c r="D7" s="143"/>
      <c r="E7" s="143"/>
      <c r="F7" s="143"/>
      <c r="G7" s="177"/>
      <c r="H7" s="176">
        <v>0</v>
      </c>
      <c r="I7" s="143"/>
      <c r="J7" s="152"/>
      <c r="K7" s="191"/>
    </row>
    <row r="8" spans="1:89">
      <c r="A8" s="64" t="s">
        <v>25</v>
      </c>
      <c r="B8" s="20"/>
      <c r="C8" s="20"/>
      <c r="D8" s="35">
        <v>459000</v>
      </c>
      <c r="E8" s="20"/>
      <c r="F8" s="20"/>
      <c r="G8" s="33"/>
      <c r="H8" s="81">
        <v>459000</v>
      </c>
      <c r="I8" s="81">
        <v>459000</v>
      </c>
      <c r="J8" s="81">
        <v>459000</v>
      </c>
      <c r="K8" s="171" t="s">
        <v>162</v>
      </c>
    </row>
    <row r="9" spans="1:89" ht="20" customHeight="1">
      <c r="A9" s="254" t="s">
        <v>74</v>
      </c>
      <c r="B9" s="27">
        <v>2335</v>
      </c>
      <c r="C9" s="27">
        <v>3605</v>
      </c>
      <c r="D9" s="26"/>
      <c r="E9" s="43">
        <v>597</v>
      </c>
      <c r="F9" s="27">
        <v>2175</v>
      </c>
      <c r="G9" s="166">
        <v>6520</v>
      </c>
      <c r="H9" s="291">
        <v>2175</v>
      </c>
      <c r="I9" s="43">
        <v>597</v>
      </c>
      <c r="J9" s="59">
        <v>3605</v>
      </c>
      <c r="K9" s="242" t="s">
        <v>166</v>
      </c>
    </row>
    <row r="10" spans="1:89">
      <c r="A10" s="274" t="s">
        <v>28</v>
      </c>
      <c r="B10" s="143"/>
      <c r="C10" s="143"/>
      <c r="D10" s="143"/>
      <c r="E10" s="143"/>
      <c r="F10" s="143"/>
      <c r="G10" s="177"/>
      <c r="H10" s="176">
        <v>0</v>
      </c>
      <c r="I10" s="143"/>
      <c r="J10" s="152"/>
      <c r="K10" s="191"/>
    </row>
    <row r="11" spans="1:89">
      <c r="A11" s="254" t="s">
        <v>29</v>
      </c>
      <c r="B11" s="143"/>
      <c r="C11" s="143"/>
      <c r="D11" s="143"/>
      <c r="E11" s="143"/>
      <c r="F11" s="143"/>
      <c r="G11" s="177"/>
      <c r="H11" s="176">
        <v>0</v>
      </c>
      <c r="I11" s="143"/>
      <c r="J11" s="152"/>
      <c r="K11" s="191"/>
    </row>
    <row r="12" spans="1:89">
      <c r="A12" s="254" t="s">
        <v>75</v>
      </c>
      <c r="B12" s="143"/>
      <c r="C12" s="143"/>
      <c r="D12" s="143"/>
      <c r="E12" s="143"/>
      <c r="F12" s="143"/>
      <c r="G12" s="177"/>
      <c r="H12" s="176">
        <v>0</v>
      </c>
      <c r="I12" s="143"/>
      <c r="J12" s="152"/>
      <c r="K12" s="191"/>
    </row>
    <row r="13" spans="1:89">
      <c r="A13" s="64" t="s">
        <v>30</v>
      </c>
      <c r="B13" s="143"/>
      <c r="C13" s="143"/>
      <c r="D13" s="143"/>
      <c r="E13" s="143"/>
      <c r="F13" s="143"/>
      <c r="G13" s="177"/>
      <c r="H13" s="176">
        <v>0</v>
      </c>
      <c r="I13" s="143"/>
      <c r="J13" s="152"/>
      <c r="K13" s="191"/>
    </row>
    <row r="14" spans="1:89">
      <c r="A14" s="75" t="s">
        <v>31</v>
      </c>
      <c r="B14" s="143"/>
      <c r="C14" s="143"/>
      <c r="D14" s="143"/>
      <c r="E14" s="143"/>
      <c r="F14" s="143"/>
      <c r="G14" s="177"/>
      <c r="H14" s="176">
        <v>0</v>
      </c>
      <c r="I14" s="143"/>
      <c r="J14" s="152"/>
      <c r="K14" s="191"/>
    </row>
    <row r="15" spans="1:89">
      <c r="A15" s="254" t="s">
        <v>32</v>
      </c>
      <c r="B15" s="143"/>
      <c r="C15" s="143"/>
      <c r="D15" s="143"/>
      <c r="E15" s="143"/>
      <c r="F15" s="143"/>
      <c r="G15" s="177"/>
      <c r="H15" s="176">
        <v>0</v>
      </c>
      <c r="I15" s="143"/>
      <c r="J15" s="152"/>
      <c r="K15" s="191"/>
    </row>
    <row r="16" spans="1:89">
      <c r="A16" s="75" t="s">
        <v>33</v>
      </c>
      <c r="B16" s="26"/>
      <c r="C16" s="26"/>
      <c r="D16" s="26"/>
      <c r="E16" s="26"/>
      <c r="F16" s="26"/>
      <c r="G16" s="175">
        <v>2097520</v>
      </c>
      <c r="H16" s="346"/>
      <c r="I16" s="347"/>
      <c r="J16" s="348"/>
      <c r="K16" s="198"/>
    </row>
    <row r="17" spans="1:11">
      <c r="A17" s="75" t="s">
        <v>35</v>
      </c>
      <c r="B17" s="26"/>
      <c r="C17" s="26"/>
      <c r="D17" s="26"/>
      <c r="E17" s="26"/>
      <c r="F17" s="26"/>
      <c r="G17" s="220">
        <v>416</v>
      </c>
      <c r="H17" s="346">
        <v>0</v>
      </c>
      <c r="I17" s="347"/>
      <c r="J17" s="348"/>
      <c r="K17" s="198"/>
    </row>
    <row r="18" spans="1:11">
      <c r="A18" s="254" t="s">
        <v>37</v>
      </c>
      <c r="B18" s="26"/>
      <c r="C18" s="26"/>
      <c r="D18" s="26"/>
      <c r="E18" s="26"/>
      <c r="F18" s="26"/>
      <c r="G18" s="220">
        <v>208</v>
      </c>
      <c r="H18" s="346">
        <v>0</v>
      </c>
      <c r="I18" s="347"/>
      <c r="J18" s="348"/>
      <c r="K18" s="198"/>
    </row>
    <row r="19" spans="1:11" ht="16.5" customHeight="1">
      <c r="A19" s="254" t="s">
        <v>38</v>
      </c>
      <c r="B19" s="20"/>
      <c r="C19" s="27">
        <v>4325</v>
      </c>
      <c r="D19" s="26"/>
      <c r="E19" s="26"/>
      <c r="F19" s="26"/>
      <c r="G19" s="166">
        <v>9455</v>
      </c>
      <c r="H19" s="291">
        <v>4325</v>
      </c>
      <c r="I19" s="291">
        <v>4325</v>
      </c>
      <c r="J19" s="291">
        <v>4325</v>
      </c>
      <c r="K19" s="242" t="s">
        <v>172</v>
      </c>
    </row>
    <row r="20" spans="1:11">
      <c r="A20" s="254" t="s">
        <v>76</v>
      </c>
      <c r="B20" s="20"/>
      <c r="C20" s="40">
        <v>7209</v>
      </c>
      <c r="D20" s="26"/>
      <c r="E20" s="26"/>
      <c r="F20" s="26"/>
      <c r="G20" s="173"/>
      <c r="H20" s="56">
        <v>7209</v>
      </c>
      <c r="I20" s="56">
        <v>7209</v>
      </c>
      <c r="J20" s="56">
        <v>7209</v>
      </c>
      <c r="K20" s="242"/>
    </row>
    <row r="21" spans="1:11">
      <c r="A21" s="274" t="s">
        <v>39</v>
      </c>
      <c r="B21" s="289"/>
      <c r="C21" s="289"/>
      <c r="D21" s="289"/>
      <c r="E21" s="289"/>
      <c r="F21" s="289"/>
      <c r="G21" s="290"/>
      <c r="H21" s="179">
        <v>0</v>
      </c>
      <c r="I21" s="142"/>
      <c r="J21" s="174"/>
      <c r="K21" s="198"/>
    </row>
    <row r="22" spans="1:11" ht="15" customHeight="1">
      <c r="A22" s="254" t="s">
        <v>40</v>
      </c>
      <c r="B22" s="20"/>
      <c r="C22" s="43">
        <v>120155</v>
      </c>
      <c r="D22" s="26"/>
      <c r="E22" s="26"/>
      <c r="F22" s="26"/>
      <c r="G22" s="175">
        <v>12023</v>
      </c>
      <c r="H22" s="137">
        <v>120155</v>
      </c>
      <c r="I22" s="43">
        <f>G22</f>
        <v>12023</v>
      </c>
      <c r="J22" s="43">
        <v>120155</v>
      </c>
      <c r="K22" s="242" t="s">
        <v>173</v>
      </c>
    </row>
    <row r="23" spans="1:11">
      <c r="A23" s="254" t="s">
        <v>42</v>
      </c>
      <c r="B23" s="20"/>
      <c r="C23" s="40">
        <v>128</v>
      </c>
      <c r="D23" s="26"/>
      <c r="E23" s="26"/>
      <c r="F23" s="26"/>
      <c r="G23" s="173"/>
      <c r="H23" s="56">
        <v>128</v>
      </c>
      <c r="I23" s="56">
        <v>128</v>
      </c>
      <c r="J23" s="56">
        <v>128</v>
      </c>
      <c r="K23" s="242" t="s">
        <v>162</v>
      </c>
    </row>
    <row r="24" spans="1:11">
      <c r="A24" s="64" t="s">
        <v>43</v>
      </c>
      <c r="B24" s="20"/>
      <c r="C24" s="20"/>
      <c r="D24" s="20"/>
      <c r="E24" s="35">
        <v>732</v>
      </c>
      <c r="F24" s="20"/>
      <c r="G24" s="33"/>
      <c r="H24" s="35">
        <v>732</v>
      </c>
      <c r="I24" s="35">
        <v>732</v>
      </c>
      <c r="J24" s="35">
        <v>732</v>
      </c>
      <c r="K24" s="242" t="s">
        <v>162</v>
      </c>
    </row>
    <row r="25" spans="1:11">
      <c r="A25" s="274" t="s">
        <v>44</v>
      </c>
      <c r="B25" s="143"/>
      <c r="C25" s="143"/>
      <c r="D25" s="143"/>
      <c r="E25" s="143"/>
      <c r="F25" s="143"/>
      <c r="G25" s="177"/>
      <c r="H25" s="176">
        <v>0</v>
      </c>
      <c r="I25" s="143"/>
      <c r="J25" s="152"/>
      <c r="K25" s="189"/>
    </row>
    <row r="26" spans="1:11">
      <c r="A26" s="75" t="s">
        <v>45</v>
      </c>
      <c r="B26" s="143"/>
      <c r="C26" s="143"/>
      <c r="D26" s="143"/>
      <c r="E26" s="143"/>
      <c r="F26" s="143"/>
      <c r="G26" s="177"/>
      <c r="H26" s="176">
        <v>0</v>
      </c>
      <c r="I26" s="143"/>
      <c r="J26" s="152"/>
      <c r="K26" s="189"/>
    </row>
    <row r="27" spans="1:11">
      <c r="A27" s="75" t="s">
        <v>46</v>
      </c>
      <c r="B27" s="143"/>
      <c r="C27" s="143"/>
      <c r="D27" s="143"/>
      <c r="E27" s="143"/>
      <c r="F27" s="143"/>
      <c r="G27" s="177"/>
      <c r="H27" s="176">
        <v>0</v>
      </c>
      <c r="I27" s="143"/>
      <c r="J27" s="152"/>
      <c r="K27" s="189"/>
    </row>
    <row r="28" spans="1:11">
      <c r="A28" s="75" t="s">
        <v>47</v>
      </c>
      <c r="B28" s="143"/>
      <c r="C28" s="143"/>
      <c r="D28" s="143"/>
      <c r="E28" s="143"/>
      <c r="F28" s="143"/>
      <c r="G28" s="177"/>
      <c r="H28" s="176">
        <v>0</v>
      </c>
      <c r="I28" s="143"/>
      <c r="J28" s="152"/>
      <c r="K28" s="189"/>
    </row>
    <row r="29" spans="1:11" ht="43.5">
      <c r="A29" s="75" t="s">
        <v>49</v>
      </c>
      <c r="B29" s="27">
        <f>10800+342400+(2000+476000)/2</f>
        <v>592200</v>
      </c>
      <c r="C29" s="27">
        <v>818000</v>
      </c>
      <c r="D29" s="27">
        <v>356000</v>
      </c>
      <c r="E29" s="27">
        <v>136433</v>
      </c>
      <c r="F29" s="26"/>
      <c r="G29" s="173"/>
      <c r="H29" s="62">
        <f>AVERAGE(B29:E29)</f>
        <v>475658.25</v>
      </c>
      <c r="I29" s="61">
        <f>MIN(B29:E29)</f>
        <v>136433</v>
      </c>
      <c r="J29" s="382">
        <f>MAX(B29:E29)</f>
        <v>818000</v>
      </c>
      <c r="K29" s="242" t="s">
        <v>167</v>
      </c>
    </row>
    <row r="30" spans="1:11" ht="58">
      <c r="A30" s="254" t="s">
        <v>51</v>
      </c>
      <c r="B30" s="20"/>
      <c r="C30" s="40">
        <v>64</v>
      </c>
      <c r="D30" s="26"/>
      <c r="E30" s="26"/>
      <c r="F30" s="26"/>
      <c r="G30" s="175">
        <v>0.1</v>
      </c>
      <c r="H30" s="137">
        <v>64</v>
      </c>
      <c r="I30" s="45">
        <f>G30</f>
        <v>0.1</v>
      </c>
      <c r="J30" s="137">
        <v>64</v>
      </c>
      <c r="K30" s="242" t="s">
        <v>173</v>
      </c>
    </row>
    <row r="31" spans="1:11">
      <c r="A31" s="254" t="s">
        <v>52</v>
      </c>
      <c r="B31" s="143"/>
      <c r="C31" s="143"/>
      <c r="D31" s="143"/>
      <c r="E31" s="143"/>
      <c r="F31" s="143"/>
      <c r="G31" s="177"/>
      <c r="H31" s="176">
        <v>0</v>
      </c>
      <c r="I31" s="143"/>
      <c r="J31" s="152"/>
      <c r="K31" s="189"/>
    </row>
    <row r="32" spans="1:11">
      <c r="A32" s="274" t="s">
        <v>54</v>
      </c>
      <c r="B32" s="143"/>
      <c r="C32" s="143"/>
      <c r="D32" s="143"/>
      <c r="E32" s="143"/>
      <c r="F32" s="143"/>
      <c r="G32" s="177"/>
      <c r="H32" s="176">
        <v>0</v>
      </c>
      <c r="I32" s="143"/>
      <c r="J32" s="152"/>
      <c r="K32" s="189"/>
    </row>
    <row r="33" spans="1:11">
      <c r="A33" s="254" t="s">
        <v>55</v>
      </c>
      <c r="B33" s="143"/>
      <c r="C33" s="143"/>
      <c r="D33" s="143"/>
      <c r="E33" s="143"/>
      <c r="F33" s="143"/>
      <c r="G33" s="177"/>
      <c r="H33" s="176">
        <v>0</v>
      </c>
      <c r="I33" s="143"/>
      <c r="J33" s="152"/>
      <c r="K33" s="189"/>
    </row>
    <row r="34" spans="1:11">
      <c r="A34" s="254" t="s">
        <v>56</v>
      </c>
      <c r="B34" s="143"/>
      <c r="C34" s="143"/>
      <c r="D34" s="143"/>
      <c r="E34" s="143"/>
      <c r="F34" s="143"/>
      <c r="G34" s="177"/>
      <c r="H34" s="176">
        <v>0</v>
      </c>
      <c r="I34" s="143"/>
      <c r="J34" s="152"/>
      <c r="K34" s="189"/>
    </row>
    <row r="35" spans="1:11">
      <c r="A35" s="254" t="s">
        <v>77</v>
      </c>
      <c r="B35" s="143"/>
      <c r="C35" s="143"/>
      <c r="D35" s="143"/>
      <c r="E35" s="143"/>
      <c r="F35" s="143"/>
      <c r="G35" s="177"/>
      <c r="H35" s="176">
        <v>0</v>
      </c>
      <c r="I35" s="143"/>
      <c r="J35" s="152"/>
      <c r="K35" s="189"/>
    </row>
    <row r="36" spans="1:11">
      <c r="A36" s="75" t="s">
        <v>57</v>
      </c>
      <c r="B36" s="143"/>
      <c r="C36" s="143"/>
      <c r="D36" s="143"/>
      <c r="E36" s="143"/>
      <c r="F36" s="143"/>
      <c r="G36" s="177"/>
      <c r="H36" s="176">
        <v>0</v>
      </c>
      <c r="I36" s="143"/>
      <c r="J36" s="152"/>
      <c r="K36" s="189"/>
    </row>
    <row r="37" spans="1:11">
      <c r="A37" s="254" t="s">
        <v>58</v>
      </c>
      <c r="B37" s="26"/>
      <c r="C37" s="26"/>
      <c r="D37" s="26"/>
      <c r="E37" s="26"/>
      <c r="F37" s="26"/>
      <c r="G37" s="220">
        <v>1917</v>
      </c>
      <c r="H37" s="383">
        <v>0</v>
      </c>
      <c r="I37" s="384"/>
      <c r="J37" s="385"/>
      <c r="K37" s="200"/>
    </row>
    <row r="38" spans="1:11" ht="15" thickBot="1">
      <c r="A38" s="276" t="s">
        <v>60</v>
      </c>
      <c r="B38" s="186"/>
      <c r="C38" s="186"/>
      <c r="D38" s="186"/>
      <c r="E38" s="186"/>
      <c r="F38" s="186"/>
      <c r="G38" s="187"/>
      <c r="H38" s="185">
        <v>0</v>
      </c>
      <c r="I38" s="186"/>
      <c r="J38" s="327"/>
      <c r="K38" s="345"/>
    </row>
    <row r="39" spans="1:11" s="1" customFormat="1"/>
    <row r="40" spans="1:11" s="1" customFormat="1"/>
    <row r="41" spans="1:11" s="1" customFormat="1"/>
    <row r="42" spans="1:11" s="1" customFormat="1"/>
    <row r="43" spans="1:11" s="1" customFormat="1"/>
    <row r="44" spans="1:11" s="1" customFormat="1"/>
    <row r="45" spans="1:11" s="1" customFormat="1"/>
    <row r="46" spans="1:11" s="1" customFormat="1"/>
    <row r="47" spans="1:11" s="1" customFormat="1"/>
    <row r="48" spans="1:11"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sheetData>
  <mergeCells count="7">
    <mergeCell ref="B1:C1"/>
    <mergeCell ref="H1:H2"/>
    <mergeCell ref="I1:I2"/>
    <mergeCell ref="J1:J2"/>
    <mergeCell ref="E1:E2"/>
    <mergeCell ref="D1:D2"/>
    <mergeCell ref="G1:G2"/>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0FA77-62AD-4B6E-A8C7-E7ED69EB1E5B}">
  <sheetPr>
    <tabColor theme="0" tint="-4.9989318521683403E-2"/>
  </sheetPr>
  <dimension ref="A1:FN284"/>
  <sheetViews>
    <sheetView zoomScale="70" zoomScaleNormal="70" workbookViewId="0">
      <pane xSplit="1" ySplit="2" topLeftCell="B3" activePane="bottomRight" state="frozen"/>
      <selection activeCell="A7" sqref="A7"/>
      <selection pane="topRight" activeCell="A7" sqref="A7"/>
      <selection pane="bottomLeft" activeCell="A7" sqref="A7"/>
      <selection pane="bottomRight" activeCell="K1" sqref="K1"/>
    </sheetView>
  </sheetViews>
  <sheetFormatPr baseColWidth="10" defaultRowHeight="14.5"/>
  <cols>
    <col min="1" max="1" width="14.90625" customWidth="1"/>
    <col min="2" max="3" width="21.26953125" customWidth="1"/>
    <col min="4" max="4" width="23.1796875" customWidth="1"/>
    <col min="5" max="5" width="25.6328125" bestFit="1" customWidth="1"/>
    <col min="6" max="6" width="21.54296875" customWidth="1"/>
    <col min="7" max="7" width="23.36328125" customWidth="1"/>
    <col min="8" max="8" width="13.7265625" bestFit="1" customWidth="1"/>
    <col min="9" max="9" width="15" bestFit="1" customWidth="1"/>
    <col min="10" max="10" width="13.7265625" bestFit="1" customWidth="1"/>
    <col min="11" max="11" width="21.54296875" customWidth="1"/>
    <col min="13" max="13" width="18.81640625" customWidth="1"/>
    <col min="14" max="14" width="25.6328125" bestFit="1" customWidth="1"/>
    <col min="15" max="15" width="17.7265625" bestFit="1" customWidth="1"/>
    <col min="16" max="16" width="18.36328125" bestFit="1" customWidth="1"/>
    <col min="17" max="17" width="18.54296875" customWidth="1"/>
    <col min="22" max="22" width="23.36328125" customWidth="1"/>
    <col min="29" max="29" width="15.36328125" customWidth="1"/>
    <col min="30" max="30" width="17.1796875" customWidth="1"/>
    <col min="31" max="31" width="19.90625" customWidth="1"/>
    <col min="46" max="170" width="10.90625" style="1"/>
  </cols>
  <sheetData>
    <row r="1" spans="1:170" ht="29">
      <c r="A1" s="19" t="s">
        <v>194</v>
      </c>
      <c r="B1" s="169" t="s">
        <v>149</v>
      </c>
      <c r="C1" s="1"/>
      <c r="D1" s="700" t="s">
        <v>78</v>
      </c>
      <c r="E1" s="701"/>
      <c r="F1" s="701"/>
      <c r="G1" s="702"/>
      <c r="H1" s="610" t="s">
        <v>196</v>
      </c>
      <c r="I1" s="622" t="s">
        <v>144</v>
      </c>
      <c r="J1" s="630" t="s">
        <v>145</v>
      </c>
      <c r="K1" s="188" t="s">
        <v>142</v>
      </c>
      <c r="L1" s="6"/>
      <c r="M1" s="697" t="s">
        <v>79</v>
      </c>
      <c r="N1" s="698"/>
      <c r="O1" s="698"/>
      <c r="P1" s="699"/>
      <c r="Q1" s="639" t="s">
        <v>197</v>
      </c>
      <c r="R1" s="622" t="s">
        <v>144</v>
      </c>
      <c r="S1" s="630" t="s">
        <v>145</v>
      </c>
      <c r="T1" s="188" t="s">
        <v>142</v>
      </c>
      <c r="U1" s="6"/>
      <c r="V1" s="703" t="s">
        <v>80</v>
      </c>
      <c r="W1" s="704"/>
      <c r="X1" s="639" t="s">
        <v>198</v>
      </c>
      <c r="Y1" s="622" t="s">
        <v>144</v>
      </c>
      <c r="Z1" s="630" t="s">
        <v>145</v>
      </c>
      <c r="AA1" s="188" t="s">
        <v>142</v>
      </c>
      <c r="AB1" s="151"/>
      <c r="AC1" s="705" t="s">
        <v>81</v>
      </c>
      <c r="AD1" s="706"/>
      <c r="AE1" s="639" t="s">
        <v>199</v>
      </c>
      <c r="AF1" s="622" t="s">
        <v>144</v>
      </c>
      <c r="AG1" s="630" t="s">
        <v>145</v>
      </c>
      <c r="AH1" s="188" t="s">
        <v>142</v>
      </c>
      <c r="AI1" s="1"/>
      <c r="AJ1" s="1"/>
      <c r="AK1" s="1"/>
      <c r="AL1" s="1"/>
      <c r="AM1" s="1"/>
      <c r="AN1" s="1"/>
      <c r="AO1" s="1"/>
      <c r="AP1" s="1"/>
      <c r="AQ1" s="1"/>
      <c r="AR1" s="1"/>
      <c r="AS1" s="1"/>
    </row>
    <row r="2" spans="1:170" s="7" customFormat="1" ht="40.5" customHeight="1" thickBot="1">
      <c r="A2" s="411" t="s">
        <v>150</v>
      </c>
      <c r="B2" s="321" t="s">
        <v>174</v>
      </c>
      <c r="C2" s="6"/>
      <c r="D2" s="312" t="s">
        <v>177</v>
      </c>
      <c r="E2" s="412" t="s">
        <v>178</v>
      </c>
      <c r="F2" s="390" t="s">
        <v>183</v>
      </c>
      <c r="G2" s="297" t="s">
        <v>204</v>
      </c>
      <c r="H2" s="658"/>
      <c r="I2" s="623"/>
      <c r="J2" s="631"/>
      <c r="K2" s="313" t="s">
        <v>132</v>
      </c>
      <c r="L2" s="151"/>
      <c r="M2" s="312" t="s">
        <v>177</v>
      </c>
      <c r="N2" s="412" t="s">
        <v>178</v>
      </c>
      <c r="O2" s="296" t="s">
        <v>183</v>
      </c>
      <c r="P2" s="297" t="s">
        <v>204</v>
      </c>
      <c r="Q2" s="687"/>
      <c r="R2" s="623"/>
      <c r="S2" s="631"/>
      <c r="T2" s="313" t="s">
        <v>132</v>
      </c>
      <c r="U2" s="245"/>
      <c r="V2" s="410" t="s">
        <v>183</v>
      </c>
      <c r="W2" s="297" t="s">
        <v>204</v>
      </c>
      <c r="X2" s="687"/>
      <c r="Y2" s="623"/>
      <c r="Z2" s="631"/>
      <c r="AA2" s="313" t="s">
        <v>132</v>
      </c>
      <c r="AB2" s="245"/>
      <c r="AC2" s="410" t="s">
        <v>183</v>
      </c>
      <c r="AD2" s="7" t="s">
        <v>178</v>
      </c>
      <c r="AE2" s="687"/>
      <c r="AF2" s="623"/>
      <c r="AG2" s="631"/>
      <c r="AH2" s="313" t="s">
        <v>132</v>
      </c>
      <c r="AI2" s="245"/>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row>
    <row r="3" spans="1:170" ht="25.5" customHeight="1">
      <c r="A3" s="21" t="s">
        <v>21</v>
      </c>
      <c r="B3" s="320">
        <v>500</v>
      </c>
      <c r="C3" s="1"/>
      <c r="D3" s="295"/>
      <c r="E3" s="298">
        <f>1000*(79.5*1.3/100)</f>
        <v>1033.5</v>
      </c>
      <c r="F3" s="294"/>
      <c r="G3" s="299"/>
      <c r="H3" s="300">
        <v>500</v>
      </c>
      <c r="I3" s="301">
        <v>500</v>
      </c>
      <c r="J3" s="302">
        <f>1000*(79.5*1.3/100)</f>
        <v>1033.5</v>
      </c>
      <c r="K3" s="303" t="s">
        <v>140</v>
      </c>
      <c r="L3" s="30"/>
      <c r="M3" s="304"/>
      <c r="N3" s="305">
        <f>1000*(17.4*5.3/100)</f>
        <v>922.19999999999982</v>
      </c>
      <c r="O3" s="306"/>
      <c r="P3" s="307">
        <v>527</v>
      </c>
      <c r="Q3" s="308">
        <f>SUM(N3:P3)/2</f>
        <v>724.59999999999991</v>
      </c>
      <c r="R3" s="309">
        <f>MIN(M3:P3)</f>
        <v>527</v>
      </c>
      <c r="S3" s="310">
        <f>MAX(M3:P3)</f>
        <v>922.19999999999982</v>
      </c>
      <c r="T3" s="311" t="s">
        <v>147</v>
      </c>
      <c r="U3" s="1"/>
      <c r="V3" s="304"/>
      <c r="W3" s="314">
        <v>517.6</v>
      </c>
      <c r="X3" s="315">
        <v>517.6</v>
      </c>
      <c r="Y3" s="210">
        <v>517.6</v>
      </c>
      <c r="Z3" s="216">
        <v>517.6</v>
      </c>
      <c r="AA3" s="311" t="s">
        <v>141</v>
      </c>
      <c r="AB3" s="1"/>
      <c r="AC3" s="304"/>
      <c r="AD3" s="316">
        <f>1000*(17.4*5.3/100)</f>
        <v>922.19999999999982</v>
      </c>
      <c r="AE3" s="317">
        <f>1000*(17.4*5.3/100)</f>
        <v>922.19999999999982</v>
      </c>
      <c r="AF3" s="318">
        <f t="shared" ref="AF3:AG3" si="0">1000*(17.4*5.3/100)</f>
        <v>922.19999999999982</v>
      </c>
      <c r="AG3" s="319">
        <f t="shared" si="0"/>
        <v>922.19999999999982</v>
      </c>
      <c r="AH3" s="311" t="s">
        <v>141</v>
      </c>
      <c r="AI3" s="1"/>
      <c r="AJ3" s="1"/>
      <c r="AK3" s="1"/>
      <c r="AL3" s="1"/>
      <c r="AM3" s="1"/>
      <c r="AN3" s="1"/>
      <c r="AO3" s="1"/>
      <c r="AP3" s="1"/>
      <c r="AQ3" s="1"/>
      <c r="AR3" s="1"/>
      <c r="AS3" s="1"/>
    </row>
    <row r="4" spans="1:170">
      <c r="A4" s="37" t="s">
        <v>23</v>
      </c>
      <c r="B4" s="170"/>
      <c r="C4" s="1"/>
      <c r="D4" s="18"/>
      <c r="E4" s="20"/>
      <c r="F4" s="20"/>
      <c r="G4" s="34"/>
      <c r="H4" s="176">
        <v>0</v>
      </c>
      <c r="I4" s="143"/>
      <c r="J4" s="177"/>
      <c r="K4" s="189"/>
      <c r="L4" s="1"/>
      <c r="M4" s="147"/>
      <c r="N4" s="146"/>
      <c r="O4" s="146"/>
      <c r="P4" s="148"/>
      <c r="Q4" s="147">
        <v>0</v>
      </c>
      <c r="R4" s="146"/>
      <c r="S4" s="167"/>
      <c r="T4" s="198"/>
      <c r="U4" s="1"/>
      <c r="V4" s="154"/>
      <c r="W4" s="153"/>
      <c r="X4" s="154">
        <v>0</v>
      </c>
      <c r="Y4" s="109"/>
      <c r="Z4" s="157"/>
      <c r="AA4" s="207"/>
      <c r="AB4" s="1"/>
      <c r="AC4" s="154"/>
      <c r="AD4" s="153"/>
      <c r="AE4" s="154">
        <v>0</v>
      </c>
      <c r="AF4" s="109"/>
      <c r="AG4" s="157"/>
      <c r="AH4" s="207"/>
      <c r="AI4" s="1"/>
      <c r="AJ4" s="1"/>
      <c r="AK4" s="1"/>
      <c r="AL4" s="1"/>
      <c r="AM4" s="1"/>
      <c r="AN4" s="1"/>
      <c r="AO4" s="1"/>
      <c r="AP4" s="1"/>
      <c r="AQ4" s="1"/>
      <c r="AR4" s="1"/>
      <c r="AS4" s="1"/>
    </row>
    <row r="5" spans="1:170">
      <c r="A5" s="37" t="s">
        <v>71</v>
      </c>
      <c r="B5" s="171"/>
      <c r="C5" s="1"/>
      <c r="D5" s="18"/>
      <c r="E5" s="20"/>
      <c r="F5" s="20"/>
      <c r="G5" s="34"/>
      <c r="H5" s="176">
        <v>0</v>
      </c>
      <c r="I5" s="143"/>
      <c r="J5" s="177"/>
      <c r="K5" s="189"/>
      <c r="L5" s="1"/>
      <c r="M5" s="147"/>
      <c r="N5" s="146"/>
      <c r="O5" s="146"/>
      <c r="P5" s="148"/>
      <c r="Q5" s="147">
        <v>0</v>
      </c>
      <c r="R5" s="146"/>
      <c r="S5" s="167"/>
      <c r="T5" s="198"/>
      <c r="U5" s="1"/>
      <c r="V5" s="154"/>
      <c r="W5" s="153"/>
      <c r="X5" s="154">
        <v>0</v>
      </c>
      <c r="Y5" s="109"/>
      <c r="Z5" s="157"/>
      <c r="AA5" s="207"/>
      <c r="AB5" s="1"/>
      <c r="AC5" s="154"/>
      <c r="AD5" s="153"/>
      <c r="AE5" s="154">
        <v>0</v>
      </c>
      <c r="AF5" s="109"/>
      <c r="AG5" s="157"/>
      <c r="AH5" s="207"/>
      <c r="AI5" s="1"/>
      <c r="AJ5" s="1"/>
      <c r="AK5" s="1"/>
      <c r="AL5" s="1"/>
      <c r="AM5" s="1"/>
      <c r="AN5" s="1"/>
      <c r="AO5" s="1"/>
      <c r="AP5" s="1"/>
      <c r="AQ5" s="1"/>
      <c r="AR5" s="1"/>
      <c r="AS5" s="1"/>
    </row>
    <row r="6" spans="1:170" ht="43.5">
      <c r="A6" s="21" t="s">
        <v>72</v>
      </c>
      <c r="B6" s="170"/>
      <c r="C6" s="1"/>
      <c r="D6" s="53">
        <v>307.5</v>
      </c>
      <c r="E6" s="26"/>
      <c r="F6" s="26"/>
      <c r="G6" s="87"/>
      <c r="H6" s="56">
        <v>307.5</v>
      </c>
      <c r="I6" s="105">
        <v>307.5</v>
      </c>
      <c r="J6" s="178">
        <v>307.5</v>
      </c>
      <c r="K6" s="190" t="s">
        <v>141</v>
      </c>
      <c r="L6" s="30"/>
      <c r="M6" s="75">
        <v>48.34</v>
      </c>
      <c r="N6" s="20"/>
      <c r="O6" s="20"/>
      <c r="P6" s="37">
        <v>57</v>
      </c>
      <c r="Q6" s="102">
        <f>SUM(M6:P6)/2</f>
        <v>52.67</v>
      </c>
      <c r="R6" s="96">
        <f>MIN(M6:P6)</f>
        <v>48.34</v>
      </c>
      <c r="S6" s="194">
        <f>MAX(M6:P6)</f>
        <v>57</v>
      </c>
      <c r="T6" s="190" t="s">
        <v>147</v>
      </c>
      <c r="U6" s="1"/>
      <c r="V6" s="18"/>
      <c r="W6" s="51">
        <v>904</v>
      </c>
      <c r="X6" s="103">
        <v>904</v>
      </c>
      <c r="Y6" s="97">
        <v>904</v>
      </c>
      <c r="Z6" s="197">
        <v>904</v>
      </c>
      <c r="AA6" s="190" t="s">
        <v>141</v>
      </c>
      <c r="AB6" s="1"/>
      <c r="AC6" s="154"/>
      <c r="AD6" s="153"/>
      <c r="AE6" s="155">
        <v>0</v>
      </c>
      <c r="AF6" s="159"/>
      <c r="AG6" s="206"/>
      <c r="AH6" s="207"/>
      <c r="AI6" s="1"/>
      <c r="AJ6" s="1"/>
      <c r="AK6" s="1"/>
      <c r="AL6" s="1"/>
      <c r="AM6" s="1"/>
      <c r="AN6" s="1"/>
      <c r="AO6" s="1"/>
      <c r="AP6" s="1"/>
      <c r="AQ6" s="1"/>
      <c r="AR6" s="1"/>
      <c r="AS6" s="1"/>
    </row>
    <row r="7" spans="1:170">
      <c r="A7" s="21" t="s">
        <v>73</v>
      </c>
      <c r="B7" s="170"/>
      <c r="C7" s="1"/>
      <c r="D7" s="53">
        <v>201.46</v>
      </c>
      <c r="E7" s="26"/>
      <c r="F7" s="26"/>
      <c r="G7" s="87"/>
      <c r="H7" s="56">
        <v>201.46</v>
      </c>
      <c r="I7" s="105">
        <v>201.46</v>
      </c>
      <c r="J7" s="178">
        <v>201.46</v>
      </c>
      <c r="K7" s="190" t="s">
        <v>141</v>
      </c>
      <c r="L7" s="30"/>
      <c r="M7" s="81">
        <v>1.8</v>
      </c>
      <c r="N7" s="20"/>
      <c r="O7" s="20"/>
      <c r="P7" s="34"/>
      <c r="Q7" s="80">
        <v>0</v>
      </c>
      <c r="R7" s="67"/>
      <c r="S7" s="195"/>
      <c r="T7" s="199"/>
      <c r="U7" s="1"/>
      <c r="V7" s="154"/>
      <c r="W7" s="153"/>
      <c r="X7" s="155">
        <v>0</v>
      </c>
      <c r="Y7" s="156"/>
      <c r="Z7" s="205"/>
      <c r="AA7" s="207"/>
      <c r="AB7" s="1"/>
      <c r="AC7" s="154"/>
      <c r="AD7" s="153"/>
      <c r="AE7" s="155">
        <v>0</v>
      </c>
      <c r="AF7" s="159"/>
      <c r="AG7" s="206"/>
      <c r="AH7" s="207"/>
      <c r="AI7" s="1"/>
      <c r="AJ7" s="1"/>
      <c r="AK7" s="1"/>
      <c r="AL7" s="1"/>
      <c r="AM7" s="1"/>
      <c r="AN7" s="1"/>
      <c r="AO7" s="1"/>
      <c r="AP7" s="1"/>
      <c r="AQ7" s="1"/>
      <c r="AR7" s="1"/>
      <c r="AS7" s="1"/>
    </row>
    <row r="8" spans="1:170">
      <c r="A8" s="52" t="s">
        <v>25</v>
      </c>
      <c r="B8" s="171"/>
      <c r="C8" s="1"/>
      <c r="D8" s="18"/>
      <c r="E8" s="20"/>
      <c r="F8" s="20"/>
      <c r="G8" s="34"/>
      <c r="H8" s="176">
        <v>0</v>
      </c>
      <c r="I8" s="143"/>
      <c r="J8" s="177"/>
      <c r="K8" s="191"/>
      <c r="M8" s="147"/>
      <c r="N8" s="146"/>
      <c r="O8" s="146"/>
      <c r="P8" s="148"/>
      <c r="Q8" s="147">
        <v>0</v>
      </c>
      <c r="R8" s="146"/>
      <c r="S8" s="167"/>
      <c r="T8" s="198"/>
      <c r="U8" s="1"/>
      <c r="V8" s="154"/>
      <c r="W8" s="153"/>
      <c r="X8" s="154">
        <v>0</v>
      </c>
      <c r="Y8" s="158"/>
      <c r="Z8" s="204"/>
      <c r="AA8" s="207"/>
      <c r="AB8" s="1"/>
      <c r="AC8" s="154"/>
      <c r="AD8" s="153"/>
      <c r="AE8" s="154">
        <v>0</v>
      </c>
      <c r="AF8" s="109"/>
      <c r="AG8" s="157"/>
      <c r="AH8" s="207"/>
      <c r="AI8" s="1"/>
      <c r="AJ8" s="1"/>
      <c r="AK8" s="1"/>
      <c r="AL8" s="1"/>
      <c r="AM8" s="1"/>
      <c r="AN8" s="1"/>
      <c r="AO8" s="1"/>
      <c r="AP8" s="1"/>
      <c r="AQ8" s="1"/>
      <c r="AR8" s="1"/>
      <c r="AS8" s="1"/>
    </row>
    <row r="9" spans="1:170" ht="21.5" customHeight="1">
      <c r="A9" s="21" t="s">
        <v>74</v>
      </c>
      <c r="B9" s="84">
        <v>90</v>
      </c>
      <c r="C9" s="1"/>
      <c r="D9" s="69">
        <v>1150</v>
      </c>
      <c r="E9" s="27">
        <f>1000*(79.5*1.9/100)</f>
        <v>1510.4999999999998</v>
      </c>
      <c r="F9" s="27">
        <v>890</v>
      </c>
      <c r="G9" s="87"/>
      <c r="H9" s="63">
        <f>AVERAGE(D9:F9)</f>
        <v>1183.5</v>
      </c>
      <c r="I9" s="91">
        <v>90</v>
      </c>
      <c r="J9" s="166">
        <f>MAX(D9:F9)</f>
        <v>1510.4999999999998</v>
      </c>
      <c r="K9" s="190" t="s">
        <v>146</v>
      </c>
      <c r="L9" s="30"/>
      <c r="M9" s="75">
        <v>1100</v>
      </c>
      <c r="N9" s="28">
        <f>1000*(17.4*5.3/100)</f>
        <v>922.19999999999982</v>
      </c>
      <c r="O9" s="28">
        <v>1110</v>
      </c>
      <c r="P9" s="37">
        <v>684</v>
      </c>
      <c r="Q9" s="102">
        <f>SUM(M9:P9)/4</f>
        <v>954.05</v>
      </c>
      <c r="R9" s="96">
        <f>MIN(M9:P9)</f>
        <v>684</v>
      </c>
      <c r="S9" s="194">
        <f>MAX(M9:P9)</f>
        <v>1110</v>
      </c>
      <c r="T9" s="190" t="s">
        <v>147</v>
      </c>
      <c r="U9" s="1"/>
      <c r="V9" s="75">
        <v>1100</v>
      </c>
      <c r="W9" s="37">
        <v>1513</v>
      </c>
      <c r="X9" s="102">
        <f>SUM(V9:W9)/2</f>
        <v>1306.5</v>
      </c>
      <c r="Y9" s="96">
        <f>MIN(T9:W9)</f>
        <v>1100</v>
      </c>
      <c r="Z9" s="194">
        <f>MAX(T9:W9)</f>
        <v>1513</v>
      </c>
      <c r="AA9" s="190" t="s">
        <v>147</v>
      </c>
      <c r="AB9" s="1"/>
      <c r="AC9" s="75">
        <v>1110</v>
      </c>
      <c r="AD9" s="59">
        <f>1000*(17.4*5.3/100)</f>
        <v>922.19999999999982</v>
      </c>
      <c r="AE9" s="68">
        <f>SUM(AC9:AD9)/2</f>
        <v>1016.0999999999999</v>
      </c>
      <c r="AF9" s="96">
        <f>MIN(AA9:AD9)</f>
        <v>922.19999999999982</v>
      </c>
      <c r="AG9" s="194">
        <f>MAX(AA9:AD9)</f>
        <v>1110</v>
      </c>
      <c r="AH9" s="190" t="s">
        <v>147</v>
      </c>
      <c r="AI9" s="1"/>
      <c r="AJ9" s="1"/>
      <c r="AK9" s="1"/>
      <c r="AL9" s="1"/>
      <c r="AM9" s="1"/>
      <c r="AN9" s="1"/>
      <c r="AO9" s="1"/>
      <c r="AP9" s="1"/>
      <c r="AQ9" s="1"/>
      <c r="AR9" s="1"/>
      <c r="AS9" s="1"/>
    </row>
    <row r="10" spans="1:170">
      <c r="A10" s="66" t="s">
        <v>28</v>
      </c>
      <c r="B10" s="170"/>
      <c r="C10" s="1"/>
      <c r="D10" s="82"/>
      <c r="E10" s="26"/>
      <c r="F10" s="26"/>
      <c r="G10" s="87"/>
      <c r="H10" s="179">
        <v>0</v>
      </c>
      <c r="I10" s="142"/>
      <c r="J10" s="180"/>
      <c r="K10" s="192"/>
      <c r="L10" s="30"/>
      <c r="M10" s="147"/>
      <c r="N10" s="146"/>
      <c r="O10" s="146"/>
      <c r="P10" s="148"/>
      <c r="Q10" s="149">
        <v>0</v>
      </c>
      <c r="R10" s="150"/>
      <c r="S10" s="196"/>
      <c r="T10" s="198"/>
      <c r="U10" s="1"/>
      <c r="V10" s="154"/>
      <c r="W10" s="153"/>
      <c r="X10" s="155">
        <v>0</v>
      </c>
      <c r="Y10" s="156"/>
      <c r="Z10" s="205"/>
      <c r="AA10" s="207"/>
      <c r="AB10" s="1"/>
      <c r="AC10" s="154"/>
      <c r="AD10" s="153"/>
      <c r="AE10" s="155">
        <v>0</v>
      </c>
      <c r="AF10" s="159"/>
      <c r="AG10" s="206"/>
      <c r="AH10" s="207"/>
      <c r="AI10" s="1"/>
      <c r="AJ10" s="1"/>
      <c r="AK10" s="1"/>
      <c r="AL10" s="1"/>
      <c r="AM10" s="1"/>
      <c r="AN10" s="1"/>
      <c r="AO10" s="1"/>
      <c r="AP10" s="1"/>
      <c r="AQ10" s="1"/>
      <c r="AR10" s="1"/>
      <c r="AS10" s="1"/>
    </row>
    <row r="11" spans="1:170">
      <c r="A11" s="21" t="s">
        <v>29</v>
      </c>
      <c r="B11" s="171"/>
      <c r="C11" s="1"/>
      <c r="D11" s="18"/>
      <c r="E11" s="20"/>
      <c r="F11" s="20"/>
      <c r="G11" s="34"/>
      <c r="H11" s="176">
        <v>0</v>
      </c>
      <c r="I11" s="143"/>
      <c r="J11" s="177"/>
      <c r="K11" s="191"/>
      <c r="L11" s="1"/>
      <c r="M11" s="147"/>
      <c r="N11" s="146"/>
      <c r="O11" s="146"/>
      <c r="P11" s="148"/>
      <c r="Q11" s="147">
        <v>0</v>
      </c>
      <c r="R11" s="146"/>
      <c r="S11" s="167"/>
      <c r="T11" s="198"/>
      <c r="U11" s="1"/>
      <c r="V11" s="154"/>
      <c r="W11" s="153"/>
      <c r="X11" s="154">
        <v>0</v>
      </c>
      <c r="Y11" s="109"/>
      <c r="Z11" s="157"/>
      <c r="AA11" s="207"/>
      <c r="AB11" s="1"/>
      <c r="AC11" s="154"/>
      <c r="AD11" s="153"/>
      <c r="AE11" s="154">
        <v>0</v>
      </c>
      <c r="AF11" s="109"/>
      <c r="AG11" s="157"/>
      <c r="AH11" s="207"/>
      <c r="AI11" s="1"/>
      <c r="AJ11" s="1"/>
      <c r="AK11" s="1"/>
      <c r="AL11" s="1"/>
      <c r="AM11" s="1"/>
      <c r="AN11" s="1"/>
      <c r="AO11" s="1"/>
      <c r="AP11" s="1"/>
      <c r="AQ11" s="1"/>
      <c r="AR11" s="1"/>
      <c r="AS11" s="1"/>
    </row>
    <row r="12" spans="1:170">
      <c r="A12" s="21" t="s">
        <v>75</v>
      </c>
      <c r="B12" s="171"/>
      <c r="C12" s="1"/>
      <c r="D12" s="18"/>
      <c r="E12" s="20"/>
      <c r="F12" s="20"/>
      <c r="G12" s="34"/>
      <c r="H12" s="176">
        <v>0</v>
      </c>
      <c r="I12" s="143"/>
      <c r="J12" s="177"/>
      <c r="K12" s="191"/>
      <c r="L12" s="1"/>
      <c r="M12" s="147"/>
      <c r="N12" s="146"/>
      <c r="O12" s="146"/>
      <c r="P12" s="148"/>
      <c r="Q12" s="147">
        <v>0</v>
      </c>
      <c r="R12" s="146"/>
      <c r="S12" s="167"/>
      <c r="T12" s="198"/>
      <c r="U12" s="1"/>
      <c r="V12" s="154"/>
      <c r="W12" s="153"/>
      <c r="X12" s="154">
        <v>0</v>
      </c>
      <c r="Y12" s="109"/>
      <c r="Z12" s="157"/>
      <c r="AA12" s="207"/>
      <c r="AB12" s="1"/>
      <c r="AC12" s="154"/>
      <c r="AD12" s="153"/>
      <c r="AE12" s="154">
        <v>0</v>
      </c>
      <c r="AF12" s="109"/>
      <c r="AG12" s="157"/>
      <c r="AH12" s="207"/>
      <c r="AI12" s="1"/>
      <c r="AJ12" s="1"/>
      <c r="AK12" s="1"/>
      <c r="AL12" s="1"/>
      <c r="AM12" s="1"/>
      <c r="AN12" s="1"/>
      <c r="AO12" s="1"/>
      <c r="AP12" s="1"/>
      <c r="AQ12" s="1"/>
      <c r="AR12" s="1"/>
      <c r="AS12" s="1"/>
    </row>
    <row r="13" spans="1:170">
      <c r="A13" s="52" t="s">
        <v>30</v>
      </c>
      <c r="B13" s="171"/>
      <c r="C13" s="1"/>
      <c r="D13" s="18"/>
      <c r="E13" s="20"/>
      <c r="F13" s="20"/>
      <c r="G13" s="34"/>
      <c r="H13" s="176">
        <v>0</v>
      </c>
      <c r="I13" s="143"/>
      <c r="J13" s="177"/>
      <c r="K13" s="191"/>
      <c r="L13" s="1"/>
      <c r="M13" s="147"/>
      <c r="N13" s="146"/>
      <c r="O13" s="146"/>
      <c r="P13" s="148"/>
      <c r="Q13" s="147">
        <v>0</v>
      </c>
      <c r="R13" s="146"/>
      <c r="S13" s="167"/>
      <c r="T13" s="198"/>
      <c r="U13" s="1"/>
      <c r="V13" s="154"/>
      <c r="W13" s="153"/>
      <c r="X13" s="154">
        <v>0</v>
      </c>
      <c r="Y13" s="109"/>
      <c r="Z13" s="157"/>
      <c r="AA13" s="207"/>
      <c r="AB13" s="1"/>
      <c r="AC13" s="154"/>
      <c r="AD13" s="153"/>
      <c r="AE13" s="154">
        <v>0</v>
      </c>
      <c r="AF13" s="109"/>
      <c r="AG13" s="157"/>
      <c r="AH13" s="207"/>
      <c r="AI13" s="1"/>
      <c r="AJ13" s="1"/>
      <c r="AK13" s="1"/>
      <c r="AL13" s="1"/>
      <c r="AM13" s="1"/>
      <c r="AN13" s="1"/>
      <c r="AO13" s="1"/>
      <c r="AP13" s="1"/>
      <c r="AQ13" s="1"/>
      <c r="AR13" s="1"/>
      <c r="AS13" s="1"/>
    </row>
    <row r="14" spans="1:170">
      <c r="A14" s="37" t="s">
        <v>31</v>
      </c>
      <c r="B14" s="171"/>
      <c r="C14" s="1"/>
      <c r="D14" s="18"/>
      <c r="E14" s="20"/>
      <c r="F14" s="20"/>
      <c r="G14" s="34"/>
      <c r="H14" s="176">
        <v>0</v>
      </c>
      <c r="I14" s="143"/>
      <c r="J14" s="177"/>
      <c r="K14" s="191"/>
      <c r="L14" s="1"/>
      <c r="M14" s="147"/>
      <c r="N14" s="146"/>
      <c r="O14" s="146"/>
      <c r="P14" s="148"/>
      <c r="Q14" s="147">
        <v>0</v>
      </c>
      <c r="R14" s="146"/>
      <c r="S14" s="167"/>
      <c r="T14" s="198"/>
      <c r="U14" s="1"/>
      <c r="V14" s="154"/>
      <c r="W14" s="153"/>
      <c r="X14" s="154">
        <v>0</v>
      </c>
      <c r="Y14" s="109"/>
      <c r="Z14" s="157"/>
      <c r="AA14" s="207"/>
      <c r="AB14" s="1"/>
      <c r="AC14" s="154"/>
      <c r="AD14" s="153"/>
      <c r="AE14" s="154">
        <v>0</v>
      </c>
      <c r="AF14" s="109"/>
      <c r="AG14" s="157"/>
      <c r="AH14" s="207"/>
      <c r="AI14" s="1"/>
      <c r="AJ14" s="1"/>
      <c r="AK14" s="1"/>
      <c r="AL14" s="1"/>
      <c r="AM14" s="1"/>
      <c r="AN14" s="1"/>
      <c r="AO14" s="1"/>
      <c r="AP14" s="1"/>
      <c r="AQ14" s="1"/>
      <c r="AR14" s="1"/>
      <c r="AS14" s="1"/>
    </row>
    <row r="15" spans="1:170">
      <c r="A15" s="21" t="s">
        <v>32</v>
      </c>
      <c r="B15" s="170"/>
      <c r="C15" s="1"/>
      <c r="D15" s="18"/>
      <c r="E15" s="20"/>
      <c r="F15" s="20"/>
      <c r="G15" s="34"/>
      <c r="H15" s="176">
        <v>0</v>
      </c>
      <c r="I15" s="143"/>
      <c r="J15" s="177"/>
      <c r="K15" s="191"/>
      <c r="L15" s="1"/>
      <c r="M15" s="147"/>
      <c r="N15" s="146"/>
      <c r="O15" s="146"/>
      <c r="P15" s="148"/>
      <c r="Q15" s="147">
        <v>0</v>
      </c>
      <c r="R15" s="146"/>
      <c r="S15" s="167"/>
      <c r="T15" s="200"/>
      <c r="U15" s="1"/>
      <c r="V15" s="154"/>
      <c r="W15" s="153"/>
      <c r="X15" s="154">
        <v>0</v>
      </c>
      <c r="Y15" s="109"/>
      <c r="Z15" s="157"/>
      <c r="AA15" s="207"/>
      <c r="AB15" s="1"/>
      <c r="AC15" s="154"/>
      <c r="AD15" s="153"/>
      <c r="AE15" s="154">
        <v>0</v>
      </c>
      <c r="AF15" s="109"/>
      <c r="AG15" s="157"/>
      <c r="AH15" s="207"/>
      <c r="AI15" s="1"/>
      <c r="AJ15" s="1"/>
      <c r="AK15" s="1"/>
      <c r="AL15" s="1"/>
      <c r="AM15" s="1"/>
      <c r="AN15" s="1"/>
      <c r="AO15" s="1"/>
      <c r="AP15" s="1"/>
      <c r="AQ15" s="1"/>
      <c r="AR15" s="1"/>
      <c r="AS15" s="1"/>
    </row>
    <row r="16" spans="1:170" ht="29">
      <c r="A16" s="37" t="s">
        <v>33</v>
      </c>
      <c r="B16" s="170"/>
      <c r="C16" s="1"/>
      <c r="D16" s="82"/>
      <c r="E16" s="26"/>
      <c r="F16" s="26"/>
      <c r="G16" s="87"/>
      <c r="H16" s="179">
        <v>0</v>
      </c>
      <c r="I16" s="142"/>
      <c r="J16" s="180"/>
      <c r="K16" s="192"/>
      <c r="L16" s="30"/>
      <c r="M16" s="18"/>
      <c r="N16" s="20"/>
      <c r="O16" s="20"/>
      <c r="P16" s="51">
        <v>6341</v>
      </c>
      <c r="Q16" s="103">
        <v>6341</v>
      </c>
      <c r="R16" s="97">
        <v>6341</v>
      </c>
      <c r="S16" s="197">
        <v>6341</v>
      </c>
      <c r="T16" s="190" t="s">
        <v>141</v>
      </c>
      <c r="U16" s="1"/>
      <c r="V16" s="18"/>
      <c r="W16" s="51">
        <v>78791</v>
      </c>
      <c r="X16" s="103">
        <v>78791</v>
      </c>
      <c r="Y16" s="97">
        <v>78791</v>
      </c>
      <c r="Z16" s="197">
        <v>78791</v>
      </c>
      <c r="AA16" s="190" t="s">
        <v>141</v>
      </c>
      <c r="AB16" s="1"/>
      <c r="AC16" s="154"/>
      <c r="AD16" s="153"/>
      <c r="AE16" s="155">
        <v>0</v>
      </c>
      <c r="AF16" s="159"/>
      <c r="AG16" s="206"/>
      <c r="AH16" s="207"/>
      <c r="AI16" s="1"/>
      <c r="AJ16" s="1"/>
      <c r="AK16" s="1"/>
      <c r="AL16" s="1"/>
      <c r="AM16" s="1"/>
      <c r="AN16" s="1"/>
      <c r="AO16" s="1"/>
      <c r="AP16" s="1"/>
      <c r="AQ16" s="1"/>
      <c r="AR16" s="1"/>
      <c r="AS16" s="1"/>
    </row>
    <row r="17" spans="1:45" ht="29">
      <c r="A17" s="37" t="s">
        <v>35</v>
      </c>
      <c r="B17" s="170"/>
      <c r="C17" s="1"/>
      <c r="D17" s="82"/>
      <c r="E17" s="26"/>
      <c r="F17" s="26"/>
      <c r="G17" s="87"/>
      <c r="H17" s="179">
        <v>0</v>
      </c>
      <c r="I17" s="142"/>
      <c r="J17" s="180"/>
      <c r="K17" s="192"/>
      <c r="L17" s="30"/>
      <c r="M17" s="18"/>
      <c r="N17" s="20"/>
      <c r="O17" s="20"/>
      <c r="P17" s="51">
        <v>5</v>
      </c>
      <c r="Q17" s="103">
        <v>5</v>
      </c>
      <c r="R17" s="97">
        <v>5</v>
      </c>
      <c r="S17" s="197">
        <v>5</v>
      </c>
      <c r="T17" s="190" t="s">
        <v>141</v>
      </c>
      <c r="U17" s="1"/>
      <c r="V17" s="18"/>
      <c r="W17" s="51">
        <v>9</v>
      </c>
      <c r="X17" s="103">
        <v>9</v>
      </c>
      <c r="Y17" s="97">
        <v>9</v>
      </c>
      <c r="Z17" s="197">
        <v>9</v>
      </c>
      <c r="AA17" s="190" t="s">
        <v>141</v>
      </c>
      <c r="AB17" s="1"/>
      <c r="AC17" s="154"/>
      <c r="AD17" s="153"/>
      <c r="AE17" s="155">
        <v>0</v>
      </c>
      <c r="AF17" s="159"/>
      <c r="AG17" s="206"/>
      <c r="AH17" s="207"/>
      <c r="AI17" s="1"/>
      <c r="AJ17" s="1"/>
      <c r="AK17" s="1"/>
      <c r="AL17" s="1"/>
      <c r="AM17" s="1"/>
      <c r="AN17" s="1"/>
      <c r="AO17" s="1"/>
      <c r="AP17" s="1"/>
      <c r="AQ17" s="1"/>
      <c r="AR17" s="1"/>
      <c r="AS17" s="1"/>
    </row>
    <row r="18" spans="1:45" ht="29">
      <c r="A18" s="21" t="s">
        <v>37</v>
      </c>
      <c r="B18" s="170"/>
      <c r="C18" s="1"/>
      <c r="D18" s="82"/>
      <c r="E18" s="26"/>
      <c r="F18" s="26"/>
      <c r="G18" s="87"/>
      <c r="H18" s="179">
        <v>0</v>
      </c>
      <c r="I18" s="142"/>
      <c r="J18" s="180"/>
      <c r="K18" s="192"/>
      <c r="L18" s="30"/>
      <c r="M18" s="18"/>
      <c r="N18" s="20"/>
      <c r="O18" s="20"/>
      <c r="P18" s="51">
        <v>2</v>
      </c>
      <c r="Q18" s="103">
        <v>2</v>
      </c>
      <c r="R18" s="97">
        <v>2</v>
      </c>
      <c r="S18" s="197">
        <v>2</v>
      </c>
      <c r="T18" s="190" t="s">
        <v>141</v>
      </c>
      <c r="U18" s="1"/>
      <c r="V18" s="154"/>
      <c r="W18" s="153"/>
      <c r="X18" s="155">
        <v>0</v>
      </c>
      <c r="Y18" s="159"/>
      <c r="Z18" s="206"/>
      <c r="AA18" s="207"/>
      <c r="AB18" s="1"/>
      <c r="AC18" s="154"/>
      <c r="AD18" s="153"/>
      <c r="AE18" s="155">
        <v>0</v>
      </c>
      <c r="AF18" s="159"/>
      <c r="AG18" s="206"/>
      <c r="AH18" s="207"/>
      <c r="AI18" s="1"/>
      <c r="AJ18" s="1"/>
      <c r="AK18" s="1"/>
      <c r="AL18" s="1"/>
      <c r="AM18" s="1"/>
      <c r="AN18" s="1"/>
      <c r="AO18" s="1"/>
      <c r="AP18" s="1"/>
      <c r="AQ18" s="1"/>
      <c r="AR18" s="1"/>
      <c r="AS18" s="1"/>
    </row>
    <row r="19" spans="1:45" ht="29">
      <c r="A19" s="21" t="s">
        <v>38</v>
      </c>
      <c r="B19" s="170"/>
      <c r="C19" s="1"/>
      <c r="D19" s="53">
        <v>4.63</v>
      </c>
      <c r="E19" s="26"/>
      <c r="F19" s="26"/>
      <c r="G19" s="87"/>
      <c r="H19" s="140">
        <v>4.63</v>
      </c>
      <c r="I19" s="104">
        <v>4.63</v>
      </c>
      <c r="J19" s="141">
        <v>4.63</v>
      </c>
      <c r="K19" s="190" t="s">
        <v>141</v>
      </c>
      <c r="L19" s="30"/>
      <c r="M19" s="18"/>
      <c r="N19" s="20"/>
      <c r="O19" s="20"/>
      <c r="P19" s="51">
        <v>27</v>
      </c>
      <c r="Q19" s="103">
        <v>27</v>
      </c>
      <c r="R19" s="97">
        <v>27</v>
      </c>
      <c r="S19" s="197">
        <v>27</v>
      </c>
      <c r="T19" s="190" t="s">
        <v>141</v>
      </c>
      <c r="U19" s="1"/>
      <c r="V19" s="18"/>
      <c r="W19" s="51">
        <v>359</v>
      </c>
      <c r="X19" s="103">
        <v>359</v>
      </c>
      <c r="Y19" s="97">
        <v>359</v>
      </c>
      <c r="Z19" s="197">
        <v>359</v>
      </c>
      <c r="AA19" s="190" t="s">
        <v>141</v>
      </c>
      <c r="AB19" s="1"/>
      <c r="AC19" s="154"/>
      <c r="AD19" s="153"/>
      <c r="AE19" s="155">
        <v>0</v>
      </c>
      <c r="AF19" s="159"/>
      <c r="AG19" s="206"/>
      <c r="AH19" s="207"/>
      <c r="AI19" s="1"/>
      <c r="AJ19" s="1"/>
      <c r="AK19" s="1"/>
      <c r="AL19" s="1"/>
      <c r="AM19" s="1"/>
      <c r="AN19" s="1"/>
      <c r="AO19" s="1"/>
      <c r="AP19" s="1"/>
      <c r="AQ19" s="1"/>
      <c r="AR19" s="1"/>
      <c r="AS19" s="1"/>
    </row>
    <row r="20" spans="1:45">
      <c r="A20" s="21" t="s">
        <v>76</v>
      </c>
      <c r="B20" s="170"/>
      <c r="C20" s="1"/>
      <c r="D20" s="18"/>
      <c r="E20" s="20"/>
      <c r="F20" s="20"/>
      <c r="G20" s="34"/>
      <c r="H20" s="176">
        <v>0</v>
      </c>
      <c r="I20" s="143"/>
      <c r="J20" s="177"/>
      <c r="K20" s="191"/>
      <c r="L20" s="1"/>
      <c r="M20" s="147"/>
      <c r="N20" s="146"/>
      <c r="O20" s="146"/>
      <c r="P20" s="148"/>
      <c r="Q20" s="147">
        <v>0</v>
      </c>
      <c r="R20" s="146"/>
      <c r="S20" s="167"/>
      <c r="T20" s="198"/>
      <c r="U20" s="1"/>
      <c r="V20" s="154"/>
      <c r="W20" s="153"/>
      <c r="X20" s="154">
        <v>0</v>
      </c>
      <c r="Y20" s="109"/>
      <c r="Z20" s="157"/>
      <c r="AA20" s="207"/>
      <c r="AB20" s="1"/>
      <c r="AC20" s="154"/>
      <c r="AD20" s="153"/>
      <c r="AE20" s="154">
        <v>0</v>
      </c>
      <c r="AF20" s="109"/>
      <c r="AG20" s="157"/>
      <c r="AH20" s="207"/>
      <c r="AI20" s="1"/>
      <c r="AJ20" s="1"/>
      <c r="AK20" s="1"/>
      <c r="AL20" s="1"/>
      <c r="AM20" s="1"/>
      <c r="AN20" s="1"/>
      <c r="AO20" s="1"/>
      <c r="AP20" s="1"/>
      <c r="AQ20" s="1"/>
      <c r="AR20" s="1"/>
      <c r="AS20" s="1"/>
    </row>
    <row r="21" spans="1:45">
      <c r="A21" s="66" t="s">
        <v>39</v>
      </c>
      <c r="B21" s="170"/>
      <c r="C21" s="1"/>
      <c r="D21" s="82"/>
      <c r="E21" s="26"/>
      <c r="F21" s="26"/>
      <c r="G21" s="87"/>
      <c r="H21" s="179">
        <v>0</v>
      </c>
      <c r="I21" s="142"/>
      <c r="J21" s="180"/>
      <c r="K21" s="192"/>
      <c r="L21" s="30"/>
      <c r="M21" s="147"/>
      <c r="N21" s="146"/>
      <c r="O21" s="146"/>
      <c r="P21" s="148"/>
      <c r="Q21" s="149">
        <v>0</v>
      </c>
      <c r="R21" s="150"/>
      <c r="S21" s="196"/>
      <c r="T21" s="198"/>
      <c r="U21" s="1"/>
      <c r="V21" s="154"/>
      <c r="W21" s="153"/>
      <c r="X21" s="155">
        <v>0</v>
      </c>
      <c r="Y21" s="159"/>
      <c r="Z21" s="206"/>
      <c r="AA21" s="207"/>
      <c r="AB21" s="1"/>
      <c r="AC21" s="154"/>
      <c r="AD21" s="153"/>
      <c r="AE21" s="155">
        <v>0</v>
      </c>
      <c r="AF21" s="159"/>
      <c r="AG21" s="206"/>
      <c r="AH21" s="207"/>
      <c r="AI21" s="1"/>
      <c r="AJ21" s="1"/>
      <c r="AK21" s="1"/>
      <c r="AL21" s="1"/>
      <c r="AM21" s="1"/>
      <c r="AN21" s="1"/>
      <c r="AO21" s="1"/>
      <c r="AP21" s="1"/>
      <c r="AQ21" s="1"/>
      <c r="AR21" s="1"/>
      <c r="AS21" s="1"/>
    </row>
    <row r="22" spans="1:45" ht="43.5">
      <c r="A22" s="21" t="s">
        <v>40</v>
      </c>
      <c r="B22" s="170"/>
      <c r="C22" s="1"/>
      <c r="D22" s="53">
        <v>721.04</v>
      </c>
      <c r="E22" s="26"/>
      <c r="F22" s="26"/>
      <c r="G22" s="87"/>
      <c r="H22" s="140">
        <v>721.04</v>
      </c>
      <c r="I22" s="104">
        <v>721.04</v>
      </c>
      <c r="J22" s="141">
        <v>721.04</v>
      </c>
      <c r="K22" s="190" t="s">
        <v>141</v>
      </c>
      <c r="L22" s="30"/>
      <c r="M22" s="75">
        <v>15.75</v>
      </c>
      <c r="N22" s="20"/>
      <c r="O22" s="20"/>
      <c r="P22" s="37">
        <v>49</v>
      </c>
      <c r="Q22" s="102">
        <f>AVERAGE(P22,M22)</f>
        <v>32.375</v>
      </c>
      <c r="R22" s="96">
        <f>MIN(M22:P22)</f>
        <v>15.75</v>
      </c>
      <c r="S22" s="194">
        <f>MAX(M22:P22)</f>
        <v>49</v>
      </c>
      <c r="T22" s="190" t="s">
        <v>147</v>
      </c>
      <c r="U22" s="1"/>
      <c r="V22" s="18"/>
      <c r="W22" s="51">
        <v>676</v>
      </c>
      <c r="X22" s="103">
        <v>676</v>
      </c>
      <c r="Y22" s="97">
        <v>676</v>
      </c>
      <c r="Z22" s="197">
        <v>676</v>
      </c>
      <c r="AA22" s="190" t="s">
        <v>141</v>
      </c>
      <c r="AB22" s="1"/>
      <c r="AC22" s="154"/>
      <c r="AD22" s="153"/>
      <c r="AE22" s="155">
        <v>0</v>
      </c>
      <c r="AF22" s="159"/>
      <c r="AG22" s="206"/>
      <c r="AH22" s="207"/>
      <c r="AI22" s="1"/>
      <c r="AJ22" s="1"/>
      <c r="AK22" s="1"/>
      <c r="AL22" s="1"/>
      <c r="AM22" s="1"/>
      <c r="AN22" s="1"/>
      <c r="AO22" s="1"/>
      <c r="AP22" s="1"/>
      <c r="AQ22" s="1"/>
      <c r="AR22" s="1"/>
      <c r="AS22" s="1"/>
    </row>
    <row r="23" spans="1:45">
      <c r="A23" s="21" t="s">
        <v>42</v>
      </c>
      <c r="B23" s="170"/>
      <c r="C23" s="1"/>
      <c r="D23" s="18"/>
      <c r="E23" s="20"/>
      <c r="F23" s="20"/>
      <c r="G23" s="34"/>
      <c r="H23" s="176">
        <v>0</v>
      </c>
      <c r="I23" s="143"/>
      <c r="J23" s="177"/>
      <c r="K23" s="191"/>
      <c r="L23" s="1"/>
      <c r="M23" s="147"/>
      <c r="N23" s="146"/>
      <c r="O23" s="146"/>
      <c r="P23" s="148"/>
      <c r="Q23" s="147">
        <v>0</v>
      </c>
      <c r="R23" s="146"/>
      <c r="S23" s="167"/>
      <c r="T23" s="198"/>
      <c r="U23" s="1"/>
      <c r="V23" s="154"/>
      <c r="W23" s="153"/>
      <c r="X23" s="154">
        <v>0</v>
      </c>
      <c r="Y23" s="109"/>
      <c r="Z23" s="157"/>
      <c r="AA23" s="207"/>
      <c r="AB23" s="1"/>
      <c r="AC23" s="154"/>
      <c r="AD23" s="153"/>
      <c r="AE23" s="154">
        <v>0</v>
      </c>
      <c r="AF23" s="109"/>
      <c r="AG23" s="157"/>
      <c r="AH23" s="207"/>
      <c r="AI23" s="1"/>
      <c r="AJ23" s="1"/>
      <c r="AK23" s="1"/>
      <c r="AL23" s="1"/>
      <c r="AM23" s="1"/>
      <c r="AN23" s="1"/>
      <c r="AO23" s="1"/>
      <c r="AP23" s="1"/>
      <c r="AQ23" s="1"/>
      <c r="AR23" s="1"/>
      <c r="AS23" s="1"/>
    </row>
    <row r="24" spans="1:45">
      <c r="A24" s="52" t="s">
        <v>43</v>
      </c>
      <c r="B24" s="170"/>
      <c r="C24" s="1"/>
      <c r="D24" s="18"/>
      <c r="E24" s="20"/>
      <c r="F24" s="20"/>
      <c r="G24" s="34"/>
      <c r="H24" s="176">
        <v>0</v>
      </c>
      <c r="I24" s="143"/>
      <c r="J24" s="177"/>
      <c r="K24" s="191"/>
      <c r="L24" s="1"/>
      <c r="M24" s="147"/>
      <c r="N24" s="146"/>
      <c r="O24" s="146"/>
      <c r="P24" s="148"/>
      <c r="Q24" s="147">
        <v>0</v>
      </c>
      <c r="R24" s="146"/>
      <c r="S24" s="167"/>
      <c r="T24" s="198"/>
      <c r="U24" s="1"/>
      <c r="V24" s="154"/>
      <c r="W24" s="153"/>
      <c r="X24" s="154">
        <v>0</v>
      </c>
      <c r="Y24" s="109"/>
      <c r="Z24" s="157"/>
      <c r="AA24" s="207"/>
      <c r="AB24" s="1"/>
      <c r="AC24" s="154"/>
      <c r="AD24" s="153"/>
      <c r="AE24" s="154">
        <v>0</v>
      </c>
      <c r="AF24" s="109"/>
      <c r="AG24" s="157"/>
      <c r="AH24" s="207"/>
      <c r="AI24" s="1"/>
      <c r="AJ24" s="1"/>
      <c r="AK24" s="1"/>
      <c r="AL24" s="1"/>
      <c r="AM24" s="1"/>
      <c r="AN24" s="1"/>
      <c r="AO24" s="1"/>
      <c r="AP24" s="1"/>
      <c r="AQ24" s="1"/>
      <c r="AR24" s="1"/>
      <c r="AS24" s="1"/>
    </row>
    <row r="25" spans="1:45">
      <c r="A25" s="66" t="s">
        <v>44</v>
      </c>
      <c r="B25" s="170"/>
      <c r="C25" s="1"/>
      <c r="D25" s="18"/>
      <c r="E25" s="20"/>
      <c r="F25" s="20"/>
      <c r="G25" s="34"/>
      <c r="H25" s="176">
        <v>0</v>
      </c>
      <c r="I25" s="143"/>
      <c r="J25" s="177"/>
      <c r="K25" s="191"/>
      <c r="L25" s="1"/>
      <c r="M25" s="147"/>
      <c r="N25" s="146"/>
      <c r="O25" s="146"/>
      <c r="P25" s="148"/>
      <c r="Q25" s="147">
        <v>0</v>
      </c>
      <c r="R25" s="146"/>
      <c r="S25" s="167"/>
      <c r="T25" s="198"/>
      <c r="U25" s="1"/>
      <c r="V25" s="154"/>
      <c r="W25" s="153"/>
      <c r="X25" s="154">
        <v>0</v>
      </c>
      <c r="Y25" s="109"/>
      <c r="Z25" s="157"/>
      <c r="AA25" s="207"/>
      <c r="AB25" s="1"/>
      <c r="AC25" s="154"/>
      <c r="AD25" s="153"/>
      <c r="AE25" s="154">
        <v>0</v>
      </c>
      <c r="AF25" s="109"/>
      <c r="AG25" s="157"/>
      <c r="AH25" s="207"/>
      <c r="AI25" s="1"/>
      <c r="AJ25" s="1"/>
      <c r="AK25" s="1"/>
      <c r="AL25" s="1"/>
      <c r="AM25" s="1"/>
      <c r="AN25" s="1"/>
      <c r="AO25" s="1"/>
      <c r="AP25" s="1"/>
      <c r="AQ25" s="1"/>
      <c r="AR25" s="1"/>
      <c r="AS25" s="1"/>
    </row>
    <row r="26" spans="1:45">
      <c r="A26" s="37" t="s">
        <v>45</v>
      </c>
      <c r="B26" s="170"/>
      <c r="C26" s="1"/>
      <c r="D26" s="18"/>
      <c r="E26" s="20"/>
      <c r="F26" s="20"/>
      <c r="G26" s="34"/>
      <c r="H26" s="176">
        <v>0</v>
      </c>
      <c r="I26" s="143"/>
      <c r="J26" s="177"/>
      <c r="K26" s="191"/>
      <c r="L26" s="1"/>
      <c r="M26" s="147"/>
      <c r="N26" s="146"/>
      <c r="O26" s="146"/>
      <c r="P26" s="148"/>
      <c r="Q26" s="147">
        <v>0</v>
      </c>
      <c r="R26" s="146"/>
      <c r="S26" s="167"/>
      <c r="T26" s="198"/>
      <c r="U26" s="1"/>
      <c r="V26" s="154"/>
      <c r="W26" s="153"/>
      <c r="X26" s="154">
        <v>0</v>
      </c>
      <c r="Y26" s="109"/>
      <c r="Z26" s="157"/>
      <c r="AA26" s="207"/>
      <c r="AB26" s="1"/>
      <c r="AC26" s="154"/>
      <c r="AD26" s="153"/>
      <c r="AE26" s="154">
        <v>0</v>
      </c>
      <c r="AF26" s="109"/>
      <c r="AG26" s="157"/>
      <c r="AH26" s="207"/>
      <c r="AI26" s="1"/>
      <c r="AJ26" s="1"/>
      <c r="AK26" s="1"/>
      <c r="AL26" s="1"/>
      <c r="AM26" s="1"/>
      <c r="AN26" s="1"/>
      <c r="AO26" s="1"/>
      <c r="AP26" s="1"/>
      <c r="AQ26" s="1"/>
      <c r="AR26" s="1"/>
      <c r="AS26" s="1"/>
    </row>
    <row r="27" spans="1:45">
      <c r="A27" s="37" t="s">
        <v>46</v>
      </c>
      <c r="B27" s="170"/>
      <c r="C27" s="1"/>
      <c r="D27" s="18"/>
      <c r="E27" s="20"/>
      <c r="F27" s="20"/>
      <c r="G27" s="34"/>
      <c r="H27" s="176">
        <v>0</v>
      </c>
      <c r="I27" s="143"/>
      <c r="J27" s="177"/>
      <c r="K27" s="191"/>
      <c r="L27" s="1"/>
      <c r="M27" s="147"/>
      <c r="N27" s="146"/>
      <c r="O27" s="146"/>
      <c r="P27" s="148"/>
      <c r="Q27" s="147">
        <v>0</v>
      </c>
      <c r="R27" s="146"/>
      <c r="S27" s="167"/>
      <c r="T27" s="198"/>
      <c r="U27" s="1"/>
      <c r="V27" s="154"/>
      <c r="W27" s="153"/>
      <c r="X27" s="154">
        <v>0</v>
      </c>
      <c r="Y27" s="109"/>
      <c r="Z27" s="157"/>
      <c r="AA27" s="207"/>
      <c r="AB27" s="1"/>
      <c r="AC27" s="154"/>
      <c r="AD27" s="153"/>
      <c r="AE27" s="154">
        <v>0</v>
      </c>
      <c r="AF27" s="109"/>
      <c r="AG27" s="157"/>
      <c r="AH27" s="207"/>
      <c r="AI27" s="1"/>
      <c r="AJ27" s="1"/>
      <c r="AK27" s="1"/>
      <c r="AL27" s="1"/>
      <c r="AM27" s="1"/>
      <c r="AN27" s="1"/>
      <c r="AO27" s="1"/>
      <c r="AP27" s="1"/>
      <c r="AQ27" s="1"/>
      <c r="AR27" s="1"/>
      <c r="AS27" s="1"/>
    </row>
    <row r="28" spans="1:45">
      <c r="A28" s="37" t="s">
        <v>47</v>
      </c>
      <c r="B28" s="170"/>
      <c r="C28" s="1"/>
      <c r="D28" s="18"/>
      <c r="E28" s="20"/>
      <c r="F28" s="20"/>
      <c r="G28" s="34"/>
      <c r="H28" s="176">
        <v>0</v>
      </c>
      <c r="I28" s="143"/>
      <c r="J28" s="177"/>
      <c r="K28" s="191"/>
      <c r="L28" s="1"/>
      <c r="M28" s="147"/>
      <c r="N28" s="146"/>
      <c r="O28" s="146"/>
      <c r="P28" s="148"/>
      <c r="Q28" s="147">
        <v>0</v>
      </c>
      <c r="R28" s="146"/>
      <c r="S28" s="167"/>
      <c r="T28" s="198"/>
      <c r="U28" s="1"/>
      <c r="V28" s="154"/>
      <c r="W28" s="153"/>
      <c r="X28" s="154">
        <v>0</v>
      </c>
      <c r="Y28" s="109"/>
      <c r="Z28" s="157"/>
      <c r="AA28" s="207"/>
      <c r="AB28" s="1"/>
      <c r="AC28" s="154"/>
      <c r="AD28" s="153"/>
      <c r="AE28" s="154">
        <v>0</v>
      </c>
      <c r="AF28" s="109"/>
      <c r="AG28" s="157"/>
      <c r="AH28" s="207"/>
      <c r="AI28" s="1"/>
      <c r="AJ28" s="1"/>
      <c r="AK28" s="1"/>
      <c r="AL28" s="1"/>
      <c r="AM28" s="1"/>
      <c r="AN28" s="1"/>
      <c r="AO28" s="1"/>
      <c r="AP28" s="1"/>
      <c r="AQ28" s="1"/>
      <c r="AR28" s="1"/>
      <c r="AS28" s="1"/>
    </row>
    <row r="29" spans="1:45" ht="50" customHeight="1">
      <c r="A29" s="37" t="s">
        <v>49</v>
      </c>
      <c r="B29" s="57">
        <v>52500</v>
      </c>
      <c r="C29" s="1"/>
      <c r="D29" s="82"/>
      <c r="E29" s="27">
        <f>1000*(79.5*96.9/100)</f>
        <v>77035.5</v>
      </c>
      <c r="F29" s="26"/>
      <c r="G29" s="87"/>
      <c r="H29" s="181">
        <f>AVERAGE(B29,E29)</f>
        <v>64767.75</v>
      </c>
      <c r="I29" s="145">
        <f>B29</f>
        <v>52500</v>
      </c>
      <c r="J29" s="182">
        <f>E29</f>
        <v>77035.5</v>
      </c>
      <c r="K29" s="190" t="s">
        <v>147</v>
      </c>
      <c r="L29" s="30"/>
      <c r="M29" s="154"/>
      <c r="N29" s="35">
        <f>1000*(89.3*5.3/100)</f>
        <v>4732.8999999999996</v>
      </c>
      <c r="O29" s="109"/>
      <c r="P29" s="153"/>
      <c r="Q29" s="154"/>
      <c r="R29" s="109"/>
      <c r="S29" s="157"/>
      <c r="T29" s="199" t="s">
        <v>148</v>
      </c>
      <c r="U29" s="1"/>
      <c r="V29" s="154"/>
      <c r="W29" s="153"/>
      <c r="X29" s="155">
        <v>0</v>
      </c>
      <c r="Y29" s="159"/>
      <c r="Z29" s="206"/>
      <c r="AA29" s="207"/>
      <c r="AB29" s="1"/>
      <c r="AC29" s="18"/>
      <c r="AD29" s="202">
        <f>1000*(17.4*89.3/100)</f>
        <v>15538.199999999999</v>
      </c>
      <c r="AE29" s="140">
        <f>1000*(17.4*89.3/100)</f>
        <v>15538.199999999999</v>
      </c>
      <c r="AF29" s="104">
        <f t="shared" ref="AF29:AG29" si="1">1000*(17.4*89.3/100)</f>
        <v>15538.199999999999</v>
      </c>
      <c r="AG29" s="141">
        <f t="shared" si="1"/>
        <v>15538.199999999999</v>
      </c>
      <c r="AH29" s="190" t="s">
        <v>141</v>
      </c>
      <c r="AI29" s="1"/>
      <c r="AJ29" s="1"/>
      <c r="AK29" s="1"/>
      <c r="AL29" s="1"/>
      <c r="AM29" s="1"/>
      <c r="AN29" s="1"/>
      <c r="AO29" s="1"/>
      <c r="AP29" s="1"/>
      <c r="AQ29" s="1"/>
      <c r="AR29" s="1"/>
      <c r="AS29" s="1"/>
    </row>
    <row r="30" spans="1:45">
      <c r="A30" s="21" t="s">
        <v>51</v>
      </c>
      <c r="B30" s="170"/>
      <c r="C30" s="1"/>
      <c r="D30" s="18"/>
      <c r="E30" s="20"/>
      <c r="F30" s="20"/>
      <c r="G30" s="34"/>
      <c r="H30" s="176">
        <v>0</v>
      </c>
      <c r="I30" s="143"/>
      <c r="J30" s="177"/>
      <c r="K30" s="191"/>
      <c r="L30" s="1"/>
      <c r="M30" s="147"/>
      <c r="N30" s="146"/>
      <c r="O30" s="146"/>
      <c r="P30" s="148"/>
      <c r="Q30" s="147">
        <v>0</v>
      </c>
      <c r="R30" s="146"/>
      <c r="S30" s="167"/>
      <c r="T30" s="198"/>
      <c r="U30" s="1"/>
      <c r="V30" s="154"/>
      <c r="W30" s="153"/>
      <c r="X30" s="154">
        <v>0</v>
      </c>
      <c r="Y30" s="109"/>
      <c r="Z30" s="157"/>
      <c r="AA30" s="207"/>
      <c r="AB30" s="1"/>
      <c r="AC30" s="154"/>
      <c r="AD30" s="153"/>
      <c r="AE30" s="154">
        <v>0</v>
      </c>
      <c r="AF30" s="109"/>
      <c r="AG30" s="157"/>
      <c r="AH30" s="207"/>
      <c r="AI30" s="1"/>
      <c r="AJ30" s="1"/>
      <c r="AK30" s="1"/>
      <c r="AL30" s="1"/>
      <c r="AM30" s="1"/>
      <c r="AN30" s="1"/>
      <c r="AO30" s="1"/>
      <c r="AP30" s="1"/>
      <c r="AQ30" s="1"/>
      <c r="AR30" s="1"/>
      <c r="AS30" s="1"/>
    </row>
    <row r="31" spans="1:45">
      <c r="A31" s="21" t="s">
        <v>52</v>
      </c>
      <c r="B31" s="170"/>
      <c r="C31" s="1"/>
      <c r="D31" s="18"/>
      <c r="E31" s="20"/>
      <c r="F31" s="20"/>
      <c r="G31" s="34"/>
      <c r="H31" s="176">
        <v>0</v>
      </c>
      <c r="I31" s="143"/>
      <c r="J31" s="177"/>
      <c r="K31" s="191"/>
      <c r="L31" s="1"/>
      <c r="M31" s="147"/>
      <c r="N31" s="146"/>
      <c r="O31" s="146"/>
      <c r="P31" s="148"/>
      <c r="Q31" s="147">
        <v>0</v>
      </c>
      <c r="R31" s="146"/>
      <c r="S31" s="167"/>
      <c r="T31" s="198"/>
      <c r="U31" s="1"/>
      <c r="V31" s="154"/>
      <c r="W31" s="153"/>
      <c r="X31" s="154">
        <v>0</v>
      </c>
      <c r="Y31" s="109"/>
      <c r="Z31" s="157"/>
      <c r="AA31" s="207"/>
      <c r="AB31" s="1"/>
      <c r="AC31" s="154"/>
      <c r="AD31" s="153"/>
      <c r="AE31" s="154">
        <v>0</v>
      </c>
      <c r="AF31" s="109"/>
      <c r="AG31" s="157"/>
      <c r="AH31" s="207"/>
      <c r="AI31" s="1"/>
      <c r="AJ31" s="1"/>
      <c r="AK31" s="1"/>
      <c r="AL31" s="1"/>
      <c r="AM31" s="1"/>
      <c r="AN31" s="1"/>
      <c r="AO31" s="1"/>
      <c r="AP31" s="1"/>
      <c r="AQ31" s="1"/>
      <c r="AR31" s="1"/>
      <c r="AS31" s="1"/>
    </row>
    <row r="32" spans="1:45">
      <c r="A32" s="66" t="s">
        <v>54</v>
      </c>
      <c r="B32" s="170"/>
      <c r="C32" s="1"/>
      <c r="D32" s="18"/>
      <c r="E32" s="20"/>
      <c r="F32" s="20"/>
      <c r="G32" s="34"/>
      <c r="H32" s="176">
        <v>0</v>
      </c>
      <c r="I32" s="143"/>
      <c r="J32" s="177"/>
      <c r="K32" s="191"/>
      <c r="L32" s="1"/>
      <c r="M32" s="147"/>
      <c r="N32" s="146"/>
      <c r="O32" s="146"/>
      <c r="P32" s="148"/>
      <c r="Q32" s="147">
        <v>0</v>
      </c>
      <c r="R32" s="146"/>
      <c r="S32" s="167"/>
      <c r="T32" s="198"/>
      <c r="U32" s="1"/>
      <c r="V32" s="154"/>
      <c r="W32" s="153"/>
      <c r="X32" s="154">
        <v>0</v>
      </c>
      <c r="Y32" s="109"/>
      <c r="Z32" s="157"/>
      <c r="AA32" s="207"/>
      <c r="AB32" s="1"/>
      <c r="AC32" s="154"/>
      <c r="AD32" s="153"/>
      <c r="AE32" s="154">
        <v>0</v>
      </c>
      <c r="AF32" s="109"/>
      <c r="AG32" s="157"/>
      <c r="AH32" s="207"/>
      <c r="AI32" s="1"/>
      <c r="AJ32" s="1"/>
      <c r="AK32" s="1"/>
      <c r="AL32" s="1"/>
      <c r="AM32" s="1"/>
      <c r="AN32" s="1"/>
      <c r="AO32" s="1"/>
      <c r="AP32" s="1"/>
      <c r="AQ32" s="1"/>
      <c r="AR32" s="1"/>
      <c r="AS32" s="1"/>
    </row>
    <row r="33" spans="1:45">
      <c r="A33" s="21" t="s">
        <v>55</v>
      </c>
      <c r="B33" s="170"/>
      <c r="C33" s="1"/>
      <c r="D33" s="18"/>
      <c r="E33" s="20"/>
      <c r="F33" s="20"/>
      <c r="G33" s="34"/>
      <c r="H33" s="176">
        <v>0</v>
      </c>
      <c r="I33" s="143"/>
      <c r="J33" s="177"/>
      <c r="K33" s="191"/>
      <c r="L33" s="1"/>
      <c r="M33" s="147"/>
      <c r="N33" s="146"/>
      <c r="O33" s="146"/>
      <c r="P33" s="148"/>
      <c r="Q33" s="147">
        <v>0</v>
      </c>
      <c r="R33" s="146"/>
      <c r="S33" s="167"/>
      <c r="T33" s="198"/>
      <c r="U33" s="1"/>
      <c r="V33" s="154"/>
      <c r="W33" s="153"/>
      <c r="X33" s="154">
        <v>0</v>
      </c>
      <c r="Y33" s="109"/>
      <c r="Z33" s="157"/>
      <c r="AA33" s="207"/>
      <c r="AB33" s="1"/>
      <c r="AC33" s="154"/>
      <c r="AD33" s="153"/>
      <c r="AE33" s="154">
        <v>0</v>
      </c>
      <c r="AF33" s="109"/>
      <c r="AG33" s="157"/>
      <c r="AH33" s="207"/>
      <c r="AI33" s="1"/>
      <c r="AJ33" s="1"/>
      <c r="AK33" s="1"/>
      <c r="AL33" s="1"/>
      <c r="AM33" s="1"/>
      <c r="AN33" s="1"/>
      <c r="AO33" s="1"/>
      <c r="AP33" s="1"/>
      <c r="AQ33" s="1"/>
      <c r="AR33" s="1"/>
      <c r="AS33" s="1"/>
    </row>
    <row r="34" spans="1:45">
      <c r="A34" s="21" t="s">
        <v>56</v>
      </c>
      <c r="B34" s="170"/>
      <c r="C34" s="1"/>
      <c r="D34" s="18"/>
      <c r="E34" s="20"/>
      <c r="F34" s="20"/>
      <c r="G34" s="34"/>
      <c r="H34" s="176">
        <v>0</v>
      </c>
      <c r="I34" s="143"/>
      <c r="J34" s="177"/>
      <c r="K34" s="191"/>
      <c r="L34" s="1"/>
      <c r="M34" s="147"/>
      <c r="N34" s="146"/>
      <c r="O34" s="146"/>
      <c r="P34" s="148"/>
      <c r="Q34" s="147">
        <v>0</v>
      </c>
      <c r="R34" s="146"/>
      <c r="S34" s="167"/>
      <c r="T34" s="198"/>
      <c r="U34" s="1"/>
      <c r="V34" s="154"/>
      <c r="W34" s="153"/>
      <c r="X34" s="154">
        <v>0</v>
      </c>
      <c r="Y34" s="109"/>
      <c r="Z34" s="157"/>
      <c r="AA34" s="207"/>
      <c r="AB34" s="1"/>
      <c r="AC34" s="154"/>
      <c r="AD34" s="153"/>
      <c r="AE34" s="154">
        <v>0</v>
      </c>
      <c r="AF34" s="109"/>
      <c r="AG34" s="157"/>
      <c r="AH34" s="207"/>
      <c r="AI34" s="1"/>
      <c r="AJ34" s="1"/>
      <c r="AK34" s="1"/>
      <c r="AL34" s="1"/>
      <c r="AM34" s="1"/>
      <c r="AN34" s="1"/>
      <c r="AO34" s="1"/>
      <c r="AP34" s="1"/>
      <c r="AQ34" s="1"/>
      <c r="AR34" s="1"/>
      <c r="AS34" s="1"/>
    </row>
    <row r="35" spans="1:45">
      <c r="A35" s="21" t="s">
        <v>77</v>
      </c>
      <c r="B35" s="170"/>
      <c r="C35" s="1"/>
      <c r="D35" s="18"/>
      <c r="E35" s="20"/>
      <c r="F35" s="20"/>
      <c r="G35" s="34"/>
      <c r="H35" s="176">
        <v>0</v>
      </c>
      <c r="I35" s="143"/>
      <c r="J35" s="177"/>
      <c r="K35" s="191"/>
      <c r="L35" s="1"/>
      <c r="M35" s="147"/>
      <c r="N35" s="146"/>
      <c r="O35" s="146"/>
      <c r="P35" s="148"/>
      <c r="Q35" s="147">
        <v>0</v>
      </c>
      <c r="R35" s="146"/>
      <c r="S35" s="167"/>
      <c r="T35" s="198"/>
      <c r="U35" s="1"/>
      <c r="V35" s="154"/>
      <c r="W35" s="153"/>
      <c r="X35" s="154">
        <v>0</v>
      </c>
      <c r="Y35" s="109"/>
      <c r="Z35" s="157"/>
      <c r="AA35" s="207"/>
      <c r="AB35" s="1"/>
      <c r="AC35" s="154"/>
      <c r="AD35" s="153"/>
      <c r="AE35" s="154">
        <v>0</v>
      </c>
      <c r="AF35" s="109"/>
      <c r="AG35" s="157"/>
      <c r="AH35" s="207"/>
      <c r="AI35" s="1"/>
      <c r="AJ35" s="1"/>
      <c r="AK35" s="1"/>
      <c r="AL35" s="1"/>
      <c r="AM35" s="1"/>
      <c r="AN35" s="1"/>
      <c r="AO35" s="1"/>
      <c r="AP35" s="1"/>
      <c r="AQ35" s="1"/>
      <c r="AR35" s="1"/>
      <c r="AS35" s="1"/>
    </row>
    <row r="36" spans="1:45">
      <c r="A36" s="37" t="s">
        <v>57</v>
      </c>
      <c r="B36" s="170"/>
      <c r="C36" s="1"/>
      <c r="D36" s="18"/>
      <c r="E36" s="20"/>
      <c r="F36" s="20"/>
      <c r="G36" s="34"/>
      <c r="H36" s="176">
        <v>0</v>
      </c>
      <c r="I36" s="143"/>
      <c r="J36" s="177"/>
      <c r="K36" s="191"/>
      <c r="L36" s="1"/>
      <c r="M36" s="147"/>
      <c r="N36" s="146"/>
      <c r="O36" s="146"/>
      <c r="P36" s="148"/>
      <c r="Q36" s="147">
        <v>0</v>
      </c>
      <c r="R36" s="146"/>
      <c r="S36" s="167"/>
      <c r="T36" s="198"/>
      <c r="U36" s="1"/>
      <c r="V36" s="154"/>
      <c r="W36" s="153"/>
      <c r="X36" s="154">
        <v>0</v>
      </c>
      <c r="Y36" s="109"/>
      <c r="Z36" s="157"/>
      <c r="AA36" s="207"/>
      <c r="AB36" s="1"/>
      <c r="AC36" s="154"/>
      <c r="AD36" s="153"/>
      <c r="AE36" s="154">
        <v>0</v>
      </c>
      <c r="AF36" s="109"/>
      <c r="AG36" s="157"/>
      <c r="AH36" s="207"/>
      <c r="AI36" s="1"/>
      <c r="AJ36" s="1"/>
      <c r="AK36" s="1"/>
      <c r="AL36" s="1"/>
      <c r="AM36" s="1"/>
      <c r="AN36" s="1"/>
      <c r="AO36" s="1"/>
      <c r="AP36" s="1"/>
      <c r="AQ36" s="1"/>
      <c r="AR36" s="1"/>
      <c r="AS36" s="1"/>
    </row>
    <row r="37" spans="1:45" ht="29">
      <c r="A37" s="21" t="s">
        <v>58</v>
      </c>
      <c r="B37" s="170"/>
      <c r="C37" s="1"/>
      <c r="D37" s="82"/>
      <c r="E37" s="26"/>
      <c r="F37" s="26"/>
      <c r="G37" s="87"/>
      <c r="H37" s="183">
        <v>0</v>
      </c>
      <c r="I37" s="144"/>
      <c r="J37" s="184"/>
      <c r="K37" s="192"/>
      <c r="L37" s="30"/>
      <c r="M37" s="18"/>
      <c r="N37" s="20"/>
      <c r="O37" s="20"/>
      <c r="P37" s="51">
        <v>20</v>
      </c>
      <c r="Q37" s="103">
        <v>20</v>
      </c>
      <c r="R37" s="97">
        <v>20</v>
      </c>
      <c r="S37" s="197">
        <v>20</v>
      </c>
      <c r="T37" s="190" t="s">
        <v>141</v>
      </c>
      <c r="U37" s="1"/>
      <c r="V37" s="18"/>
      <c r="W37" s="51">
        <v>40</v>
      </c>
      <c r="X37" s="103">
        <v>40</v>
      </c>
      <c r="Y37" s="97">
        <v>40</v>
      </c>
      <c r="Z37" s="197">
        <v>40</v>
      </c>
      <c r="AA37" s="190" t="s">
        <v>141</v>
      </c>
      <c r="AB37" s="1"/>
      <c r="AC37" s="154"/>
      <c r="AD37" s="153"/>
      <c r="AE37" s="154">
        <v>0</v>
      </c>
      <c r="AF37" s="109"/>
      <c r="AG37" s="157"/>
      <c r="AH37" s="207"/>
      <c r="AI37" s="1"/>
      <c r="AJ37" s="1"/>
      <c r="AK37" s="1"/>
      <c r="AL37" s="1"/>
      <c r="AM37" s="1"/>
      <c r="AN37" s="1"/>
      <c r="AO37" s="1"/>
      <c r="AP37" s="1"/>
      <c r="AQ37" s="1"/>
      <c r="AR37" s="1"/>
      <c r="AS37" s="1"/>
    </row>
    <row r="38" spans="1:45" ht="15" thickBot="1">
      <c r="A38" s="37" t="s">
        <v>60</v>
      </c>
      <c r="B38" s="172"/>
      <c r="C38" s="1"/>
      <c r="D38" s="88"/>
      <c r="E38" s="89"/>
      <c r="F38" s="89"/>
      <c r="G38" s="90"/>
      <c r="H38" s="185">
        <v>0</v>
      </c>
      <c r="I38" s="186"/>
      <c r="J38" s="187"/>
      <c r="K38" s="193"/>
      <c r="L38" s="1"/>
      <c r="M38" s="163"/>
      <c r="N38" s="164"/>
      <c r="O38" s="164"/>
      <c r="P38" s="165"/>
      <c r="Q38" s="163">
        <v>0</v>
      </c>
      <c r="R38" s="164"/>
      <c r="S38" s="168"/>
      <c r="T38" s="201"/>
      <c r="U38" s="1"/>
      <c r="V38" s="160"/>
      <c r="W38" s="203"/>
      <c r="X38" s="160">
        <v>0</v>
      </c>
      <c r="Y38" s="161"/>
      <c r="Z38" s="162"/>
      <c r="AA38" s="208"/>
      <c r="AB38" s="1"/>
      <c r="AC38" s="160"/>
      <c r="AD38" s="203"/>
      <c r="AE38" s="160">
        <v>0</v>
      </c>
      <c r="AF38" s="161"/>
      <c r="AG38" s="162"/>
      <c r="AH38" s="208"/>
      <c r="AI38" s="1"/>
      <c r="AJ38" s="1"/>
      <c r="AK38" s="1"/>
      <c r="AL38" s="1"/>
      <c r="AM38" s="1"/>
      <c r="AN38" s="1"/>
      <c r="AO38" s="1"/>
      <c r="AP38" s="1"/>
      <c r="AQ38" s="1"/>
      <c r="AR38" s="1"/>
      <c r="AS38" s="1"/>
    </row>
    <row r="39" spans="1:4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row>
    <row r="40" spans="1:4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row>
    <row r="41" spans="1:4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row>
    <row r="42" spans="1:4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spans="1:4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spans="1:4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spans="1: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spans="1:4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spans="1:4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spans="1:4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spans="1:4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spans="1:4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spans="1:4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spans="1:4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spans="1:4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spans="1:4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spans="1:4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spans="1:4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spans="1:4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spans="1:4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spans="1:4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spans="1:4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spans="1:4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spans="1:4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spans="1:4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spans="1:4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spans="1:4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spans="1:4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spans="1:4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spans="1:4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spans="1:4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spans="1:45" ht="44" customHeight="1">
      <c r="X70" s="1"/>
      <c r="Y70" s="1"/>
      <c r="Z70" s="1"/>
      <c r="AA70" s="1"/>
      <c r="AB70" s="1"/>
      <c r="AC70" s="1"/>
      <c r="AD70" s="1"/>
      <c r="AE70" s="1"/>
      <c r="AF70" s="1"/>
      <c r="AG70" s="1"/>
      <c r="AH70" s="1"/>
      <c r="AI70" s="1"/>
      <c r="AJ70" s="1"/>
      <c r="AK70" s="1"/>
      <c r="AL70" s="1"/>
      <c r="AM70" s="1"/>
      <c r="AN70" s="1"/>
      <c r="AO70" s="1"/>
      <c r="AP70" s="1"/>
      <c r="AQ70" s="1"/>
      <c r="AR70" s="1"/>
      <c r="AS70" s="1"/>
    </row>
    <row r="71" spans="1:45" s="1" customFormat="1"/>
    <row r="72" spans="1:45" s="1" customFormat="1"/>
    <row r="73" spans="1:45" s="1" customFormat="1"/>
    <row r="74" spans="1:45" s="1" customFormat="1"/>
    <row r="75" spans="1:45" s="1" customFormat="1"/>
    <row r="76" spans="1:45" s="1" customFormat="1">
      <c r="A76" s="386"/>
      <c r="B76" s="386"/>
      <c r="C76" s="386"/>
      <c r="D76" s="386"/>
      <c r="E76" s="386"/>
      <c r="F76" s="386"/>
      <c r="G76" s="386"/>
      <c r="H76" s="386"/>
      <c r="I76" s="386"/>
      <c r="J76" s="386"/>
      <c r="K76" s="386"/>
      <c r="L76" s="386"/>
      <c r="M76" s="386"/>
      <c r="N76" s="386"/>
      <c r="O76" s="386"/>
      <c r="P76" s="386"/>
      <c r="Q76" s="386"/>
      <c r="R76" s="386"/>
      <c r="S76" s="386"/>
      <c r="T76" s="386"/>
      <c r="U76" s="386"/>
      <c r="V76" s="386"/>
      <c r="W76" s="386"/>
      <c r="X76" s="386"/>
      <c r="Y76" s="386"/>
      <c r="Z76" s="386"/>
      <c r="AA76" s="386"/>
      <c r="AB76" s="386"/>
      <c r="AC76" s="386"/>
      <c r="AD76" s="386"/>
      <c r="AE76" s="386"/>
      <c r="AF76" s="386"/>
      <c r="AG76" s="386"/>
      <c r="AH76" s="386"/>
      <c r="AI76" s="386"/>
      <c r="AJ76" s="386"/>
      <c r="AK76" s="386"/>
      <c r="AL76" s="386"/>
      <c r="AM76" s="386"/>
    </row>
    <row r="77" spans="1:45" s="1" customFormat="1"/>
    <row r="78" spans="1:45" s="1" customFormat="1"/>
    <row r="79" spans="1:45" s="1" customFormat="1"/>
    <row r="80" spans="1:45"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sheetData>
  <mergeCells count="16">
    <mergeCell ref="D1:G1"/>
    <mergeCell ref="V1:W1"/>
    <mergeCell ref="AC1:AD1"/>
    <mergeCell ref="Q1:Q2"/>
    <mergeCell ref="R1:R2"/>
    <mergeCell ref="S1:S2"/>
    <mergeCell ref="AE1:AE2"/>
    <mergeCell ref="AF1:AF2"/>
    <mergeCell ref="AG1:AG2"/>
    <mergeCell ref="M1:P1"/>
    <mergeCell ref="H1:H2"/>
    <mergeCell ref="I1:I2"/>
    <mergeCell ref="J1:J2"/>
    <mergeCell ref="X1:X2"/>
    <mergeCell ref="Y1:Y2"/>
    <mergeCell ref="Z1:Z2"/>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2CCEC-3890-454A-8D55-DB73AE859073}">
  <sheetPr>
    <tabColor theme="4" tint="0.79998168889431442"/>
  </sheetPr>
  <dimension ref="A1:B21"/>
  <sheetViews>
    <sheetView tabSelected="1" topLeftCell="A10" workbookViewId="0">
      <selection activeCell="B38" sqref="B38"/>
    </sheetView>
  </sheetViews>
  <sheetFormatPr baseColWidth="10" defaultRowHeight="14.5"/>
  <cols>
    <col min="1" max="1" width="33.81640625" customWidth="1"/>
    <col min="2" max="2" width="26.1796875" customWidth="1"/>
  </cols>
  <sheetData>
    <row r="1" spans="1:2">
      <c r="A1" s="109" t="s">
        <v>61</v>
      </c>
    </row>
    <row r="2" spans="1:2">
      <c r="A2" s="543" t="s">
        <v>177</v>
      </c>
      <c r="B2" t="s">
        <v>299</v>
      </c>
    </row>
    <row r="3" spans="1:2">
      <c r="A3" s="547" t="s">
        <v>220</v>
      </c>
      <c r="B3" t="s">
        <v>300</v>
      </c>
    </row>
    <row r="4" spans="1:2">
      <c r="A4" s="543" t="s">
        <v>212</v>
      </c>
      <c r="B4" t="s">
        <v>297</v>
      </c>
    </row>
    <row r="5" spans="1:2">
      <c r="A5" t="s">
        <v>287</v>
      </c>
      <c r="B5" s="542" t="s">
        <v>301</v>
      </c>
    </row>
    <row r="6" spans="1:2">
      <c r="A6" s="548" t="s">
        <v>219</v>
      </c>
      <c r="B6" t="s">
        <v>298</v>
      </c>
    </row>
    <row r="7" spans="1:2">
      <c r="A7" s="543" t="s">
        <v>284</v>
      </c>
      <c r="B7" t="s">
        <v>3</v>
      </c>
    </row>
    <row r="8" spans="1:2">
      <c r="A8" s="544" t="s">
        <v>176</v>
      </c>
      <c r="B8" t="s">
        <v>302</v>
      </c>
    </row>
    <row r="9" spans="1:2">
      <c r="A9" s="543" t="s">
        <v>182</v>
      </c>
      <c r="B9" t="s">
        <v>303</v>
      </c>
    </row>
    <row r="10" spans="1:2">
      <c r="A10" s="545" t="s">
        <v>183</v>
      </c>
      <c r="B10" t="s">
        <v>131</v>
      </c>
    </row>
    <row r="11" spans="1:2">
      <c r="A11" s="543" t="s">
        <v>283</v>
      </c>
      <c r="B11" t="s">
        <v>206</v>
      </c>
    </row>
    <row r="12" spans="1:2">
      <c r="A12" s="543" t="s">
        <v>283</v>
      </c>
      <c r="B12" t="s">
        <v>211</v>
      </c>
    </row>
    <row r="13" spans="1:2">
      <c r="A13" s="543" t="s">
        <v>218</v>
      </c>
      <c r="B13" t="s">
        <v>286</v>
      </c>
    </row>
    <row r="14" spans="1:2">
      <c r="A14" s="543" t="s">
        <v>213</v>
      </c>
      <c r="B14" t="s">
        <v>304</v>
      </c>
    </row>
    <row r="15" spans="1:2">
      <c r="A15" s="543" t="s">
        <v>282</v>
      </c>
      <c r="B15" t="s">
        <v>68</v>
      </c>
    </row>
    <row r="16" spans="1:2">
      <c r="A16" s="543" t="s">
        <v>281</v>
      </c>
      <c r="B16" t="s">
        <v>305</v>
      </c>
    </row>
    <row r="17" spans="1:2">
      <c r="A17" s="546" t="s">
        <v>221</v>
      </c>
      <c r="B17" t="s">
        <v>285</v>
      </c>
    </row>
    <row r="18" spans="1:2">
      <c r="A18" s="543" t="s">
        <v>223</v>
      </c>
      <c r="B18" t="s">
        <v>222</v>
      </c>
    </row>
    <row r="19" spans="1:2">
      <c r="A19" s="543" t="s">
        <v>226</v>
      </c>
      <c r="B19" t="s">
        <v>306</v>
      </c>
    </row>
    <row r="20" spans="1:2">
      <c r="A20" s="543" t="s">
        <v>227</v>
      </c>
      <c r="B20" t="s">
        <v>307</v>
      </c>
    </row>
    <row r="21" spans="1:2">
      <c r="A21" s="543" t="s">
        <v>240</v>
      </c>
      <c r="B2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MI</vt:lpstr>
      <vt:lpstr>MI reduction scenario</vt:lpstr>
      <vt:lpstr>Aggregated MI 2010</vt:lpstr>
      <vt:lpstr>Metal categorisation</vt:lpstr>
      <vt:lpstr>Legend</vt:lpstr>
      <vt:lpstr>Solar PV - CSP</vt:lpstr>
      <vt:lpstr>Wind</vt:lpstr>
      <vt:lpstr>Nuclear</vt:lpstr>
      <vt:lpstr>Hydro</vt:lpstr>
      <vt:lpstr>Biomass</vt:lpstr>
      <vt:lpstr>Geothermal</vt:lpstr>
      <vt:lpstr>Fossil energy</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Pénélope Bieuville</dc:creator>
  <cp:lastModifiedBy>Pénélope Bieuville</cp:lastModifiedBy>
  <dcterms:created xsi:type="dcterms:W3CDTF">2015-06-05T18:17:20Z</dcterms:created>
  <dcterms:modified xsi:type="dcterms:W3CDTF">2024-11-07T20:20:17Z</dcterms:modified>
</cp:coreProperties>
</file>