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enel\Documents\Travail\CIRAIG\Maitrise Recherche\8. Optimisation\"/>
    </mc:Choice>
  </mc:AlternateContent>
  <xr:revisionPtr revIDLastSave="0" documentId="13_ncr:1_{9B15AA32-37F5-40C9-98DA-C22A685B3FAF}" xr6:coauthVersionLast="47" xr6:coauthVersionMax="47" xr10:uidLastSave="{00000000-0000-0000-0000-000000000000}"/>
  <bookViews>
    <workbookView xWindow="28680" yWindow="-120" windowWidth="29040" windowHeight="15720" activeTab="5" xr2:uid="{00000000-000D-0000-FFFF-FFFF00000000}"/>
  </bookViews>
  <sheets>
    <sheet name="Table of content" sheetId="26" r:id="rId1"/>
    <sheet name="CF_Litt" sheetId="21" r:id="rId2"/>
    <sheet name="CF_Flexibility_Matrix" sheetId="22" r:id="rId3"/>
    <sheet name="Biomass_Avail" sheetId="23" r:id="rId4"/>
    <sheet name="Hydro_Avail" sheetId="24" r:id="rId5"/>
    <sheet name="Power_Flexibility_Matrix" sheetId="25" r:id="rId6"/>
    <sheet name="MI_Agg_2010" sheetId="18" r:id="rId7"/>
    <sheet name="MI" sheetId="20" r:id="rId8"/>
    <sheet name="Legend" sheetId="3" r:id="rId9"/>
    <sheet name="Solar PV - CSP" sheetId="1" r:id="rId10"/>
    <sheet name="Wind" sheetId="6" r:id="rId11"/>
    <sheet name="Nuclear" sheetId="4" r:id="rId12"/>
    <sheet name="Hydro" sheetId="9" r:id="rId13"/>
    <sheet name="Biomass" sheetId="7" r:id="rId14"/>
    <sheet name="Geothermal" sheetId="8" r:id="rId15"/>
    <sheet name="Fossil energy" sheetId="5" r:id="rId16"/>
    <sheet name="Ref&amp;Hp" sheetId="2" r:id="rId17"/>
  </sheets>
  <definedNames>
    <definedName name="_xlnm._FilterDatabase" localSheetId="7" hidden="1">MI!$A$1:$AB$1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 i="4" l="1"/>
  <c r="O20" i="4"/>
  <c r="H18" i="20"/>
  <c r="G18" i="20"/>
  <c r="H2" i="20"/>
  <c r="G2" i="20"/>
  <c r="B63" i="2"/>
  <c r="B69" i="2" s="1"/>
  <c r="B62" i="2"/>
  <c r="B43" i="2"/>
  <c r="B42" i="2"/>
  <c r="G50" i="2" s="1"/>
  <c r="E52" i="2" l="1"/>
  <c r="E50" i="2"/>
  <c r="B68" i="2"/>
  <c r="D52" i="2"/>
  <c r="D50" i="2"/>
  <c r="B70" i="2"/>
  <c r="E69" i="2"/>
  <c r="C69" i="2" s="1"/>
  <c r="E70" i="2"/>
  <c r="E68" i="2"/>
  <c r="F52" i="2"/>
  <c r="F50" i="2"/>
  <c r="C49" i="2"/>
  <c r="G51" i="2"/>
  <c r="G49" i="2"/>
  <c r="C52" i="2"/>
  <c r="F51" i="2"/>
  <c r="F49" i="2"/>
  <c r="C51" i="2"/>
  <c r="E51" i="2"/>
  <c r="E49" i="2"/>
  <c r="C50" i="2"/>
  <c r="D51" i="2"/>
  <c r="D49" i="2"/>
  <c r="G52" i="2"/>
  <c r="I25" i="6"/>
  <c r="P37" i="4"/>
  <c r="O37" i="4"/>
  <c r="C70" i="2" l="1"/>
  <c r="D70" i="2"/>
  <c r="D68" i="2"/>
  <c r="C68" i="2"/>
  <c r="D69" i="2"/>
  <c r="H16" i="6"/>
  <c r="E16" i="6"/>
  <c r="B16" i="6"/>
  <c r="E37" i="6"/>
  <c r="F37" i="6"/>
  <c r="I37" i="6"/>
  <c r="H37" i="6"/>
  <c r="B37" i="6"/>
  <c r="C37" i="6"/>
  <c r="B32" i="6" l="1"/>
  <c r="C32" i="6"/>
  <c r="H24" i="6"/>
  <c r="I24" i="6"/>
  <c r="H25" i="6"/>
  <c r="F25" i="6"/>
  <c r="E25" i="6"/>
  <c r="H20" i="6"/>
  <c r="I20" i="6"/>
  <c r="H21" i="6"/>
  <c r="I21" i="6"/>
  <c r="H22" i="6"/>
  <c r="I22" i="6"/>
  <c r="E20" i="6"/>
  <c r="F20" i="6"/>
  <c r="E21" i="6"/>
  <c r="F21" i="6"/>
  <c r="E22" i="6"/>
  <c r="F22" i="6"/>
  <c r="I19" i="6"/>
  <c r="H17" i="6"/>
  <c r="H19" i="6"/>
  <c r="F17" i="6"/>
  <c r="F19" i="6"/>
  <c r="E17" i="6"/>
  <c r="E19" i="6"/>
  <c r="C17" i="6"/>
  <c r="C19" i="6"/>
  <c r="C25" i="6"/>
  <c r="B25" i="6"/>
  <c r="C21" i="6"/>
  <c r="C22" i="6"/>
  <c r="B21" i="6"/>
  <c r="C20" i="6"/>
  <c r="B20" i="6"/>
  <c r="B22" i="6"/>
  <c r="B19" i="6"/>
  <c r="C16" i="6"/>
  <c r="B17" i="6"/>
  <c r="F16" i="6" l="1"/>
  <c r="I10" i="6"/>
  <c r="F10" i="6"/>
  <c r="C10" i="6"/>
  <c r="E6" i="6"/>
  <c r="B6" i="6"/>
  <c r="I6" i="6"/>
  <c r="H6" i="6"/>
  <c r="F6" i="6"/>
  <c r="C6" i="6"/>
  <c r="H4" i="6"/>
  <c r="I4" i="6"/>
  <c r="F4" i="6"/>
  <c r="C4" i="6"/>
  <c r="BK28" i="1"/>
  <c r="BJ28" i="1"/>
  <c r="BH28" i="1"/>
  <c r="BG28" i="1"/>
  <c r="Q6" i="1"/>
  <c r="BK22" i="1" l="1"/>
  <c r="BJ22" i="1"/>
  <c r="BF19" i="1"/>
  <c r="BK19" i="1"/>
  <c r="BG18" i="1"/>
  <c r="BF9" i="1"/>
  <c r="BG8" i="1"/>
  <c r="BH8" i="1"/>
  <c r="BI8" i="1"/>
  <c r="BJ8" i="1"/>
  <c r="BK8" i="1"/>
  <c r="BG6" i="1"/>
  <c r="BF3" i="1"/>
  <c r="BI3" i="1"/>
  <c r="AU9" i="1"/>
  <c r="AN26" i="1"/>
  <c r="AM26" i="1"/>
  <c r="AL26" i="1"/>
  <c r="AN15" i="1"/>
  <c r="AM15" i="1"/>
  <c r="AL11" i="1"/>
  <c r="AN9" i="1"/>
  <c r="AD37" i="1"/>
  <c r="S37" i="1"/>
  <c r="AC37" i="1"/>
  <c r="AB37" i="1"/>
  <c r="Q37" i="1"/>
  <c r="AD31" i="1"/>
  <c r="AC31" i="1"/>
  <c r="AB31" i="1"/>
  <c r="AD20" i="1"/>
  <c r="AB20" i="1"/>
  <c r="AD5" i="1"/>
  <c r="AC5" i="1"/>
  <c r="AT3" i="1"/>
  <c r="AM3" i="1"/>
  <c r="AC3" i="1"/>
  <c r="R37" i="1"/>
  <c r="S33" i="1"/>
  <c r="Q33" i="1"/>
  <c r="R29" i="1"/>
  <c r="S29" i="1"/>
  <c r="S27" i="1"/>
  <c r="R27" i="1"/>
  <c r="S22" i="1"/>
  <c r="S13" i="1"/>
  <c r="AB6" i="1"/>
  <c r="R3" i="1"/>
  <c r="S3" i="1"/>
  <c r="AB9" i="1"/>
  <c r="R9" i="1"/>
  <c r="AD3" i="1" l="1"/>
  <c r="AN3" i="1" s="1"/>
  <c r="AU3" i="1" s="1"/>
  <c r="I30" i="8"/>
  <c r="J29" i="8"/>
  <c r="I29" i="8"/>
  <c r="H29" i="8"/>
  <c r="I22" i="8"/>
  <c r="F37" i="9"/>
  <c r="G6" i="9"/>
  <c r="G9" i="9"/>
  <c r="G16" i="9"/>
  <c r="G19" i="9"/>
  <c r="F9" i="9"/>
  <c r="H3" i="7"/>
  <c r="G3" i="7"/>
  <c r="H7" i="7"/>
  <c r="H17" i="7"/>
  <c r="I22" i="7"/>
  <c r="I6" i="7"/>
  <c r="I29" i="7"/>
  <c r="H29" i="7"/>
  <c r="H22" i="7"/>
  <c r="I17" i="7"/>
  <c r="I9" i="7"/>
  <c r="H9" i="7"/>
  <c r="I7" i="7"/>
  <c r="H6" i="7"/>
  <c r="I3" i="7"/>
  <c r="P23" i="4"/>
  <c r="O23" i="4"/>
  <c r="O35" i="4"/>
  <c r="P38" i="4"/>
  <c r="O38" i="4"/>
  <c r="O34" i="4"/>
  <c r="P34" i="4"/>
  <c r="P35" i="4"/>
  <c r="O36" i="4"/>
  <c r="P36" i="4"/>
  <c r="P33" i="4"/>
  <c r="O33" i="4"/>
  <c r="P28" i="4"/>
  <c r="O28" i="4"/>
  <c r="P22" i="4"/>
  <c r="O22" i="4"/>
  <c r="P19" i="4"/>
  <c r="P17" i="4"/>
  <c r="O17" i="4"/>
  <c r="P15" i="4"/>
  <c r="P14" i="4"/>
  <c r="P3" i="4"/>
  <c r="O3" i="4"/>
  <c r="P6" i="4"/>
  <c r="O6" i="4"/>
  <c r="AF29" i="5"/>
  <c r="AG29" i="5"/>
  <c r="AF3" i="5"/>
  <c r="AG3" i="5"/>
  <c r="Z9" i="5"/>
  <c r="Y9" i="5"/>
  <c r="S22" i="5"/>
  <c r="R22" i="5"/>
  <c r="Q22" i="5"/>
  <c r="S6" i="5"/>
  <c r="R6" i="5"/>
  <c r="I29" i="5"/>
  <c r="J3" i="5"/>
  <c r="B29" i="8" l="1"/>
  <c r="B29" i="7"/>
  <c r="D9" i="7"/>
  <c r="B9" i="7"/>
  <c r="B3" i="7"/>
  <c r="X19" i="6"/>
  <c r="W19" i="6"/>
  <c r="AE18" i="6"/>
  <c r="AD18" i="6"/>
  <c r="AC18" i="6"/>
  <c r="AB18" i="6"/>
  <c r="AA18" i="6"/>
  <c r="Z18" i="6"/>
  <c r="Y18" i="6"/>
  <c r="X18" i="6"/>
  <c r="W18" i="6"/>
  <c r="T18" i="6"/>
  <c r="S18" i="6"/>
  <c r="R18" i="6"/>
  <c r="Q18" i="6"/>
  <c r="P18" i="6"/>
  <c r="X7" i="6"/>
  <c r="I9" i="6" s="1"/>
  <c r="W7" i="6"/>
  <c r="AH5" i="6"/>
  <c r="X3" i="6"/>
  <c r="W3" i="6"/>
  <c r="B9" i="6" l="1"/>
  <c r="F9" i="6"/>
  <c r="H3" i="6"/>
  <c r="I3" i="6"/>
  <c r="C9" i="6"/>
  <c r="E9" i="6"/>
  <c r="H9" i="6"/>
  <c r="F3" i="6"/>
  <c r="E3" i="6"/>
  <c r="C3" i="6"/>
  <c r="B3" i="6"/>
  <c r="AE29" i="5"/>
  <c r="AD29" i="5"/>
  <c r="N29" i="5"/>
  <c r="E29" i="5"/>
  <c r="AD9" i="5"/>
  <c r="X9" i="5"/>
  <c r="N9" i="5"/>
  <c r="Q9" i="5" s="1"/>
  <c r="E9" i="5"/>
  <c r="Q6" i="5"/>
  <c r="AE3" i="5"/>
  <c r="AD3" i="5"/>
  <c r="N3" i="5"/>
  <c r="E3" i="5"/>
  <c r="J9" i="5" l="1"/>
  <c r="H9" i="5"/>
  <c r="AE9" i="5"/>
  <c r="AG9" i="5"/>
  <c r="AF9" i="5"/>
  <c r="Q3" i="5"/>
  <c r="R3" i="5"/>
  <c r="S3" i="5"/>
  <c r="R9" i="5"/>
  <c r="S9" i="5"/>
  <c r="J29" i="5"/>
  <c r="H29" i="5"/>
  <c r="C29" i="4"/>
  <c r="C9" i="4"/>
  <c r="C3" i="4"/>
  <c r="P9" i="4" l="1"/>
  <c r="O9" i="4"/>
  <c r="O29" i="4"/>
  <c r="P29" i="4"/>
  <c r="BI37" i="1"/>
  <c r="BF37" i="1"/>
  <c r="L29" i="1"/>
  <c r="B29" i="1"/>
  <c r="BI28" i="1"/>
  <c r="BF28" i="1"/>
  <c r="Q28" i="1"/>
  <c r="Q27" i="1"/>
  <c r="BI22" i="1"/>
  <c r="BF22" i="1"/>
  <c r="BF20" i="1"/>
  <c r="BH20" i="1" s="1"/>
  <c r="BI19" i="1"/>
  <c r="BI18" i="1"/>
  <c r="BF18" i="1"/>
  <c r="BF16" i="1"/>
  <c r="AL15" i="1"/>
  <c r="BF13" i="1"/>
  <c r="BI9" i="1"/>
  <c r="B9" i="1"/>
  <c r="BF8" i="1"/>
  <c r="BF6" i="1"/>
  <c r="BH6" i="1" s="1"/>
  <c r="BF5" i="1"/>
  <c r="AB5" i="1"/>
  <c r="B3" i="1"/>
  <c r="S9" i="1" l="1"/>
  <c r="AL9" i="1"/>
  <c r="Q9" i="1"/>
  <c r="AS9" i="1"/>
  <c r="Q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tc={8FB6C7ED-0561-40B0-8E35-29E62140852F}</author>
    <author>tc={1D9E0D0F-5D53-4C06-8603-8376B11A12F5}</author>
    <author>tc={4D33947D-FAA8-4151-9C26-3AC973167009}</author>
    <author>tc={8F1D7FD1-0992-4777-AC29-51706467296E}</author>
    <author>tc={966B74C1-E7F2-4A48-8239-8FE2BD5C3364}</author>
  </authors>
  <commentList>
    <comment ref="L2" authorId="0" shapeId="0" xr:uid="{8FB6C7ED-0561-40B0-8E35-29E62140852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Système de montage non pris en compte 
Photovoltaic plant + electric installation
Réponse :
    Calcul effectué à partir du kW peak, donc au pic de performance maximum.  </t>
      </text>
    </comment>
    <comment ref="AA5" authorId="1" shapeId="0" xr:uid="{1D9E0D0F-5D53-4C06-8603-8376B11A12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(6 à 244)</t>
      </text>
    </comment>
    <comment ref="L16" authorId="2" shapeId="0" xr:uid="{4D33947D-FAA8-4151-9C26-3AC97316700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comparer avec les chiffres de steel ? </t>
      </text>
    </comment>
    <comment ref="A29" authorId="3" shapeId="0" xr:uid="{8F1D7FD1-0992-4777-AC29-51706467296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2,14% massique de carbone. </t>
      </text>
    </comment>
    <comment ref="F29" authorId="4" shapeId="0" xr:uid="{966B74C1-E7F2-4A48-8239-8FE2BD5C336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source : Ashby 2016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tc={8B3F5A38-505A-460F-8C2D-082F45408091}</author>
    <author>tc={F4223CD5-FC9A-4042-B5A5-141861AC2B8A}</author>
    <author>tc={9E73D6A7-0F01-46D6-AE06-453F4AA7A620}</author>
    <author>tc={8627233F-9B2E-4363-ABFF-1CB922A96507}</author>
    <author>tc={53F95FC4-7BD2-4989-BAB0-CF12FEEDCB99}</author>
    <author>tc={BE3C2824-0C93-48B2-8B8D-E38A89666185}</author>
    <author>tc={66557FAB-BC09-4A37-AB39-A3C1AE802DB0}</author>
    <author>tc={AB2C24F2-C0BA-4A0E-9556-96018B886143}</author>
    <author>tc={A2BADBC8-4AA8-49E5-BCD3-85EDEFDF22CB}</author>
    <author>tc={2C51A142-E481-4C0F-B5B0-89A253890CB2}</author>
    <author>tc={EE623964-4510-49BA-8C69-B2F3F69E78F6}</author>
    <author>tc={402A6F60-FDC6-46D3-914F-4F5F917ACA41}</author>
    <author>tc={2186942B-8B02-4A7C-864C-0039AE705D67}</author>
    <author>tc={6FF726E4-E95A-4BB4-B89B-7B93A9872627}</author>
    <author>tc={167B12E1-140E-4DBA-9521-68694463F572}</author>
    <author>tc={51974AA9-0805-46D7-A00C-ADEFF30781A0}</author>
    <author>tc={DCA44B85-2AC6-481F-A100-2F7C1DA1DAB6}</author>
    <author>tc={07F30DE0-A33E-48D8-B784-7C40D9945F6E}</author>
    <author>tc={1C9D96AC-E975-4C37-8F89-DB3719CDF7B3}</author>
    <author>tc={3C93C5B5-976D-4A17-829D-F232741A1321}</author>
    <author>tc={C9AC3D5D-459E-4088-B733-BA208261ED62}</author>
    <author>tc={06926F3D-A2EF-4A4B-BF57-0D33F81062D7}</author>
    <author>tc={AE256A3C-1AD1-4E65-8525-6A262C2D89C1}</author>
    <author>tc={70F27993-68FA-4657-A452-ACFBB1AAE338}</author>
    <author>tc={E78054A9-62C6-4269-9E5C-EBF6B10A276A}</author>
    <author>tc={E84FA399-DBD9-4280-95B9-51897799D27D}</author>
    <author>tc={A3E0AD2A-8BF5-425A-8E9D-CC5BD72B9CB3}</author>
    <author>tc={BC4FB2FD-5CFF-4F1D-A774-9F85CFC6ADBA}</author>
    <author>tc={076A2792-2DDA-4473-8297-0CC7CC4E00A2}</author>
    <author>tc={3A11FEB0-37AE-4F6D-BF31-BF61A28C6635}</author>
    <author>tc={EAF5C741-13C2-42AB-A849-3B5A6EB3A353}</author>
  </authors>
  <commentList>
    <comment ref="U1" authorId="0" shapeId="0" xr:uid="{8B3F5A38-505A-460F-8C2D-082F454080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Steel et aluminium exclus</t>
      </text>
    </comment>
    <comment ref="W1" authorId="1" shapeId="0" xr:uid="{F4223CD5-FC9A-4042-B5A5-141861AC2B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Mais focus sur le système dutch
Réponse :
    Sources : Roelofs, 2020</t>
      </text>
    </comment>
    <comment ref="AA1" authorId="2" shapeId="0" xr:uid="{9E73D6A7-0F01-46D6-AE06-453F4AA7A62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sources dans les supplementary informations</t>
      </text>
    </comment>
    <comment ref="R2" authorId="3" shapeId="0" xr:uid="{8627233F-9B2E-4363-ABFF-1CB922A9650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permanent magnets 1/3 the mass of the direct drive counterparts. </t>
      </text>
    </comment>
    <comment ref="S2" authorId="4" shapeId="0" xr:uid="{53F95FC4-7BD2-4989-BAB0-CF12FEEDCB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GB-DFIG values were adopted for the GB-SCIG turbines because they are both high-speed, gearbox generators.</t>
      </text>
    </comment>
    <comment ref="U2" authorId="5" shapeId="0" xr:uid="{BE3C2824-0C93-48B2-8B8D-E38A896661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aux chiffres de GB-DFIG / SCIG</t>
      </text>
    </comment>
    <comment ref="V2" authorId="6" shapeId="0" xr:uid="{66557FAB-BC09-4A37-AB39-A3C1AE802D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aux chiffres de DD-PMSG</t>
      </text>
    </comment>
    <comment ref="Y2" authorId="7" shapeId="0" xr:uid="{AB2C24F2-C0BA-4A0E-9556-96018B88614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onshore</t>
      </text>
    </comment>
    <comment ref="Z2" authorId="8" shapeId="0" xr:uid="{A2BADBC8-4AA8-49E5-BCD3-85EDEFDF22C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offshore</t>
      </text>
    </comment>
    <comment ref="AD2" authorId="9" shapeId="0" xr:uid="{2C51A142-E481-4C0F-B5B0-89A253890C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network connexion n'ont pas été intégrées</t>
      </text>
    </comment>
    <comment ref="J3" authorId="10" shapeId="0" xr:uid="{EE623964-4510-49BA-8C69-B2F3F69E78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GB : + d'alu, - de cuivre -&gt; remplacement cuivre par alu dans la bobine du transformateur et dans le design de la tour</t>
      </text>
    </comment>
    <comment ref="P3" authorId="11" shapeId="0" xr:uid="{402A6F60-FDC6-46D3-914F-4F5F917ACA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DD : cuivre est préféré, onshore et offshore</t>
      </text>
    </comment>
    <comment ref="R3" authorId="12" shapeId="0" xr:uid="{2186942B-8B02-4A7C-864C-0039AE705D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GB : + d'alu, - de cuivre -&gt; remplacement cuivre par alu dans la bobine du transformateur et dans le design de la tour</t>
      </text>
    </comment>
    <comment ref="Q6" authorId="13" shapeId="0" xr:uid="{6FF726E4-E95A-4BB4-B89B-7B93A98726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 surtout offshore</t>
      </text>
    </comment>
    <comment ref="R6" authorId="14" shapeId="0" xr:uid="{167B12E1-140E-4DBA-9521-68694463F5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grandes turbines onshore</t>
      </text>
    </comment>
    <comment ref="P7" authorId="15" shapeId="0" xr:uid="{51974AA9-0805-46D7-A00C-ADEFF30781A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Surtout dans les DD : 3X + que dans les gearbox</t>
      </text>
    </comment>
    <comment ref="AD7" authorId="16" shapeId="0" xr:uid="{DCA44B85-2AC6-481F-A100-2F7C1DA1DAB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Max de 1 400 pour les GB, majoritairement onshore</t>
      </text>
    </comment>
    <comment ref="Q8" authorId="17" shapeId="0" xr:uid="{07F30DE0-A33E-48D8-B784-7C40D9945F6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
      </text>
    </comment>
    <comment ref="G10" authorId="18" shapeId="0" xr:uid="{1C9D96AC-E975-4C37-8F89-DB3719CDF7B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
      </text>
    </comment>
    <comment ref="O10" authorId="19" shapeId="0" xr:uid="{3C93C5B5-976D-4A17-829D-F232741A13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A13" authorId="20" shapeId="0" xr:uid="{C9AC3D5D-459E-4088-B733-BA208261ED6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Deux sources à 116 et 135, une à 750 faussant le résultat ? </t>
      </text>
    </comment>
    <comment ref="Q14" authorId="21" shapeId="0" xr:uid="{06926F3D-A2EF-4A4B-BF57-0D33F81062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Up to 25% of neodymium can be replaced with praseodymium (Lacal-Arántegui, 2015).</t>
      </text>
    </comment>
    <comment ref="R15" authorId="22" shapeId="0" xr:uid="{AE256A3C-1AD1-4E65-8525-6A262C2D89C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dans les GB</t>
      </text>
    </comment>
    <comment ref="AD18" authorId="23" shapeId="0" xr:uid="{70F27993-68FA-4657-A452-ACFBB1AAE3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Terres rares semblent peu comptabilisées</t>
      </text>
    </comment>
    <comment ref="O19" authorId="24" shapeId="0" xr:uid="{E78054A9-62C6-4269-9E5C-EBF6B10A27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G21" authorId="25" shapeId="0" xr:uid="{E84FA399-DBD9-4280-95B9-51897799D27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Up to 25% of neodymium can be replaced with praseodymium (Lacal-Arántegui, 2015).</t>
      </text>
    </comment>
    <comment ref="J22" authorId="26" shapeId="0" xr:uid="{A3E0AD2A-8BF5-425A-8E9D-CC5BD72B9C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dans les GB</t>
      </text>
    </comment>
    <comment ref="AD24" authorId="27" shapeId="0" xr:uid="{BC4FB2FD-5CFF-4F1D-A774-9F85CFC6ADB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Métaux dont la quantité extraite est supérieure à + de 100 tonnes</t>
      </text>
    </comment>
    <comment ref="Q26" authorId="28" shapeId="0" xr:uid="{076A2792-2DDA-4473-8297-0CC7CC4E00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GB-DFIG values were adopted for the GB-SCIG turbines because they are both high-speed, gearbox generators.</t>
      </text>
    </comment>
    <comment ref="S26" authorId="29" shapeId="0" xr:uid="{3A11FEB0-37AE-4F6D-BF31-BF61A28C663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permanent magnets 1/3 the mass of the direct drive counterparts. </t>
      </text>
    </comment>
    <comment ref="A29" authorId="30" shapeId="0" xr:uid="{EAF5C741-13C2-42AB-A849-3B5A6EB3A35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2,14% massique de carbone.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tc={6045318E-0914-49D4-B41B-E71CD450BBE5}</author>
    <author>tc={17ADEFD2-0F3A-4472-BA69-D5150942ABFA}</author>
    <author>tc={6FD2C131-72ED-435E-8AC3-B75EFEDA7A65}</author>
  </authors>
  <commentList>
    <comment ref="J1" authorId="0" shapeId="0" xr:uid="{6045318E-0914-49D4-B41B-E71CD450BB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frontières du système sont différentes car l'ACV prend en compte l'entièreté des étapes du cycle de vie, on s'attend donc à des résultats surévalués
Réponse :
    Revoir les matières également, car il y a beaucoup plus de matière sur open LCA qui ont pu être regroupées dans les autres études (ex: bauxite / aluminium)</t>
      </text>
    </comment>
    <comment ref="A16" authorId="1" shapeId="0" xr:uid="{17ADEFD2-0F3A-4472-BA69-D5150942AB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2" shapeId="0" xr:uid="{6FD2C131-72ED-435E-8AC3-B75EFEDA7A6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tc={1776CCBB-7DDE-4754-9F88-CCF28503E6AD}</author>
    <author>tc={11723F19-8D1B-4C38-8865-40BFD104914B}</author>
    <author>tc={6116D13F-A8F3-4D6D-82BF-2914A3049ECC}</author>
  </authors>
  <commentList>
    <comment ref="A16" authorId="0" shapeId="0" xr:uid="{1776CCBB-7DDE-4754-9F88-CCF28503E6A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11723F19-8D1B-4C38-8865-40BFD10491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C29" authorId="2" shapeId="0" xr:uid="{6116D13F-A8F3-4D6D-82BF-2914A3049EC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Selon Ashby : 5820, dont 0,82 pour l'électrique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tc={A69F6C7F-C261-4F7A-9F86-5F16EA3FE616}</author>
    <author>tc={8FB64FAE-0247-4AEA-929E-1D3B53E122F3}</author>
    <author>tc={C256C050-AF29-416F-BA47-455749B328F0}</author>
    <author>tc={5547A215-AF40-4A30-B9BC-CC92809C2892}</author>
  </authors>
  <commentList>
    <comment ref="A16" authorId="0" shapeId="0" xr:uid="{A69F6C7F-C261-4F7A-9F86-5F16EA3FE6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8FB64FAE-0247-4AEA-929E-1D3B53E122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B29" authorId="2" shapeId="0" xr:uid="{C256C050-AF29-416F-BA47-455749B32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Carbon steel : 10 800
Réponse :
    High alloy steel : 342 400
Réponse :
    Low alloy steel : 2000 à 476 000</t>
      </text>
    </comment>
    <comment ref="C29" authorId="3" shapeId="0" xr:uid="{5547A215-AF40-4A30-B9BC-CC92809C2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Moyenne utilisée dans l'étude : Total material requirement for the global energy transition to 2050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tc={7797B99C-B14C-404D-9D0F-9B8DD4B2DA1E}</author>
    <author>tc={45DF2CF2-29F0-4393-AA03-60FF8830F8F7}</author>
  </authors>
  <commentList>
    <comment ref="A16" authorId="0" shapeId="0" xr:uid="{7797B99C-B14C-404D-9D0F-9B8DD4B2DA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45DF2CF2-29F0-4393-AA03-60FF8830F8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List>
</comments>
</file>

<file path=xl/sharedStrings.xml><?xml version="1.0" encoding="utf-8"?>
<sst xmlns="http://schemas.openxmlformats.org/spreadsheetml/2006/main" count="1123" uniqueCount="438">
  <si>
    <t>The Role of Critical Minerals in Clean Energy Transitions (AIE, version révisée mars 2022). End-of-life management, Solar Photovoltaic Panels (IRENA, 2019) pour la durée de vie des panneaux solaires et la maintenance. Données transmises par ELVO (batteries LFP). Données de fournisseurs (onduleur et transformateur).</t>
  </si>
  <si>
    <t>PV Panel</t>
  </si>
  <si>
    <t>PV Plant</t>
  </si>
  <si>
    <t>Bodeker et al 2010, Aluminium and Renewable Energy Systems - Prospects for the Sustainable Generation of Electricity and Heat</t>
  </si>
  <si>
    <t>c-Si</t>
  </si>
  <si>
    <t>Commentaires</t>
  </si>
  <si>
    <t>CdTe</t>
  </si>
  <si>
    <t xml:space="preserve">CIGS </t>
  </si>
  <si>
    <t>a-Si</t>
  </si>
  <si>
    <t>a-SiGe</t>
  </si>
  <si>
    <t>Pihl et al 2012, Material constraints for concentrating solar thermal power</t>
  </si>
  <si>
    <t>Etude sur les matériaux de la transition énergétique - Rosset - Annexe C. Panneaux solaires : aggrégé</t>
  </si>
  <si>
    <t>Framed module</t>
  </si>
  <si>
    <t>Drameless CdTe (thin film)</t>
  </si>
  <si>
    <t>Pour le solaire, l'étude de l'UE est moins complète. Combinaison des chiffres de plusieurs études, en effectuant des moyennes. Les chiffres d'Open LCA ne sont utilisés qu'à titre indicatif et dans les moyennes</t>
  </si>
  <si>
    <t>Metal production requirements for rapid PV deployment (2015, High=today level)</t>
  </si>
  <si>
    <t xml:space="preserve">Démarche générale : Pour le solaire, l'étude de l'UE est moins complète. Combinaison des chiffres de plusieurs études, en effectuant des moyennes. </t>
  </si>
  <si>
    <t>CSP (parabolic trough)</t>
  </si>
  <si>
    <t>CSP (central power : solar tower)</t>
  </si>
  <si>
    <t>Trough</t>
  </si>
  <si>
    <t>Tower</t>
  </si>
  <si>
    <t>Aluminium</t>
  </si>
  <si>
    <t>Boron</t>
  </si>
  <si>
    <t>Cadmium</t>
  </si>
  <si>
    <t>Concrete</t>
  </si>
  <si>
    <t>comme steel</t>
  </si>
  <si>
    <t>2741, 300, 250, 884, 825, 943</t>
  </si>
  <si>
    <t>Dysprosium</t>
  </si>
  <si>
    <t xml:space="preserve">Gallium </t>
  </si>
  <si>
    <t>Glass</t>
  </si>
  <si>
    <t>Hafnium</t>
  </si>
  <si>
    <t>Indium</t>
  </si>
  <si>
    <t>Iron</t>
  </si>
  <si>
    <t>Métaux ferreux : 66 940</t>
  </si>
  <si>
    <t>Lead</t>
  </si>
  <si>
    <t>336, 6, 5.53, 6.32, 72, 39</t>
  </si>
  <si>
    <t>Magnesium</t>
  </si>
  <si>
    <t>Manganese</t>
  </si>
  <si>
    <t>Neodymium</t>
  </si>
  <si>
    <t>Nickel</t>
  </si>
  <si>
    <t>1.1, 1.3, 1.3, 1</t>
  </si>
  <si>
    <t>Niobium</t>
  </si>
  <si>
    <t>Polymers</t>
  </si>
  <si>
    <t>Praesodymium</t>
  </si>
  <si>
    <t xml:space="preserve">Selenium (Se) </t>
  </si>
  <si>
    <t>Silicium (Si)</t>
  </si>
  <si>
    <t>Silver</t>
  </si>
  <si>
    <t>84, 10, 24, 19, 10, 29, 80, 35.6, 19, 36, 4, 47, 57, 17, 59, 68.17, 5…</t>
  </si>
  <si>
    <t>Steel</t>
  </si>
  <si>
    <t>Déjà compté en iron</t>
  </si>
  <si>
    <t>Tantalum</t>
  </si>
  <si>
    <t>Tellurium (Te)</t>
  </si>
  <si>
    <t xml:space="preserve"> </t>
  </si>
  <si>
    <t>Terbium</t>
  </si>
  <si>
    <t>Tin</t>
  </si>
  <si>
    <t>Tungsten</t>
  </si>
  <si>
    <t>Yttrium</t>
  </si>
  <si>
    <t>Zinc</t>
  </si>
  <si>
    <t>(Pihl et al., 2012)</t>
  </si>
  <si>
    <t>Zirconium</t>
  </si>
  <si>
    <t>Ref</t>
  </si>
  <si>
    <t>Fiability of the data</t>
  </si>
  <si>
    <r>
      <rPr>
        <b/>
        <sz val="11"/>
        <color theme="1"/>
        <rFont val="Calibri"/>
        <family val="2"/>
        <scheme val="minor"/>
      </rPr>
      <t xml:space="preserve">
Source 
</t>
    </r>
    <r>
      <rPr>
        <sz val="11"/>
        <color theme="1"/>
        <rFont val="Calibri"/>
        <family val="2"/>
        <scheme val="minor"/>
      </rPr>
      <t xml:space="preserve">
</t>
    </r>
    <r>
      <rPr>
        <b/>
        <sz val="11"/>
        <color theme="1"/>
        <rFont val="Calibri"/>
        <family val="2"/>
        <scheme val="minor"/>
      </rPr>
      <t>Métaux</t>
    </r>
  </si>
  <si>
    <t>Dones, R., Bauer, C., Roder, A., 2007. Teil VI: kohle. Sachbilanzen von Energiesystemen: Grundlagen fur Den Okologischen Vergleich von Energiesystemen und Den Einbezug von Energiesystemen in Okobilanzen fur Die. Schweiz. Ecoinvent report, Dubendorf, Switserland.</t>
  </si>
  <si>
    <t>Pressure water power plant</t>
  </si>
  <si>
    <t>Boiling water power plant</t>
  </si>
  <si>
    <t xml:space="preserve">Cadmium </t>
  </si>
  <si>
    <t>Chromium</t>
  </si>
  <si>
    <t>Cobalt</t>
  </si>
  <si>
    <t>Copper</t>
  </si>
  <si>
    <t xml:space="preserve">Germanium </t>
  </si>
  <si>
    <t>Molybdenum</t>
  </si>
  <si>
    <t>Vanadium</t>
  </si>
  <si>
    <t>Coal</t>
  </si>
  <si>
    <t>Natural gas</t>
  </si>
  <si>
    <t>Oil</t>
  </si>
  <si>
    <t xml:space="preserve">Hydrogen </t>
  </si>
  <si>
    <t>Material requirements for low-carbon energy technologies: A quantitative review. Renew Sustain Energy Rev 161:. (moyennes)</t>
  </si>
  <si>
    <t>ACV production d'électricité d'origine éolienne en France (2015, Cycléo, Ademe). Parc éolien</t>
  </si>
  <si>
    <t>2011 Garrett + Ronde - Life Cycle Assessment of Electricity Production from a V90-2.0MW Gridstreamer Wind Plant</t>
  </si>
  <si>
    <t>2011 Department of Energy, Critical Materials Strategy</t>
  </si>
  <si>
    <t>DD-EESG</t>
  </si>
  <si>
    <t>DD-PMSG</t>
  </si>
  <si>
    <t>GB-PMSG</t>
  </si>
  <si>
    <t>GB-DFIG (et SCIG)</t>
  </si>
  <si>
    <t xml:space="preserve">Range </t>
  </si>
  <si>
    <t>Onshore wind</t>
  </si>
  <si>
    <t>Offshore wind</t>
  </si>
  <si>
    <t>Wind power (induction)</t>
  </si>
  <si>
    <t>Wind power (PM)</t>
  </si>
  <si>
    <t>Onshore</t>
  </si>
  <si>
    <t>Offshore</t>
  </si>
  <si>
    <t>Wind</t>
  </si>
  <si>
    <t>Onshore, éolienne 4.5 MW</t>
  </si>
  <si>
    <t>Offshore, éolienne 2 MW</t>
  </si>
  <si>
    <t>Direct-drive</t>
  </si>
  <si>
    <t>Parc éolien / vestas</t>
  </si>
  <si>
    <t>DDSG</t>
  </si>
  <si>
    <t>DFIG</t>
  </si>
  <si>
    <t>Onshore DD and AG</t>
  </si>
  <si>
    <t>Onshore DD</t>
  </si>
  <si>
    <t>500-1 600</t>
  </si>
  <si>
    <t>0-6</t>
  </si>
  <si>
    <t>470-580</t>
  </si>
  <si>
    <t>243 500-413 000</t>
  </si>
  <si>
    <t>/</t>
  </si>
  <si>
    <t>950-5 000</t>
  </si>
  <si>
    <t>2-17</t>
  </si>
  <si>
    <t>Glass/ carbon composites</t>
  </si>
  <si>
    <t>7 700-8 400</t>
  </si>
  <si>
    <t>18 000-20 800</t>
  </si>
  <si>
    <t>Métaux ferreux : 130364</t>
  </si>
  <si>
    <t>(steel) : 122780</t>
  </si>
  <si>
    <t>6720, 3790</t>
  </si>
  <si>
    <t>780-800</t>
  </si>
  <si>
    <t>99-119</t>
  </si>
  <si>
    <t>12-180</t>
  </si>
  <si>
    <t>240-440</t>
  </si>
  <si>
    <t>4 600</t>
  </si>
  <si>
    <t>0-35</t>
  </si>
  <si>
    <t>Rare earth (total)</t>
  </si>
  <si>
    <t>107 000-132 000</t>
  </si>
  <si>
    <t>0-7</t>
  </si>
  <si>
    <t>5 500</t>
  </si>
  <si>
    <t>Hybride</t>
  </si>
  <si>
    <t>Moss et al. 2011</t>
  </si>
  <si>
    <t>Lea A. (President, International Copper Association), 2016, The longterm fundamentals of copper demand, Copper 2016, 2016.11.14., Kobe, Japan.</t>
  </si>
  <si>
    <t xml:space="preserve">Few datas
General methodology : mean value, or only data available. </t>
  </si>
  <si>
    <t>Biomass</t>
  </si>
  <si>
    <t>Datas quite different. Use the non regionalised data</t>
  </si>
  <si>
    <t xml:space="preserve">Only data available </t>
  </si>
  <si>
    <t>Methodology</t>
  </si>
  <si>
    <t>Final data</t>
  </si>
  <si>
    <t>Min</t>
  </si>
  <si>
    <t>Max</t>
  </si>
  <si>
    <t>Mean value, excluding the most different data</t>
  </si>
  <si>
    <t>Similar datas, mean value</t>
  </si>
  <si>
    <t>Accounted in iron</t>
  </si>
  <si>
    <t>Aggregated : oil, coal and natural gas</t>
  </si>
  <si>
    <t xml:space="preserve">
Source 
Métaux</t>
  </si>
  <si>
    <t xml:space="preserve">Data from IEA was chosen, considered the most reliable source. But great variability in data, depends of the chosen technology. </t>
  </si>
  <si>
    <t xml:space="preserve">Important variability in the data. Open LCA data was excluded. </t>
  </si>
  <si>
    <t>Data from IEA was chosen, considered the most reliable source.</t>
  </si>
  <si>
    <t xml:space="preserve">Data from IEA was chosen, considered the most reliable source. All the datas are around the same order of magnitude. </t>
  </si>
  <si>
    <t xml:space="preserve">Steel data was chosen, and then converted in iron. </t>
  </si>
  <si>
    <t xml:space="preserve">Most recent and precise data was chosen. Same order of magnitude. </t>
  </si>
  <si>
    <t xml:space="preserve">Use of the copper association data, considered the most reliable </t>
  </si>
  <si>
    <t>Use of the Ashby data</t>
  </si>
  <si>
    <t>Use of the steel data</t>
  </si>
  <si>
    <t xml:space="preserve">Only available data, quite different from OpenLCA results. </t>
  </si>
  <si>
    <t>Only available data</t>
  </si>
  <si>
    <t xml:space="preserve">Mean value between the two studies having the same order of magnitude. </t>
  </si>
  <si>
    <t>Mostly use of the ashby data, Open LCA used to verify the results. OpenLCA results excluded from the evaluation, because considered not reliable (only 'wood energy')</t>
  </si>
  <si>
    <t>Methodlogy</t>
  </si>
  <si>
    <t xml:space="preserve">Use of the copper association number. Around the same order of magnitude. </t>
  </si>
  <si>
    <t xml:space="preserve">Datas with the same order of magnitude. Mean value used. </t>
  </si>
  <si>
    <t xml:space="preserve">Use of Karlsdóttir et al. data, same order of magnitude then Open LCA. </t>
  </si>
  <si>
    <t xml:space="preserve">Mostly use of the Ashby data. </t>
  </si>
  <si>
    <t xml:space="preserve">Use of the most coherent and recent data. </t>
  </si>
  <si>
    <t xml:space="preserve">Use of Ashby, coherent with IEA figures and Open LCA. </t>
  </si>
  <si>
    <t xml:space="preserve">Moss et al. data, similar to IEA and Open LCA. </t>
  </si>
  <si>
    <t xml:space="preserve">Moss et al. data, not the same order of magnitude then Open LCA. </t>
  </si>
  <si>
    <t>(Watari et al. 2019)</t>
  </si>
  <si>
    <t>Aggregated : solar PV</t>
  </si>
  <si>
    <t>(Ashby, 2013)</t>
  </si>
  <si>
    <t>(IEA, 2022)</t>
  </si>
  <si>
    <t>(Van Oorschot et al., 2022)</t>
  </si>
  <si>
    <t xml:space="preserve">Most recent data is chosen. </t>
  </si>
  <si>
    <t xml:space="preserve">Available data from Moss &amp; al.  chosen, verified by Open LCA. </t>
  </si>
  <si>
    <t>(Tokimatsu &amp; al, 2017)</t>
  </si>
  <si>
    <t>(Lea A., Copper Association, 2016)</t>
  </si>
  <si>
    <t xml:space="preserve">
(Moss et al. 2011)</t>
  </si>
  <si>
    <t>(Sullivan et al, 2010)</t>
  </si>
  <si>
    <t>Final data
CSP_parabolic</t>
  </si>
  <si>
    <t>Final data
CSP_Tower</t>
  </si>
  <si>
    <t>c-Si
Final data</t>
  </si>
  <si>
    <t>CdTe
Final data</t>
  </si>
  <si>
    <t>a-SiGe final
Final datas</t>
  </si>
  <si>
    <t>CIGS
Final data</t>
  </si>
  <si>
    <t>Nuclear
[t/GW]</t>
  </si>
  <si>
    <t>Solar PV - CSP
[t/GW]</t>
  </si>
  <si>
    <t>Fossil energy
[t/GW]</t>
  </si>
  <si>
    <t>Biomass
[t/GW]</t>
  </si>
  <si>
    <t>Coal
Final data</t>
  </si>
  <si>
    <t>Natural gas
Final data</t>
  </si>
  <si>
    <t>Oil
Final data</t>
  </si>
  <si>
    <t>Hydrogen
Final data</t>
  </si>
  <si>
    <t>Hydro
[t/GW]</t>
  </si>
  <si>
    <t>Geothermal
[t/GW]</t>
  </si>
  <si>
    <t>Geothermal
Final data</t>
  </si>
  <si>
    <t>Open LCA Analysis</t>
  </si>
  <si>
    <t>Open LCA Analysis
'Wood energy'</t>
  </si>
  <si>
    <t>Life-Cycle Analysis Results of Geothermal Systems in Comparison to Other Power Systems, Sulivan et al. 2010</t>
  </si>
  <si>
    <t>(Watari et al. 2019), (Ashby, 2013)</t>
  </si>
  <si>
    <t>(Van Oorschot et al., 2022), (Bauer 2007, Moss et al 2011)</t>
  </si>
  <si>
    <t>Biomass
Final data</t>
  </si>
  <si>
    <t>(Sullivan et al., 2010)</t>
  </si>
  <si>
    <t>Argonne National Laboratory, Life-Cycle Analysis Results of Geothermal Systems in Comparison to Other Power Systems,Hydrothermal, binary, Sullivan et al., 2010</t>
  </si>
  <si>
    <t>(European Commission, 2020)</t>
  </si>
  <si>
    <t>(Månberger, 2018)</t>
  </si>
  <si>
    <t>(Karlsdóttir et al., 2015)</t>
  </si>
  <si>
    <t xml:space="preserve">Open LCA Analysis </t>
  </si>
  <si>
    <t>(Dones, R. et al. 2007)</t>
  </si>
  <si>
    <t>(Moss &amp; al. 2013)</t>
  </si>
  <si>
    <t>(Karlsdóttir &amp; al., 2015)</t>
  </si>
  <si>
    <t>(Watari &amp; al. 2019)</t>
  </si>
  <si>
    <t>(Van Oorschot &amp; al., 2022)</t>
  </si>
  <si>
    <t>(Fizaine &amp; Court, 2015)</t>
  </si>
  <si>
    <t xml:space="preserve">The Future of Copper and Sustainable Development, Copper 2016, 2016.11.14., Kobe, Japan., Copper : Hernández D. (Chairman, SONAMI (Chilean Chamber of Mines), Chile), 2016, </t>
  </si>
  <si>
    <t>(Hernández D., 2016)</t>
  </si>
  <si>
    <t>(Moss &amp; al. 2013), (Hernández D., 2016) : copper</t>
  </si>
  <si>
    <t>(Bodeker &amp; al, 2010 )</t>
  </si>
  <si>
    <t>(Kavlak &amp; al, 2015)</t>
  </si>
  <si>
    <t>(Liang &amp; al, 2022)</t>
  </si>
  <si>
    <t xml:space="preserve">OpenLCA  Analysis
 'Multi Si - 570 kWp' </t>
  </si>
  <si>
    <t>All datas around the same order of magnitude, mean value is taken</t>
  </si>
  <si>
    <t>All datas in the same order of magnitude. Most recent and not regionalised value is taken (Liang &amp; al)</t>
  </si>
  <si>
    <t>Most recent data</t>
  </si>
  <si>
    <t xml:space="preserve">Data from IEA, but not the same order of magnitude between studies. </t>
  </si>
  <si>
    <t xml:space="preserve">Watari data, various different range of magnitude </t>
  </si>
  <si>
    <t xml:space="preserve">Most recent data, same order of magnitude. </t>
  </si>
  <si>
    <t xml:space="preserve">3 similar data, mean value and the high value from Watari is excluded. </t>
  </si>
  <si>
    <t>Mean value between two similar datas, wo open LCA</t>
  </si>
  <si>
    <t xml:space="preserve">Various studies with different orders of magnitude. Mean value. </t>
  </si>
  <si>
    <t>All datas have the same order of magnitude, mean value is taken</t>
  </si>
  <si>
    <t xml:space="preserve">All datas have the same order of magnitude, mean value is taken. </t>
  </si>
  <si>
    <t>(McNulty &amp; al, 2022)</t>
  </si>
  <si>
    <t xml:space="preserve">All datas have the same order of magnitude, mean value is taken. McNulty data excluded. </t>
  </si>
  <si>
    <t xml:space="preserve">Various datas, not always the same order of magnitude. Mean value is taken, data for european commission excluded because much smaller than others. Datas for Watari combined. </t>
  </si>
  <si>
    <t>Few datas available. Use the most coherent and recent ones</t>
  </si>
  <si>
    <t xml:space="preserve">Same order of magnitude by techno. Mean value. </t>
  </si>
  <si>
    <t>Most recent data is used (Watari)</t>
  </si>
  <si>
    <t>Only available data (exclusion of Moss et al. not precise techno)</t>
  </si>
  <si>
    <t xml:space="preserve">Mean value, wo Moss &amp; al. </t>
  </si>
  <si>
    <t>Only available data for this precise techno</t>
  </si>
  <si>
    <t>Mostly Onshore</t>
  </si>
  <si>
    <t>Mostly Offshore</t>
  </si>
  <si>
    <t>GB-DFIG (and SCIG)</t>
  </si>
  <si>
    <t>GB-DFIG (and SCIG)
Final data</t>
  </si>
  <si>
    <t>DD-PMSG
Final data</t>
  </si>
  <si>
    <t>GB-PMSG
Final data</t>
  </si>
  <si>
    <t>Legend</t>
  </si>
  <si>
    <t>Criticality of metals according to canadian government</t>
  </si>
  <si>
    <t>Hydro</t>
  </si>
  <si>
    <t>Nuclear</t>
  </si>
  <si>
    <t>(Ashby 2013)</t>
  </si>
  <si>
    <t>(Tokimatsu &amp; al 2017) (Lea A. Copper Association 2016)</t>
  </si>
  <si>
    <t>Use of Ashby data same order of magnitude then Open LCA results</t>
  </si>
  <si>
    <t>Use of Ashby data not same order of magnitude then Open LCA results</t>
  </si>
  <si>
    <t xml:space="preserve">Use of the copper association data considered the most reliable. Same order of magnitude.  </t>
  </si>
  <si>
    <t xml:space="preserve">General approach: Use the reliable and accurate figures from the European Commission study, which includes the general electrical system. An expert in the wind industry confirmed the similarity of the technologies used in America and Europe. Verification by the highly reliable IEA source, and confirmation of the figures, except for offshore copper, which is therefore questioned.For the min / max evaluation, we considered DD-EESG and GB DFIG as onshore tech, DD-PMSG as offshore. </t>
  </si>
  <si>
    <t>Quite a bit of variability in the figures from different sources, but they remain close to the EU figures, which will therefore be used.</t>
  </si>
  <si>
    <t>Only two sources, both have the same results.</t>
  </si>
  <si>
    <t>Figures relatively similar between all studies, using those of the EU.</t>
  </si>
  <si>
    <t>Only available datas</t>
  </si>
  <si>
    <t>Same order of magnitude in datas</t>
  </si>
  <si>
    <t>Same order of magnitude in datas, only two datas</t>
  </si>
  <si>
    <t>In agreement with the figures from the IEA</t>
  </si>
  <si>
    <t>Fairly similar figures for Onshore. Offshore: using the larger figures from the IEA, confirmed by other source</t>
  </si>
  <si>
    <t>Vanadium in wind turbine comes potentially from batteries, already taken into account in OTD. We keep the EU datas</t>
  </si>
  <si>
    <t xml:space="preserve">All datas have the same order of magnitude, considering steel + iron. </t>
  </si>
  <si>
    <t>(Moss et al., 2013)</t>
  </si>
  <si>
    <t>(Dones &amp; al., 2007)</t>
  </si>
  <si>
    <t>(Sulivan &amp; al. 2010)</t>
  </si>
  <si>
    <t>(Bodeker &amp; al, 2010)</t>
  </si>
  <si>
    <t>Fizaine, F., &amp; Court, V. (2015). Renewable electricity producing technologies and metal depletion : A sensitivity analysis using the EROI. Ecological Economics, 110, 106‑118. https://doi.org/10.1016/j.ecolecon.2014.12.001</t>
  </si>
  <si>
    <t>Life cycle inventory of a flash geothermal combined heat and power plant located in Iceland, Karlsdóttir et al., 2015</t>
  </si>
  <si>
    <t>(Rosset, 2022)</t>
  </si>
  <si>
    <t>Comments</t>
  </si>
  <si>
    <t>Sol_Thin_Film</t>
  </si>
  <si>
    <t>Wind_Onshore</t>
  </si>
  <si>
    <t>European Commission. Joint Research Centre. (2020). Raw materials demand for wind and solar PV technologies in the transition towards a decarbonised energy system. Publications Office. https://data.europa.eu/doi/10.2760/160859</t>
  </si>
  <si>
    <t>Watari, T., McLellan, B. C., Giurco, D., Dominish, E., Yamasue, E., &amp; Nansai, K. (2019). Total material requirement for the global energy transition to 2050 : A focus on transport and electricity. Resources, Conservation and Recycling, 148, 91‑103. https://doi.org/10.1016/j.resconrec.2019.05.015</t>
  </si>
  <si>
    <t>The Role of Critical Minerals in Clean Energy Transitions. (2022).</t>
  </si>
  <si>
    <t>Van Oorschot, J., Sprecher, B., Roelofs, B., Van Der Horst, J., &amp; Van Der Voet, E. (2022). Towards a low-carbon and circular economy : Scenarios for metal stocks and flows in the Dutch electricity system. Resources, Conservation and Recycling, 178, 106105. https://doi.org/10.1016/j.resconrec.2021.106105</t>
  </si>
  <si>
    <t>Rosset, J. (2022). ÉTUDE SUR LES MATÉRIAUX DE LA TRANSITION ÉNERGÉTIQUE.</t>
  </si>
  <si>
    <t>Ashby, M. F. (2013). Chapter 12—Materials for low-carbon power. In M. F. Ashby (Éd.), Materials and the Environment (Second Edition) (p. 349‑413). Butterworth-Heinemann. https://doi.org/10.1016/B978-0-12-385971-6.00012-9</t>
  </si>
  <si>
    <t>Tokimatsu, K., Wachtmeister, H., McLellan, B., Davidsson, S., Murakami, S., Höök, M., Yasuoka, R., &amp; Nishio, M. (2017). Energy modeling approach to the global energy-mineral nexus : A first look at metal requirements and the 2 °C target. Applied Energy, 207, 494‑509. https://doi.org/10.1016/j.apenergy.2017.05.151</t>
  </si>
  <si>
    <t>Månberger, A., &amp; Stenqvist, B. (2018). Global metal flows in the renewable energy transition : Exploring the effects of substitutes, technological mix and development. Energy Policy, 119, 226‑241. https://doi.org/10.1016/j.enpol.2018.04.056</t>
  </si>
  <si>
    <t>Moss, R. L., Tzimas, E., Kara, H., Willis, P., &amp; Kooroshy, J. (2013). The potential risks from metals bottlenecks to the deployment of Strategic Energy Technologies. Energy Policy, 55, 556‑564. https://doi.org/10.1016/j.enpol.2012.12.053</t>
  </si>
  <si>
    <t>Kavlak, G., McNerney, J., Jaffe, R. L., &amp; Trancik, J. E. (2015). Metal production requirements for rapid photovoltaics deployment. Energy &amp; Environmental Science, 8(6), 1651‑1659. https://doi.org/10.1039/C5EE00585J</t>
  </si>
  <si>
    <t>Liang, Y., Kleijn, R., Tukker, A., &amp; van der Voet, E. (2022). Material requirements for low-carbon energy technologies : A quantitative review. Renewable and Sustainable Energy Reviews, 161, 112334. https://doi.org/10.1016/j.rser.2022.112334</t>
  </si>
  <si>
    <t>McNulty, B. A., &amp; Jowitt, S. M. (2022). Byproduct critical metal supply and demand and implications for the energy transition : A case study of tellurium supply and CdTe PV demand. Renewable and Sustainable Energy Reviews, 168, 112838. https://doi.org/10.1016/j.rser.2022.112838</t>
  </si>
  <si>
    <t>Calculated with the metal intensities and the 2010 market share of each sub-technologies</t>
  </si>
  <si>
    <t>Gallium</t>
  </si>
  <si>
    <t>Germanium</t>
  </si>
  <si>
    <t>Selenium</t>
  </si>
  <si>
    <t>Silicon</t>
  </si>
  <si>
    <t>Tellurium</t>
  </si>
  <si>
    <t>Lithium</t>
  </si>
  <si>
    <t>Sol_C-si_Silver</t>
  </si>
  <si>
    <t>Sol_C-si_Copper</t>
  </si>
  <si>
    <t>Sol_CdTe</t>
  </si>
  <si>
    <t>Sol_CIGS</t>
  </si>
  <si>
    <t>Sol_a-SiGe</t>
  </si>
  <si>
    <t>Sol_CSP_parabol</t>
  </si>
  <si>
    <t>Sol_CSP_tower</t>
  </si>
  <si>
    <t>Wind_DD-EESG_Onshore</t>
  </si>
  <si>
    <t>Wind_GB-DFIG_SCIG_Onshore</t>
  </si>
  <si>
    <t>Wind_DD-PMSG_Onshore</t>
  </si>
  <si>
    <t>Wind_GB-PMSG_Onshore</t>
  </si>
  <si>
    <t>Wind_DD-EESG_Offshore</t>
  </si>
  <si>
    <t>Wind_GB-DFIG_SCIG_Offshore</t>
  </si>
  <si>
    <t>Wind_DD-PMSG_Offshore</t>
  </si>
  <si>
    <t>Wind_GB-PMSG_Offshore</t>
  </si>
  <si>
    <t>Geothermal</t>
  </si>
  <si>
    <t>Foss_Coal</t>
  </si>
  <si>
    <t>Foss_NaturalGas</t>
  </si>
  <si>
    <t>Foss_Oil</t>
  </si>
  <si>
    <t>Foss_Hydrogen</t>
  </si>
  <si>
    <t>Metal_Intensity [t/GW]</t>
  </si>
  <si>
    <t>Data</t>
  </si>
  <si>
    <t>MI_Energy_Sources</t>
  </si>
  <si>
    <t>(IRENA, 2022)</t>
  </si>
  <si>
    <t>(Tokimatsu et al., 2017)</t>
  </si>
  <si>
    <t>(Bolson, 2022)</t>
  </si>
  <si>
    <t xml:space="preserve">(USA statistics, 2022) </t>
  </si>
  <si>
    <t>Energy_Source</t>
  </si>
  <si>
    <t>Gas</t>
  </si>
  <si>
    <t>Solar</t>
  </si>
  <si>
    <t>Wind Onshore</t>
  </si>
  <si>
    <t>Wind Offshore</t>
  </si>
  <si>
    <t>CSP</t>
  </si>
  <si>
    <t>Unit</t>
  </si>
  <si>
    <t>%</t>
  </si>
  <si>
    <t xml:space="preserve">Techno </t>
  </si>
  <si>
    <t>Sol_C-si</t>
  </si>
  <si>
    <t>CF_Litt</t>
  </si>
  <si>
    <t>2020</t>
  </si>
  <si>
    <t>2030</t>
  </si>
  <si>
    <t>2040</t>
  </si>
  <si>
    <t>2050</t>
  </si>
  <si>
    <t>Business as usual</t>
  </si>
  <si>
    <t>Optimal trend</t>
  </si>
  <si>
    <t>Full adaptation response</t>
  </si>
  <si>
    <t>GW</t>
  </si>
  <si>
    <t>Errera, M. R., Dias, T. A. da C., Maya, D. M. Y., &amp; Lora, E. E. S. (2023). Global bioenergy potentials projections for 2050. Biomass and Bioenergy, 170, 106721. https://doi.org/10.1016/j.biombioe.2023.106721</t>
  </si>
  <si>
    <t>Biomass_Avail</t>
  </si>
  <si>
    <t>Hydro_Avail</t>
  </si>
  <si>
    <t>Europe</t>
  </si>
  <si>
    <t>North America</t>
  </si>
  <si>
    <t>Technical-Remaining</t>
  </si>
  <si>
    <t>Technical -Ecological</t>
  </si>
  <si>
    <t>Economic-Remaining</t>
  </si>
  <si>
    <t>Economic-Ecological</t>
  </si>
  <si>
    <t>D. E. H. J. Gernaat, P. W. Bogaart, D. P. v. Vuuren, H. Biemans et R. Niessink,“High-resolution assessment of global technical and economic hydropower potential,” Nature Energy, vol. 2, no. 10, p. 821–828, oct. 2017, publisher : Nature Publishing Group. [En ligne]. Disponible : https://www.nature.com/articles/s41560-017-0006-y</t>
  </si>
  <si>
    <t xml:space="preserve">Bioenergy_potential </t>
  </si>
  <si>
    <t>(Errera et al., 2023)</t>
  </si>
  <si>
    <t>(Gernaat et al., 2017)</t>
  </si>
  <si>
    <t>Disaggregated 
Energy Sources</t>
  </si>
  <si>
    <t xml:space="preserve">Spreadsheet title </t>
  </si>
  <si>
    <t>Description</t>
  </si>
  <si>
    <t>Yellow spreadsheets represent data used to calculate metal intensity of vehicles</t>
  </si>
  <si>
    <t>MI_Vehicle</t>
  </si>
  <si>
    <t>Metal intensity of the vehicle body by vehicle type (ICEV, PHEV, BEV) in grams per vehicle</t>
  </si>
  <si>
    <t>MI_Battery</t>
  </si>
  <si>
    <t>Metal inensity of the vehicle battery by battery type, aggregated and disaggregated, in grams per kWh of battery</t>
  </si>
  <si>
    <t>MI_Motor</t>
  </si>
  <si>
    <t>Metal intensity of the vehicle motor by motor type, aggregated and disaggregated, in grams per vehicle</t>
  </si>
  <si>
    <t>Vehicle_Stat</t>
  </si>
  <si>
    <t xml:space="preserve">Mean motor power and battery energy capacity by vehicle type </t>
  </si>
  <si>
    <t>Blue spreadsheets represent data used to calculate market share of vehicles</t>
  </si>
  <si>
    <t>MS_Battery</t>
  </si>
  <si>
    <t>Market share in percentage by battery type between 2018 and 2050, for three different scenario</t>
  </si>
  <si>
    <t>MS_Motor</t>
  </si>
  <si>
    <t xml:space="preserve">Current market share in percentage by motor type </t>
  </si>
  <si>
    <t>MS_Vehicle</t>
  </si>
  <si>
    <t>Market share in percentage by vehicle type between 1950 and 2050, for three different IEA scenario</t>
  </si>
  <si>
    <t>Vehicle_Stock</t>
  </si>
  <si>
    <t>Projection of vehicle stock in million of vehicles, for three scenario : low medium and high, from 1950 to 2050</t>
  </si>
  <si>
    <t>Ratio_LDV</t>
  </si>
  <si>
    <t>Share of light duty vehicles in IAM projections of Energy Transport Passenger, by IAM</t>
  </si>
  <si>
    <t>Green spreadsheets represent data used to calculate recycling rates from 2020 to 2050</t>
  </si>
  <si>
    <t>Recycling_2020_Rates</t>
  </si>
  <si>
    <t>Recycling rates in 2020 for metals used in electric vehicles, in percentage</t>
  </si>
  <si>
    <t>Recycling_Evolution</t>
  </si>
  <si>
    <t>Hypothesis of evolution of recycling rates until 2050, according to the chosen SSP scenario</t>
  </si>
  <si>
    <t>Red spreadsheet represent data used to represent the full flexibility between some subtechnologies</t>
  </si>
  <si>
    <t>EV_flexibility_matrix</t>
  </si>
  <si>
    <t xml:space="preserve">This matrix shows the equivalence between aggregated electric vehicles and disaggregated ones. Some sub-technologies of batteries and motors are considered equivalent and fully flexible. For these, one aggregated technology is associated to several disaggregated ones. </t>
  </si>
  <si>
    <t>Dark grey spreadsheet represent reference and hypothesis of calculation</t>
  </si>
  <si>
    <t>Ref&amp;Hp</t>
  </si>
  <si>
    <t xml:space="preserve">The references of each spreadsheet is organized in this file in a table, by spreadsheet name, followed by the hypothesis made. 
If necessary, tables by spreadsheet present the calculations made to obtain these data. </t>
  </si>
  <si>
    <t>High-resolution assessment of global technical and economic hydropower potential</t>
  </si>
  <si>
    <t>Africa</t>
  </si>
  <si>
    <t>Asia</t>
  </si>
  <si>
    <t>North and Central America</t>
  </si>
  <si>
    <t>South America</t>
  </si>
  <si>
    <t>Technical</t>
  </si>
  <si>
    <t>Remaining</t>
  </si>
  <si>
    <t xml:space="preserve">Technical </t>
  </si>
  <si>
    <t>Ecological</t>
  </si>
  <si>
    <t>Economic</t>
  </si>
  <si>
    <t xml:space="preserve">Conversion </t>
  </si>
  <si>
    <t>1PWh</t>
  </si>
  <si>
    <t>GWh</t>
  </si>
  <si>
    <t>1yr</t>
  </si>
  <si>
    <t>h</t>
  </si>
  <si>
    <t>Régions IAM</t>
  </si>
  <si>
    <t>MAF</t>
  </si>
  <si>
    <t>ASIA</t>
  </si>
  <si>
    <t>OECD + REF</t>
  </si>
  <si>
    <t>LAM</t>
  </si>
  <si>
    <t>Régions de l'étude</t>
  </si>
  <si>
    <t>PWh/yr</t>
  </si>
  <si>
    <t>Calcul Hydro_Avail</t>
  </si>
  <si>
    <t>Result Hydro_Avail</t>
  </si>
  <si>
    <t>Real energy</t>
  </si>
  <si>
    <t>Nominal capacity (FC)</t>
  </si>
  <si>
    <t>Global WBA, Bioenergy, Statistics 2020, World Bioenergy Association, S. l., 2020.</t>
  </si>
  <si>
    <t>Annual Theoretical Bioenergy Production Potential 2050</t>
  </si>
  <si>
    <t>EJ/yr</t>
  </si>
  <si>
    <t>Optimal trends</t>
  </si>
  <si>
    <t>second</t>
  </si>
  <si>
    <t>1 EJ/s</t>
  </si>
  <si>
    <t>Linearisation</t>
  </si>
  <si>
    <t>Ref and Hypothesis</t>
  </si>
  <si>
    <t>Calcul Biomass_Avail</t>
  </si>
  <si>
    <t>Result Biomass_Avail</t>
  </si>
  <si>
    <t xml:space="preserve">Only available data. Since gallium is not commonly used in CSP application, but rather in CSP PV combinaison, it was not considered for the CSP technology. </t>
  </si>
  <si>
    <t>Aluminum</t>
  </si>
  <si>
    <t>Sol_CSP_parabol_Ag_GaAs</t>
  </si>
  <si>
    <t>Sol_CSP_tower_Ag_GaAs</t>
  </si>
  <si>
    <t>Sol_CSP_parabol_Al_MgF2</t>
  </si>
  <si>
    <t>Sol_CSP_tower_Al_MgF2</t>
  </si>
  <si>
    <t>PWR</t>
  </si>
  <si>
    <t>Dong, H., Zhang, T., Geng, Y., Wang, P., Zhang, S., &amp; Sarkis, J. (2025). Sub-technology market share strongly affects critical material constraints in power system transitions. Nature Communications, 16(1), 1285. https://doi.org/10.1038/s41467-025-56592-5</t>
  </si>
  <si>
    <t>(Dong et al., 2025)</t>
  </si>
  <si>
    <t>HTGR</t>
  </si>
  <si>
    <t>FBR</t>
  </si>
  <si>
    <t>Nuclear_PWR</t>
  </si>
  <si>
    <t>Nuclear_HTGR</t>
  </si>
  <si>
    <t>Nuclear_FBR</t>
  </si>
  <si>
    <t>Nuclear
Final data</t>
  </si>
  <si>
    <t>Same order of magnitude.</t>
  </si>
  <si>
    <t>Data from IEA</t>
  </si>
  <si>
    <t xml:space="preserve">Same order of magnitude, most recent data chosen. </t>
  </si>
  <si>
    <t>PWR Open LCA techno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</si>
</sst>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_-* #,##0_-;\-* #,##0_-;_-* &quot;-&quot;??_-;_-@_-"/>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0"/>
      <name val="Calibri"/>
      <family val="2"/>
      <scheme val="minor"/>
    </font>
    <font>
      <b/>
      <i/>
      <sz val="11"/>
      <color theme="1"/>
      <name val="Calibri"/>
      <family val="2"/>
      <scheme val="minor"/>
    </font>
    <font>
      <sz val="8"/>
      <name val="Calibri"/>
      <family val="2"/>
      <scheme val="minor"/>
    </font>
    <font>
      <i/>
      <sz val="11"/>
      <color theme="1"/>
      <name val="Calibri"/>
      <family val="2"/>
      <scheme val="minor"/>
    </font>
    <font>
      <b/>
      <sz val="10"/>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BE4D5"/>
        <bgColor indexed="64"/>
      </patternFill>
    </fill>
    <fill>
      <patternFill patternType="solid">
        <fgColor rgb="FFDEEAF6"/>
        <bgColor indexed="64"/>
      </patternFill>
    </fill>
    <fill>
      <patternFill patternType="solid">
        <fgColor rgb="FFE2EF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79998168889431442"/>
        <bgColor indexed="64"/>
      </patternFill>
    </fill>
  </fills>
  <borders count="77">
    <border>
      <left/>
      <right/>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diagonalDown="1">
      <left style="thin">
        <color indexed="64"/>
      </left>
      <right/>
      <top style="thin">
        <color indexed="64"/>
      </top>
      <bottom style="thin">
        <color indexed="64"/>
      </bottom>
      <diagonal style="thin">
        <color auto="1"/>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theme="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theme="1"/>
      </top>
      <bottom style="thin">
        <color theme="1"/>
      </bottom>
      <diagonal/>
    </border>
    <border>
      <left style="thin">
        <color indexed="64"/>
      </left>
      <right style="thin">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diagonalDown="1">
      <left style="medium">
        <color indexed="64"/>
      </left>
      <right style="thin">
        <color indexed="64"/>
      </right>
      <top style="thin">
        <color indexed="64"/>
      </top>
      <bottom style="medium">
        <color indexed="64"/>
      </bottom>
      <diagonal style="thin">
        <color auto="1"/>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diagonal/>
    </border>
    <border diagonalDown="1">
      <left style="medium">
        <color indexed="64"/>
      </left>
      <right/>
      <top style="thin">
        <color indexed="64"/>
      </top>
      <bottom style="medium">
        <color indexed="64"/>
      </bottom>
      <diagonal style="thin">
        <color auto="1"/>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right style="medium">
        <color indexed="64"/>
      </right>
      <top style="medium">
        <color indexed="64"/>
      </top>
      <bottom/>
      <diagonal/>
    </border>
    <border>
      <left/>
      <right style="medium">
        <color indexed="64"/>
      </right>
      <top style="medium">
        <color indexed="64"/>
      </top>
      <bottom style="thin">
        <color theme="1"/>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61">
    <xf numFmtId="0" fontId="0" fillId="0" borderId="0" xfId="0"/>
    <xf numFmtId="0" fontId="0" fillId="2" borderId="0" xfId="0" applyFill="1"/>
    <xf numFmtId="0" fontId="3" fillId="0" borderId="0" xfId="0" applyFont="1" applyAlignment="1">
      <alignment wrapText="1"/>
    </xf>
    <xf numFmtId="0" fontId="3" fillId="0" borderId="0" xfId="0" applyFont="1"/>
    <xf numFmtId="0" fontId="0" fillId="2" borderId="6" xfId="0" applyFill="1" applyBorder="1" applyAlignment="1">
      <alignment horizontal="center" wrapText="1"/>
    </xf>
    <xf numFmtId="0" fontId="0" fillId="0" borderId="0" xfId="0" applyAlignment="1">
      <alignment horizontal="center" vertical="center"/>
    </xf>
    <xf numFmtId="0" fontId="0" fillId="2" borderId="0" xfId="0" applyFill="1" applyAlignment="1">
      <alignment horizontal="center"/>
    </xf>
    <xf numFmtId="0" fontId="0" fillId="0" borderId="0" xfId="0" applyAlignment="1">
      <alignment horizontal="center"/>
    </xf>
    <xf numFmtId="0" fontId="0" fillId="8" borderId="5" xfId="0" applyFill="1" applyBorder="1" applyAlignment="1">
      <alignment horizontal="center" vertical="center"/>
    </xf>
    <xf numFmtId="0" fontId="0" fillId="0" borderId="8" xfId="0" applyBorder="1" applyAlignment="1">
      <alignment horizontal="center" vertical="center" wrapText="1"/>
    </xf>
    <xf numFmtId="0" fontId="0" fillId="0" borderId="16" xfId="0" applyBorder="1" applyAlignment="1">
      <alignment horizontal="right" wrapText="1" shrinkToFit="1"/>
    </xf>
    <xf numFmtId="0" fontId="0" fillId="2" borderId="8" xfId="0" applyFill="1" applyBorder="1"/>
    <xf numFmtId="0" fontId="0" fillId="0" borderId="0" xfId="0" applyAlignment="1">
      <alignment wrapText="1"/>
    </xf>
    <xf numFmtId="0" fontId="0" fillId="0" borderId="8" xfId="0" applyBorder="1" applyAlignment="1">
      <alignment wrapText="1"/>
    </xf>
    <xf numFmtId="43" fontId="0" fillId="0" borderId="8" xfId="1" applyFont="1" applyBorder="1"/>
    <xf numFmtId="0" fontId="0" fillId="0" borderId="20" xfId="0" applyBorder="1" applyAlignment="1">
      <alignment wrapText="1"/>
    </xf>
    <xf numFmtId="0" fontId="0" fillId="2" borderId="8" xfId="0" applyFill="1" applyBorder="1" applyAlignment="1">
      <alignment horizontal="center" vertical="center" wrapText="1"/>
    </xf>
    <xf numFmtId="0" fontId="0" fillId="0" borderId="2" xfId="0" applyBorder="1" applyAlignment="1">
      <alignment horizontal="center" vertical="center" wrapText="1"/>
    </xf>
    <xf numFmtId="0" fontId="0" fillId="0" borderId="18" xfId="0" applyBorder="1"/>
    <xf numFmtId="0" fontId="0" fillId="0" borderId="0" xfId="0" applyAlignment="1">
      <alignment horizontal="center" vertical="center" wrapText="1"/>
    </xf>
    <xf numFmtId="0" fontId="0" fillId="0" borderId="8" xfId="0" applyBorder="1"/>
    <xf numFmtId="0" fontId="0" fillId="9" borderId="2" xfId="0" applyFill="1" applyBorder="1"/>
    <xf numFmtId="43" fontId="0" fillId="0" borderId="18" xfId="1" applyFont="1" applyBorder="1"/>
    <xf numFmtId="43" fontId="0" fillId="2" borderId="12" xfId="1" applyFont="1" applyFill="1" applyBorder="1"/>
    <xf numFmtId="43" fontId="0" fillId="6" borderId="12" xfId="1" applyFont="1" applyFill="1" applyBorder="1"/>
    <xf numFmtId="43" fontId="0" fillId="6" borderId="19" xfId="1" applyFont="1" applyFill="1" applyBorder="1"/>
    <xf numFmtId="43" fontId="0" fillId="2" borderId="8" xfId="1" applyFont="1" applyFill="1" applyBorder="1"/>
    <xf numFmtId="43" fontId="0" fillId="6" borderId="8" xfId="1" applyFont="1" applyFill="1" applyBorder="1"/>
    <xf numFmtId="0" fontId="0" fillId="6" borderId="8" xfId="0" applyFill="1" applyBorder="1"/>
    <xf numFmtId="0" fontId="0" fillId="0" borderId="24" xfId="0" applyBorder="1" applyAlignment="1">
      <alignment wrapText="1"/>
    </xf>
    <xf numFmtId="43" fontId="0" fillId="2" borderId="0" xfId="1" applyFont="1" applyFill="1" applyBorder="1"/>
    <xf numFmtId="43" fontId="0" fillId="0" borderId="2" xfId="1" applyFont="1" applyBorder="1"/>
    <xf numFmtId="0" fontId="0" fillId="0" borderId="18" xfId="1" applyNumberFormat="1" applyFont="1" applyBorder="1"/>
    <xf numFmtId="0" fontId="0" fillId="0" borderId="21" xfId="0" applyBorder="1"/>
    <xf numFmtId="0" fontId="0" fillId="0" borderId="2" xfId="0" applyBorder="1"/>
    <xf numFmtId="0" fontId="0" fillId="4" borderId="8" xfId="0" applyFill="1" applyBorder="1"/>
    <xf numFmtId="0" fontId="0" fillId="0" borderId="25" xfId="0" applyBorder="1"/>
    <xf numFmtId="0" fontId="0" fillId="6" borderId="2" xfId="0" applyFill="1" applyBorder="1"/>
    <xf numFmtId="43" fontId="0" fillId="0" borderId="12" xfId="1" applyFont="1" applyBorder="1"/>
    <xf numFmtId="43" fontId="0" fillId="0" borderId="19" xfId="1" applyFont="1" applyBorder="1"/>
    <xf numFmtId="43" fontId="0" fillId="4" borderId="8" xfId="1" applyFont="1" applyFill="1" applyBorder="1"/>
    <xf numFmtId="43" fontId="0" fillId="0" borderId="2" xfId="1" applyFont="1" applyFill="1" applyBorder="1"/>
    <xf numFmtId="43" fontId="0" fillId="7" borderId="18" xfId="1" applyFont="1" applyFill="1" applyBorder="1"/>
    <xf numFmtId="43" fontId="0" fillId="7" borderId="8" xfId="1" applyFont="1" applyFill="1" applyBorder="1"/>
    <xf numFmtId="43" fontId="0" fillId="7" borderId="2" xfId="1" applyFont="1" applyFill="1" applyBorder="1"/>
    <xf numFmtId="43" fontId="3" fillId="7" borderId="18" xfId="1" applyFont="1" applyFill="1" applyBorder="1"/>
    <xf numFmtId="0" fontId="3" fillId="0" borderId="18" xfId="1" applyNumberFormat="1" applyFont="1" applyBorder="1"/>
    <xf numFmtId="43" fontId="2" fillId="0" borderId="12" xfId="1" applyFont="1" applyBorder="1" applyAlignment="1"/>
    <xf numFmtId="43" fontId="2" fillId="0" borderId="19" xfId="1" applyFont="1" applyBorder="1" applyAlignment="1"/>
    <xf numFmtId="43" fontId="2" fillId="2" borderId="8" xfId="1" applyFont="1" applyFill="1" applyBorder="1" applyAlignment="1"/>
    <xf numFmtId="0" fontId="3" fillId="0" borderId="8" xfId="0" applyFont="1" applyBorder="1" applyAlignment="1">
      <alignment wrapText="1"/>
    </xf>
    <xf numFmtId="0" fontId="0" fillId="4" borderId="2" xfId="0" applyFill="1" applyBorder="1"/>
    <xf numFmtId="0" fontId="0" fillId="7" borderId="2" xfId="0" applyFill="1" applyBorder="1"/>
    <xf numFmtId="43" fontId="0" fillId="4" borderId="18" xfId="1" applyFont="1" applyFill="1" applyBorder="1"/>
    <xf numFmtId="43" fontId="3" fillId="4" borderId="8" xfId="1" applyFont="1" applyFill="1" applyBorder="1"/>
    <xf numFmtId="43" fontId="3" fillId="4" borderId="18" xfId="1" applyFont="1" applyFill="1" applyBorder="1"/>
    <xf numFmtId="0" fontId="3" fillId="4" borderId="18" xfId="1" applyNumberFormat="1" applyFont="1" applyFill="1" applyBorder="1"/>
    <xf numFmtId="43" fontId="0" fillId="6" borderId="17" xfId="1" applyFont="1" applyFill="1" applyBorder="1"/>
    <xf numFmtId="43" fontId="0" fillId="2" borderId="19" xfId="1" applyFont="1" applyFill="1" applyBorder="1"/>
    <xf numFmtId="43" fontId="0" fillId="6" borderId="2" xfId="1" applyFont="1" applyFill="1" applyBorder="1"/>
    <xf numFmtId="43" fontId="0" fillId="9" borderId="8" xfId="1" applyFont="1" applyFill="1" applyBorder="1"/>
    <xf numFmtId="43" fontId="3" fillId="6" borderId="8" xfId="1" applyFont="1" applyFill="1" applyBorder="1"/>
    <xf numFmtId="43" fontId="3" fillId="6" borderId="18" xfId="1" applyFont="1" applyFill="1" applyBorder="1"/>
    <xf numFmtId="164" fontId="3" fillId="6" borderId="18" xfId="1" applyNumberFormat="1" applyFont="1" applyFill="1" applyBorder="1"/>
    <xf numFmtId="0" fontId="0" fillId="7" borderId="18" xfId="0" applyFill="1" applyBorder="1"/>
    <xf numFmtId="0" fontId="0" fillId="7" borderId="8" xfId="0" applyFill="1" applyBorder="1"/>
    <xf numFmtId="0" fontId="0" fillId="8" borderId="2" xfId="0" applyFill="1" applyBorder="1"/>
    <xf numFmtId="0" fontId="3" fillId="0" borderId="8" xfId="0" applyFont="1" applyBorder="1"/>
    <xf numFmtId="0" fontId="3" fillId="6" borderId="18" xfId="1" applyNumberFormat="1" applyFont="1" applyFill="1" applyBorder="1"/>
    <xf numFmtId="43" fontId="0" fillId="6" borderId="18" xfId="1" applyFont="1" applyFill="1" applyBorder="1"/>
    <xf numFmtId="0" fontId="0" fillId="2" borderId="2" xfId="0" applyFill="1" applyBorder="1"/>
    <xf numFmtId="0" fontId="0" fillId="8" borderId="17" xfId="0" applyFill="1" applyBorder="1"/>
    <xf numFmtId="43" fontId="0" fillId="9" borderId="19" xfId="1" applyFont="1" applyFill="1" applyBorder="1"/>
    <xf numFmtId="43" fontId="0" fillId="7" borderId="19" xfId="1" applyFont="1" applyFill="1" applyBorder="1"/>
    <xf numFmtId="43" fontId="3" fillId="9" borderId="8" xfId="1" applyFont="1" applyFill="1" applyBorder="1"/>
    <xf numFmtId="0" fontId="0" fillId="6" borderId="18" xfId="0" applyFill="1" applyBorder="1"/>
    <xf numFmtId="0" fontId="0" fillId="6" borderId="21" xfId="0" applyFill="1" applyBorder="1"/>
    <xf numFmtId="0" fontId="0" fillId="2" borderId="18" xfId="0" applyFill="1" applyBorder="1"/>
    <xf numFmtId="0" fontId="0" fillId="2" borderId="21" xfId="0" applyFill="1" applyBorder="1"/>
    <xf numFmtId="43" fontId="2" fillId="2" borderId="8" xfId="1" applyFont="1" applyFill="1" applyBorder="1"/>
    <xf numFmtId="0" fontId="3" fillId="0" borderId="18" xfId="0" applyFont="1" applyBorder="1"/>
    <xf numFmtId="0" fontId="0" fillId="4" borderId="18" xfId="0" applyFill="1" applyBorder="1"/>
    <xf numFmtId="43" fontId="0" fillId="2" borderId="18" xfId="1" applyFont="1" applyFill="1" applyBorder="1"/>
    <xf numFmtId="43" fontId="3" fillId="7" borderId="8" xfId="1" applyFont="1" applyFill="1" applyBorder="1"/>
    <xf numFmtId="0" fontId="0" fillId="9" borderId="17" xfId="0" applyFill="1" applyBorder="1"/>
    <xf numFmtId="43" fontId="0" fillId="7" borderId="12" xfId="1" applyFont="1" applyFill="1" applyBorder="1"/>
    <xf numFmtId="0" fontId="0" fillId="6" borderId="17" xfId="0" applyFill="1" applyBorder="1"/>
    <xf numFmtId="43" fontId="0" fillId="2" borderId="2" xfId="1" applyFont="1" applyFill="1" applyBorder="1"/>
    <xf numFmtId="0" fontId="0" fillId="0" borderId="32" xfId="0" applyBorder="1"/>
    <xf numFmtId="0" fontId="0" fillId="0" borderId="34" xfId="0" applyBorder="1"/>
    <xf numFmtId="0" fontId="0" fillId="0" borderId="35" xfId="0" applyBorder="1"/>
    <xf numFmtId="0" fontId="0" fillId="9" borderId="8" xfId="0" applyFill="1" applyBorder="1"/>
    <xf numFmtId="43" fontId="4" fillId="4" borderId="12" xfId="1" applyFont="1" applyFill="1" applyBorder="1" applyAlignment="1"/>
    <xf numFmtId="43" fontId="4" fillId="4" borderId="19" xfId="1" applyFont="1" applyFill="1" applyBorder="1" applyAlignment="1"/>
    <xf numFmtId="0" fontId="3" fillId="2" borderId="0" xfId="0" applyFont="1" applyFill="1" applyAlignment="1">
      <alignment horizontal="center"/>
    </xf>
    <xf numFmtId="0" fontId="0" fillId="7" borderId="17" xfId="0" applyFill="1" applyBorder="1"/>
    <xf numFmtId="0" fontId="3" fillId="6" borderId="8" xfId="0" applyFont="1" applyFill="1" applyBorder="1"/>
    <xf numFmtId="0" fontId="3" fillId="4" borderId="8" xfId="0" applyFont="1" applyFill="1" applyBorder="1"/>
    <xf numFmtId="43" fontId="3" fillId="7" borderId="8" xfId="0" applyNumberFormat="1" applyFont="1" applyFill="1" applyBorder="1"/>
    <xf numFmtId="43" fontId="3" fillId="4" borderId="8" xfId="0" applyNumberFormat="1" applyFont="1" applyFill="1" applyBorder="1"/>
    <xf numFmtId="0" fontId="0" fillId="3" borderId="2" xfId="0" applyFill="1" applyBorder="1"/>
    <xf numFmtId="0" fontId="0" fillId="2" borderId="0" xfId="0" applyFill="1" applyAlignment="1">
      <alignment wrapText="1"/>
    </xf>
    <xf numFmtId="0" fontId="3" fillId="6" borderId="18" xfId="0" applyFont="1" applyFill="1" applyBorder="1"/>
    <xf numFmtId="0" fontId="3" fillId="4" borderId="18" xfId="0" applyFont="1" applyFill="1" applyBorder="1"/>
    <xf numFmtId="0" fontId="3" fillId="11" borderId="8" xfId="1" applyNumberFormat="1" applyFont="1" applyFill="1" applyBorder="1"/>
    <xf numFmtId="0" fontId="3" fillId="4" borderId="8" xfId="1" applyNumberFormat="1" applyFont="1" applyFill="1" applyBorder="1"/>
    <xf numFmtId="0" fontId="3" fillId="6" borderId="8" xfId="1" applyNumberFormat="1" applyFont="1" applyFill="1" applyBorder="1"/>
    <xf numFmtId="0" fontId="0" fillId="8" borderId="8" xfId="0" applyFill="1" applyBorder="1"/>
    <xf numFmtId="0" fontId="3" fillId="2" borderId="8" xfId="1" applyNumberFormat="1" applyFont="1" applyFill="1" applyBorder="1"/>
    <xf numFmtId="0" fontId="0" fillId="5" borderId="8" xfId="0" applyFill="1" applyBorder="1"/>
    <xf numFmtId="0" fontId="0" fillId="5" borderId="8" xfId="0" applyFill="1" applyBorder="1" applyAlignment="1">
      <alignment horizontal="center"/>
    </xf>
    <xf numFmtId="43" fontId="0" fillId="0" borderId="8" xfId="1" applyFont="1" applyBorder="1" applyAlignment="1">
      <alignment horizontal="center"/>
    </xf>
    <xf numFmtId="43" fontId="0" fillId="8" borderId="8" xfId="1" applyFont="1" applyFill="1" applyBorder="1"/>
    <xf numFmtId="43" fontId="0" fillId="0" borderId="8" xfId="1" applyFont="1" applyFill="1" applyBorder="1"/>
    <xf numFmtId="0" fontId="3" fillId="7" borderId="8" xfId="1" applyNumberFormat="1" applyFont="1" applyFill="1" applyBorder="1"/>
    <xf numFmtId="0" fontId="3" fillId="6" borderId="2" xfId="1" applyNumberFormat="1" applyFont="1" applyFill="1" applyBorder="1"/>
    <xf numFmtId="0" fontId="3" fillId="6" borderId="8" xfId="1" applyNumberFormat="1" applyFont="1" applyFill="1" applyBorder="1" applyAlignment="1">
      <alignment horizontal="center"/>
    </xf>
    <xf numFmtId="0" fontId="0" fillId="9" borderId="3" xfId="0" applyFill="1" applyBorder="1"/>
    <xf numFmtId="0" fontId="0" fillId="6" borderId="11" xfId="0" applyFill="1" applyBorder="1"/>
    <xf numFmtId="0" fontId="0" fillId="9" borderId="11" xfId="0" applyFill="1" applyBorder="1"/>
    <xf numFmtId="0" fontId="0" fillId="7" borderId="11" xfId="0" applyFill="1" applyBorder="1"/>
    <xf numFmtId="0" fontId="0" fillId="8" borderId="11" xfId="0" applyFill="1" applyBorder="1"/>
    <xf numFmtId="0" fontId="0" fillId="9" borderId="40" xfId="0" applyFill="1" applyBorder="1"/>
    <xf numFmtId="0" fontId="0" fillId="6" borderId="31" xfId="0" applyFill="1" applyBorder="1"/>
    <xf numFmtId="0" fontId="0" fillId="0" borderId="11" xfId="0" applyBorder="1" applyAlignment="1">
      <alignment horizontal="center" vertical="center" wrapText="1"/>
    </xf>
    <xf numFmtId="0" fontId="0" fillId="0" borderId="8" xfId="0" applyBorder="1" applyAlignment="1">
      <alignment horizontal="center" vertical="center"/>
    </xf>
    <xf numFmtId="0" fontId="3" fillId="7" borderId="18" xfId="1" applyNumberFormat="1" applyFont="1" applyFill="1" applyBorder="1"/>
    <xf numFmtId="0" fontId="3" fillId="7" borderId="21" xfId="1" applyNumberFormat="1" applyFont="1" applyFill="1" applyBorder="1"/>
    <xf numFmtId="0" fontId="3" fillId="6" borderId="21" xfId="1" applyNumberFormat="1" applyFont="1" applyFill="1" applyBorder="1"/>
    <xf numFmtId="0" fontId="3" fillId="11" borderId="18" xfId="1" applyNumberFormat="1" applyFont="1" applyFill="1" applyBorder="1"/>
    <xf numFmtId="0" fontId="3" fillId="11" borderId="21" xfId="1" applyNumberFormat="1" applyFont="1" applyFill="1" applyBorder="1"/>
    <xf numFmtId="0" fontId="3" fillId="10" borderId="8" xfId="1" applyNumberFormat="1" applyFont="1" applyFill="1" applyBorder="1"/>
    <xf numFmtId="0" fontId="0" fillId="10" borderId="8" xfId="0" applyFill="1" applyBorder="1"/>
    <xf numFmtId="0" fontId="0" fillId="10" borderId="8" xfId="1" applyNumberFormat="1" applyFont="1" applyFill="1" applyBorder="1" applyAlignment="1">
      <alignment wrapText="1"/>
    </xf>
    <xf numFmtId="43" fontId="3" fillId="6" borderId="8" xfId="1" applyFont="1" applyFill="1" applyBorder="1" applyAlignment="1">
      <alignment wrapText="1"/>
    </xf>
    <xf numFmtId="0" fontId="0" fillId="16" borderId="8" xfId="0" applyFill="1" applyBorder="1"/>
    <xf numFmtId="0" fontId="0" fillId="16" borderId="18" xfId="0" applyFill="1" applyBorder="1"/>
    <xf numFmtId="0" fontId="0" fillId="16" borderId="2" xfId="0" applyFill="1" applyBorder="1"/>
    <xf numFmtId="0" fontId="3" fillId="16" borderId="18" xfId="0" applyFont="1" applyFill="1" applyBorder="1"/>
    <xf numFmtId="0" fontId="3" fillId="16" borderId="8" xfId="0" applyFont="1" applyFill="1" applyBorder="1"/>
    <xf numFmtId="0" fontId="0" fillId="2" borderId="0" xfId="0" applyFill="1" applyAlignment="1">
      <alignment horizontal="center" vertical="center"/>
    </xf>
    <xf numFmtId="0" fontId="0" fillId="10" borderId="2" xfId="0" applyFill="1" applyBorder="1"/>
    <xf numFmtId="0" fontId="0" fillId="5" borderId="2" xfId="0" applyFill="1" applyBorder="1"/>
    <xf numFmtId="0" fontId="0" fillId="5" borderId="18" xfId="0" applyFill="1" applyBorder="1"/>
    <xf numFmtId="0" fontId="3" fillId="5" borderId="18" xfId="0" applyFont="1" applyFill="1" applyBorder="1"/>
    <xf numFmtId="0" fontId="3" fillId="5" borderId="19" xfId="0" applyFont="1" applyFill="1" applyBorder="1"/>
    <xf numFmtId="0" fontId="0" fillId="5" borderId="21" xfId="0" applyFill="1" applyBorder="1"/>
    <xf numFmtId="0" fontId="0" fillId="5" borderId="19" xfId="0" applyFill="1" applyBorder="1"/>
    <xf numFmtId="0" fontId="3" fillId="5" borderId="8" xfId="0" applyFont="1" applyFill="1" applyBorder="1"/>
    <xf numFmtId="0" fontId="0" fillId="5" borderId="32" xfId="0" applyFill="1" applyBorder="1"/>
    <xf numFmtId="0" fontId="0" fillId="5" borderId="34" xfId="0" applyFill="1" applyBorder="1"/>
    <xf numFmtId="0" fontId="0" fillId="5" borderId="37" xfId="0" applyFill="1" applyBorder="1"/>
    <xf numFmtId="0" fontId="0" fillId="16" borderId="32" xfId="0" applyFill="1" applyBorder="1"/>
    <xf numFmtId="0" fontId="0" fillId="16" borderId="34" xfId="0" applyFill="1" applyBorder="1"/>
    <xf numFmtId="0" fontId="0" fillId="16" borderId="35" xfId="0" applyFill="1" applyBorder="1"/>
    <xf numFmtId="43" fontId="0" fillId="6" borderId="21" xfId="1" applyFont="1" applyFill="1" applyBorder="1"/>
    <xf numFmtId="0" fontId="0" fillId="16" borderId="21" xfId="0" applyFill="1" applyBorder="1"/>
    <xf numFmtId="0" fontId="0" fillId="16" borderId="37" xfId="0" applyFill="1" applyBorder="1"/>
    <xf numFmtId="0" fontId="0" fillId="3" borderId="50" xfId="0" applyFill="1" applyBorder="1"/>
    <xf numFmtId="0" fontId="0" fillId="2" borderId="17" xfId="0" applyFill="1" applyBorder="1"/>
    <xf numFmtId="0" fontId="0" fillId="0" borderId="17" xfId="0" applyBorder="1"/>
    <xf numFmtId="0" fontId="0" fillId="2" borderId="28" xfId="0" applyFill="1" applyBorder="1"/>
    <xf numFmtId="43" fontId="0" fillId="2" borderId="21" xfId="1" applyFont="1" applyFill="1" applyBorder="1"/>
    <xf numFmtId="0" fontId="3" fillId="10" borderId="2" xfId="1" applyNumberFormat="1" applyFont="1" applyFill="1" applyBorder="1"/>
    <xf numFmtId="43" fontId="0" fillId="7" borderId="21" xfId="1" applyFont="1" applyFill="1" applyBorder="1"/>
    <xf numFmtId="0" fontId="0" fillId="10" borderId="18" xfId="0" applyFill="1" applyBorder="1"/>
    <xf numFmtId="0" fontId="0" fillId="10" borderId="21" xfId="0" applyFill="1" applyBorder="1"/>
    <xf numFmtId="0" fontId="3" fillId="4" borderId="21" xfId="1" applyNumberFormat="1" applyFont="1" applyFill="1" applyBorder="1"/>
    <xf numFmtId="0" fontId="3" fillId="10" borderId="18" xfId="1" applyNumberFormat="1" applyFont="1" applyFill="1" applyBorder="1"/>
    <xf numFmtId="0" fontId="3" fillId="10" borderId="21" xfId="1" applyNumberFormat="1" applyFont="1" applyFill="1" applyBorder="1"/>
    <xf numFmtId="43" fontId="3" fillId="6" borderId="18" xfId="1" applyFont="1" applyFill="1" applyBorder="1" applyAlignment="1">
      <alignment wrapText="1"/>
    </xf>
    <xf numFmtId="43" fontId="3" fillId="6" borderId="21" xfId="1" applyFont="1" applyFill="1" applyBorder="1" applyAlignment="1">
      <alignment wrapText="1"/>
    </xf>
    <xf numFmtId="0" fontId="0" fillId="10" borderId="18" xfId="1" applyNumberFormat="1" applyFont="1" applyFill="1" applyBorder="1" applyAlignment="1">
      <alignment wrapText="1"/>
    </xf>
    <xf numFmtId="0" fontId="0" fillId="10" borderId="21" xfId="1" applyNumberFormat="1" applyFont="1" applyFill="1" applyBorder="1" applyAlignment="1">
      <alignment wrapText="1"/>
    </xf>
    <xf numFmtId="0" fontId="0" fillId="10" borderId="32" xfId="0" applyFill="1" applyBorder="1"/>
    <xf numFmtId="0" fontId="0" fillId="10" borderId="34" xfId="0" applyFill="1" applyBorder="1"/>
    <xf numFmtId="0" fontId="0" fillId="10" borderId="37" xfId="0" applyFill="1" applyBorder="1"/>
    <xf numFmtId="0" fontId="0" fillId="10" borderId="50" xfId="0" applyFill="1" applyBorder="1" applyAlignment="1">
      <alignment horizontal="center" wrapText="1"/>
    </xf>
    <xf numFmtId="0" fontId="0" fillId="16" borderId="17" xfId="0" applyFill="1" applyBorder="1"/>
    <xf numFmtId="43" fontId="0" fillId="2" borderId="17" xfId="1" applyFont="1" applyFill="1" applyBorder="1" applyAlignment="1">
      <alignment wrapText="1"/>
    </xf>
    <xf numFmtId="0" fontId="0" fillId="10" borderId="17" xfId="0" applyFill="1" applyBorder="1"/>
    <xf numFmtId="43" fontId="0" fillId="10" borderId="17" xfId="1" applyFont="1" applyFill="1" applyBorder="1" applyAlignment="1">
      <alignment wrapText="1"/>
    </xf>
    <xf numFmtId="0" fontId="0" fillId="10" borderId="28" xfId="0" applyFill="1" applyBorder="1"/>
    <xf numFmtId="0" fontId="3" fillId="6" borderId="21" xfId="0" applyFont="1" applyFill="1" applyBorder="1"/>
    <xf numFmtId="0" fontId="3" fillId="0" borderId="21" xfId="0" applyFont="1" applyBorder="1"/>
    <xf numFmtId="0" fontId="3" fillId="16" borderId="21" xfId="0" applyFont="1" applyFill="1" applyBorder="1"/>
    <xf numFmtId="0" fontId="3" fillId="4" borderId="21" xfId="0" applyFont="1" applyFill="1" applyBorder="1"/>
    <xf numFmtId="0" fontId="0" fillId="16" borderId="17" xfId="0" applyFill="1" applyBorder="1" applyAlignment="1">
      <alignment wrapText="1"/>
    </xf>
    <xf numFmtId="0" fontId="0" fillId="2" borderId="17" xfId="0" applyFill="1" applyBorder="1" applyAlignment="1">
      <alignment wrapText="1"/>
    </xf>
    <xf numFmtId="0" fontId="0" fillId="5" borderId="17" xfId="0" applyFill="1" applyBorder="1" applyAlignment="1">
      <alignment wrapText="1"/>
    </xf>
    <xf numFmtId="0" fontId="0" fillId="16" borderId="28" xfId="0" applyFill="1" applyBorder="1" applyAlignment="1">
      <alignment wrapText="1"/>
    </xf>
    <xf numFmtId="43" fontId="0" fillId="11" borderId="2" xfId="1" applyFont="1" applyFill="1" applyBorder="1"/>
    <xf numFmtId="0" fontId="0" fillId="5" borderId="35" xfId="0" applyFill="1" applyBorder="1"/>
    <xf numFmtId="0" fontId="0" fillId="5" borderId="27" xfId="0" applyFill="1" applyBorder="1"/>
    <xf numFmtId="0" fontId="3" fillId="5" borderId="27" xfId="0" applyFont="1" applyFill="1" applyBorder="1"/>
    <xf numFmtId="0" fontId="3" fillId="5" borderId="21" xfId="0" applyFont="1" applyFill="1" applyBorder="1"/>
    <xf numFmtId="0" fontId="0" fillId="5" borderId="17" xfId="0" applyFill="1" applyBorder="1"/>
    <xf numFmtId="0" fontId="0" fillId="5" borderId="28" xfId="0" applyFill="1" applyBorder="1"/>
    <xf numFmtId="0" fontId="3" fillId="0" borderId="16" xfId="0" applyFont="1" applyBorder="1" applyAlignment="1">
      <alignment horizontal="right" vertical="center" wrapText="1" shrinkToFit="1"/>
    </xf>
    <xf numFmtId="0" fontId="3" fillId="4" borderId="22" xfId="0" applyFont="1" applyFill="1" applyBorder="1"/>
    <xf numFmtId="43" fontId="3" fillId="7" borderId="21" xfId="0" applyNumberFormat="1" applyFont="1" applyFill="1" applyBorder="1"/>
    <xf numFmtId="43" fontId="3" fillId="4" borderId="21" xfId="0" applyNumberFormat="1" applyFont="1" applyFill="1" applyBorder="1"/>
    <xf numFmtId="0" fontId="3" fillId="4" borderId="23" xfId="0" applyFont="1" applyFill="1" applyBorder="1"/>
    <xf numFmtId="43" fontId="0" fillId="9" borderId="21" xfId="1" applyFont="1" applyFill="1" applyBorder="1"/>
    <xf numFmtId="43" fontId="0" fillId="9" borderId="18" xfId="1" applyFont="1" applyFill="1" applyBorder="1"/>
    <xf numFmtId="43" fontId="0" fillId="0" borderId="21" xfId="1" applyFont="1" applyBorder="1"/>
    <xf numFmtId="43" fontId="0" fillId="4" borderId="21" xfId="1" applyFont="1" applyFill="1" applyBorder="1"/>
    <xf numFmtId="43" fontId="3" fillId="9" borderId="8" xfId="0" applyNumberFormat="1" applyFont="1" applyFill="1" applyBorder="1"/>
    <xf numFmtId="43" fontId="3" fillId="9" borderId="21" xfId="0" applyNumberFormat="1" applyFont="1" applyFill="1" applyBorder="1"/>
    <xf numFmtId="43" fontId="0" fillId="17" borderId="8" xfId="1" applyFont="1" applyFill="1" applyBorder="1"/>
    <xf numFmtId="43" fontId="0" fillId="17" borderId="21" xfId="1" applyFont="1" applyFill="1" applyBorder="1"/>
    <xf numFmtId="0" fontId="3" fillId="17" borderId="8" xfId="0" applyFont="1" applyFill="1" applyBorder="1"/>
    <xf numFmtId="0" fontId="3" fillId="17" borderId="21" xfId="0" applyFont="1" applyFill="1" applyBorder="1"/>
    <xf numFmtId="0" fontId="3" fillId="17" borderId="13" xfId="0" applyFont="1" applyFill="1" applyBorder="1"/>
    <xf numFmtId="0" fontId="3" fillId="17" borderId="14" xfId="0" applyFont="1" applyFill="1" applyBorder="1"/>
    <xf numFmtId="43" fontId="3" fillId="6" borderId="8" xfId="0" applyNumberFormat="1" applyFont="1" applyFill="1" applyBorder="1"/>
    <xf numFmtId="43" fontId="3" fillId="6" borderId="21" xfId="0" applyNumberFormat="1" applyFont="1" applyFill="1" applyBorder="1"/>
    <xf numFmtId="43" fontId="0" fillId="17" borderId="22" xfId="1" applyFont="1" applyFill="1" applyBorder="1"/>
    <xf numFmtId="43" fontId="0" fillId="17" borderId="23" xfId="1" applyFont="1" applyFill="1" applyBorder="1"/>
    <xf numFmtId="43" fontId="0" fillId="2" borderId="34" xfId="1" applyFont="1" applyFill="1" applyBorder="1"/>
    <xf numFmtId="0" fontId="0" fillId="9" borderId="50" xfId="0" applyFill="1" applyBorder="1"/>
    <xf numFmtId="0" fontId="3" fillId="6" borderId="17" xfId="0" applyFont="1" applyFill="1" applyBorder="1"/>
    <xf numFmtId="0" fontId="0" fillId="6" borderId="55" xfId="0" applyFill="1" applyBorder="1"/>
    <xf numFmtId="0" fontId="0" fillId="0" borderId="50" xfId="0" applyBorder="1" applyAlignment="1">
      <alignment wrapText="1"/>
    </xf>
    <xf numFmtId="0" fontId="0" fillId="0" borderId="17" xfId="0" applyBorder="1" applyAlignment="1">
      <alignment wrapText="1"/>
    </xf>
    <xf numFmtId="0" fontId="0" fillId="0" borderId="58" xfId="0" applyBorder="1" applyAlignment="1">
      <alignment wrapText="1"/>
    </xf>
    <xf numFmtId="0" fontId="0" fillId="0" borderId="28" xfId="0" applyBorder="1" applyAlignment="1">
      <alignment wrapText="1"/>
    </xf>
    <xf numFmtId="0" fontId="0" fillId="2" borderId="0" xfId="0" applyFill="1" applyAlignment="1">
      <alignment horizontal="center" wrapText="1"/>
    </xf>
    <xf numFmtId="43" fontId="0" fillId="6" borderId="37" xfId="1" applyFont="1" applyFill="1" applyBorder="1"/>
    <xf numFmtId="43" fontId="3" fillId="9" borderId="10" xfId="0" applyNumberFormat="1" applyFont="1" applyFill="1" applyBorder="1"/>
    <xf numFmtId="0" fontId="3" fillId="9" borderId="9" xfId="0" applyFont="1" applyFill="1" applyBorder="1"/>
    <xf numFmtId="43" fontId="3" fillId="6" borderId="34" xfId="0" applyNumberFormat="1" applyFont="1" applyFill="1" applyBorder="1"/>
    <xf numFmtId="43" fontId="3" fillId="6" borderId="37" xfId="0" applyNumberFormat="1" applyFont="1" applyFill="1" applyBorder="1"/>
    <xf numFmtId="0" fontId="0" fillId="9" borderId="18" xfId="0" applyFill="1" applyBorder="1"/>
    <xf numFmtId="165" fontId="3" fillId="9" borderId="18" xfId="1" applyNumberFormat="1" applyFont="1" applyFill="1" applyBorder="1"/>
    <xf numFmtId="165" fontId="3" fillId="9" borderId="8" xfId="1" applyNumberFormat="1" applyFont="1" applyFill="1" applyBorder="1"/>
    <xf numFmtId="165" fontId="0" fillId="16" borderId="18" xfId="0" applyNumberFormat="1" applyFill="1" applyBorder="1"/>
    <xf numFmtId="165" fontId="0" fillId="16" borderId="8" xfId="0" applyNumberFormat="1" applyFill="1" applyBorder="1"/>
    <xf numFmtId="165" fontId="3" fillId="7" borderId="18" xfId="1" applyNumberFormat="1" applyFont="1" applyFill="1" applyBorder="1"/>
    <xf numFmtId="165" fontId="3" fillId="7" borderId="8" xfId="1" applyNumberFormat="1" applyFont="1" applyFill="1" applyBorder="1"/>
    <xf numFmtId="165" fontId="0" fillId="4" borderId="8" xfId="0" applyNumberFormat="1" applyFill="1" applyBorder="1"/>
    <xf numFmtId="165" fontId="3" fillId="6" borderId="18" xfId="1" applyNumberFormat="1" applyFont="1" applyFill="1" applyBorder="1"/>
    <xf numFmtId="165" fontId="3" fillId="2" borderId="18" xfId="1" applyNumberFormat="1" applyFont="1" applyFill="1" applyBorder="1"/>
    <xf numFmtId="165" fontId="3" fillId="2" borderId="8" xfId="1" applyNumberFormat="1" applyFont="1" applyFill="1" applyBorder="1"/>
    <xf numFmtId="165" fontId="0" fillId="16" borderId="32" xfId="0" applyNumberFormat="1" applyFill="1" applyBorder="1"/>
    <xf numFmtId="165" fontId="0" fillId="16" borderId="34" xfId="0" applyNumberFormat="1" applyFill="1" applyBorder="1"/>
    <xf numFmtId="0" fontId="0" fillId="3" borderId="8" xfId="0" applyFill="1" applyBorder="1"/>
    <xf numFmtId="0" fontId="0" fillId="3" borderId="8" xfId="0" applyFill="1" applyBorder="1" applyAlignment="1">
      <alignment wrapText="1"/>
    </xf>
    <xf numFmtId="0" fontId="0" fillId="12" borderId="8" xfId="0" applyFill="1" applyBorder="1" applyAlignment="1">
      <alignment wrapText="1"/>
    </xf>
    <xf numFmtId="0" fontId="0" fillId="15" borderId="8" xfId="0" applyFill="1" applyBorder="1" applyAlignment="1">
      <alignment horizontal="right" wrapText="1"/>
    </xf>
    <xf numFmtId="0" fontId="0" fillId="0" borderId="18" xfId="0" applyBorder="1" applyAlignment="1">
      <alignment horizontal="center" vertical="center"/>
    </xf>
    <xf numFmtId="0" fontId="0" fillId="13" borderId="18" xfId="0" applyFill="1" applyBorder="1" applyAlignment="1">
      <alignment wrapText="1"/>
    </xf>
    <xf numFmtId="0" fontId="0" fillId="13" borderId="21" xfId="0" applyFill="1" applyBorder="1" applyAlignment="1">
      <alignment horizontal="right" wrapText="1"/>
    </xf>
    <xf numFmtId="0" fontId="0" fillId="8" borderId="18" xfId="0" applyFill="1" applyBorder="1"/>
    <xf numFmtId="0" fontId="0" fillId="15" borderId="18" xfId="0" applyFill="1" applyBorder="1" applyAlignment="1">
      <alignment wrapText="1"/>
    </xf>
    <xf numFmtId="0" fontId="0" fillId="6" borderId="32" xfId="0" applyFill="1" applyBorder="1"/>
    <xf numFmtId="0" fontId="3" fillId="14" borderId="18" xfId="0" applyFont="1" applyFill="1" applyBorder="1" applyAlignment="1">
      <alignment horizontal="right" wrapText="1"/>
    </xf>
    <xf numFmtId="0" fontId="3" fillId="15" borderId="18" xfId="0" applyFont="1" applyFill="1" applyBorder="1" applyAlignment="1">
      <alignment horizontal="right" wrapText="1"/>
    </xf>
    <xf numFmtId="0" fontId="0" fillId="3" borderId="21" xfId="0" applyFill="1" applyBorder="1"/>
    <xf numFmtId="0" fontId="0" fillId="3" borderId="18" xfId="0" applyFill="1" applyBorder="1"/>
    <xf numFmtId="0" fontId="0" fillId="3" borderId="34" xfId="0" applyFill="1" applyBorder="1"/>
    <xf numFmtId="0" fontId="0" fillId="3" borderId="37" xfId="0" applyFill="1" applyBorder="1"/>
    <xf numFmtId="0" fontId="0" fillId="3" borderId="32" xfId="0" applyFill="1" applyBorder="1"/>
    <xf numFmtId="0" fontId="0" fillId="3" borderId="18" xfId="0" applyFill="1" applyBorder="1" applyAlignment="1">
      <alignment wrapText="1"/>
    </xf>
    <xf numFmtId="0" fontId="0" fillId="4" borderId="8" xfId="0" applyFill="1" applyBorder="1" applyAlignment="1">
      <alignment horizontal="right" wrapText="1"/>
    </xf>
    <xf numFmtId="0" fontId="0" fillId="3" borderId="11" xfId="0" applyFill="1" applyBorder="1"/>
    <xf numFmtId="0" fontId="3" fillId="3" borderId="18" xfId="0" applyFont="1" applyFill="1" applyBorder="1"/>
    <xf numFmtId="0" fontId="3" fillId="3" borderId="8" xfId="0" applyFont="1" applyFill="1" applyBorder="1"/>
    <xf numFmtId="43" fontId="0" fillId="10" borderId="8" xfId="1" applyFont="1" applyFill="1" applyBorder="1"/>
    <xf numFmtId="43" fontId="0" fillId="10" borderId="21" xfId="1" applyFont="1" applyFill="1" applyBorder="1"/>
    <xf numFmtId="0" fontId="3" fillId="6" borderId="18" xfId="0" applyFont="1" applyFill="1" applyBorder="1" applyAlignment="1">
      <alignment wrapText="1"/>
    </xf>
    <xf numFmtId="0" fontId="3" fillId="0" borderId="18" xfId="0" applyFont="1" applyBorder="1" applyAlignment="1">
      <alignment wrapText="1"/>
    </xf>
    <xf numFmtId="0" fontId="0" fillId="9" borderId="39" xfId="0" applyFill="1" applyBorder="1"/>
    <xf numFmtId="43" fontId="0" fillId="2" borderId="22" xfId="1" applyFont="1" applyFill="1" applyBorder="1"/>
    <xf numFmtId="43" fontId="0" fillId="2" borderId="39" xfId="1" applyFont="1" applyFill="1" applyBorder="1"/>
    <xf numFmtId="0" fontId="0" fillId="0" borderId="34" xfId="0" applyBorder="1" applyAlignment="1">
      <alignment horizontal="center" wrapText="1"/>
    </xf>
    <xf numFmtId="0" fontId="0" fillId="2" borderId="37" xfId="0" applyFill="1" applyBorder="1" applyAlignment="1">
      <alignment horizontal="center" vertical="center"/>
    </xf>
    <xf numFmtId="43" fontId="0" fillId="7" borderId="22" xfId="1" applyFont="1" applyFill="1" applyBorder="1"/>
    <xf numFmtId="43" fontId="0" fillId="2" borderId="38" xfId="1" applyFont="1" applyFill="1" applyBorder="1"/>
    <xf numFmtId="0" fontId="3" fillId="7" borderId="39" xfId="1" applyNumberFormat="1" applyFont="1" applyFill="1" applyBorder="1" applyAlignment="1">
      <alignment wrapText="1"/>
    </xf>
    <xf numFmtId="0" fontId="0" fillId="7" borderId="22" xfId="0" applyFill="1" applyBorder="1"/>
    <xf numFmtId="43" fontId="0" fillId="7" borderId="23" xfId="1" applyFont="1" applyFill="1" applyBorder="1"/>
    <xf numFmtId="43" fontId="0" fillId="2" borderId="60" xfId="1" applyFont="1" applyFill="1" applyBorder="1" applyAlignment="1">
      <alignment horizontal="left" vertical="top" wrapText="1"/>
    </xf>
    <xf numFmtId="0" fontId="0" fillId="0" borderId="39" xfId="0" applyBorder="1"/>
    <xf numFmtId="0" fontId="0" fillId="6" borderId="22" xfId="0" applyFill="1" applyBorder="1"/>
    <xf numFmtId="0" fontId="0" fillId="0" borderId="22" xfId="0" applyBorder="1"/>
    <xf numFmtId="0" fontId="0" fillId="6" borderId="38" xfId="0" applyFill="1" applyBorder="1"/>
    <xf numFmtId="0" fontId="3" fillId="6" borderId="39" xfId="0" applyFont="1" applyFill="1" applyBorder="1"/>
    <xf numFmtId="0" fontId="3" fillId="6" borderId="22" xfId="0" applyFont="1" applyFill="1" applyBorder="1"/>
    <xf numFmtId="0" fontId="3" fillId="6" borderId="23" xfId="0" applyFont="1" applyFill="1" applyBorder="1"/>
    <xf numFmtId="43" fontId="0" fillId="2" borderId="60" xfId="1" applyFont="1" applyFill="1" applyBorder="1" applyAlignment="1">
      <alignment wrapText="1"/>
    </xf>
    <xf numFmtId="0" fontId="0" fillId="0" borderId="32" xfId="0" applyBorder="1" applyAlignment="1">
      <alignment horizontal="center" vertical="center" wrapText="1"/>
    </xf>
    <xf numFmtId="0" fontId="0" fillId="2" borderId="28" xfId="0" applyFill="1" applyBorder="1" applyAlignment="1">
      <alignment horizontal="center" vertical="center" wrapText="1"/>
    </xf>
    <xf numFmtId="0" fontId="0" fillId="4" borderId="38" xfId="0" applyFill="1" applyBorder="1"/>
    <xf numFmtId="0" fontId="3" fillId="4" borderId="39" xfId="0" applyFont="1" applyFill="1" applyBorder="1"/>
    <xf numFmtId="43" fontId="0" fillId="11" borderId="38" xfId="1" applyFont="1" applyFill="1" applyBorder="1"/>
    <xf numFmtId="0" fontId="3" fillId="11" borderId="39" xfId="1" applyNumberFormat="1" applyFont="1" applyFill="1" applyBorder="1"/>
    <xf numFmtId="0" fontId="3" fillId="11" borderId="22" xfId="1" applyNumberFormat="1" applyFont="1" applyFill="1" applyBorder="1"/>
    <xf numFmtId="0" fontId="3" fillId="11" borderId="23" xfId="1" applyNumberFormat="1" applyFont="1" applyFill="1" applyBorder="1"/>
    <xf numFmtId="0" fontId="0" fillId="7" borderId="60" xfId="0" applyFill="1" applyBorder="1"/>
    <xf numFmtId="0" fontId="0" fillId="2" borderId="28" xfId="0" applyFill="1" applyBorder="1" applyAlignment="1">
      <alignment horizontal="center" vertical="center" wrapText="1" shrinkToFit="1"/>
    </xf>
    <xf numFmtId="43" fontId="0" fillId="7" borderId="39" xfId="1" applyFont="1" applyFill="1" applyBorder="1"/>
    <xf numFmtId="43" fontId="0" fillId="6" borderId="22" xfId="1" applyFont="1" applyFill="1" applyBorder="1"/>
    <xf numFmtId="43" fontId="0" fillId="9" borderId="23" xfId="1" applyFont="1" applyFill="1" applyBorder="1"/>
    <xf numFmtId="165" fontId="3" fillId="7" borderId="39" xfId="1" applyNumberFormat="1" applyFont="1" applyFill="1" applyBorder="1"/>
    <xf numFmtId="165" fontId="3" fillId="9" borderId="22" xfId="1" applyNumberFormat="1" applyFont="1" applyFill="1" applyBorder="1"/>
    <xf numFmtId="0" fontId="0" fillId="10" borderId="35" xfId="0" applyFill="1" applyBorder="1"/>
    <xf numFmtId="0" fontId="0" fillId="3" borderId="50" xfId="0" applyFill="1" applyBorder="1" applyAlignment="1">
      <alignment horizontal="center" vertical="center" wrapText="1"/>
    </xf>
    <xf numFmtId="0" fontId="0" fillId="0" borderId="60" xfId="0" applyBorder="1" applyAlignment="1">
      <alignment wrapText="1"/>
    </xf>
    <xf numFmtId="0" fontId="3" fillId="3" borderId="2" xfId="0" applyFont="1" applyFill="1" applyBorder="1"/>
    <xf numFmtId="0" fontId="0" fillId="3" borderId="2" xfId="0" applyFill="1" applyBorder="1" applyAlignment="1">
      <alignment wrapText="1"/>
    </xf>
    <xf numFmtId="0" fontId="0" fillId="3" borderId="35" xfId="0" applyFill="1" applyBorder="1"/>
    <xf numFmtId="0" fontId="0" fillId="0" borderId="49" xfId="0" applyBorder="1" applyAlignment="1">
      <alignment wrapText="1"/>
    </xf>
    <xf numFmtId="0" fontId="0" fillId="3" borderId="17" xfId="0" applyFill="1" applyBorder="1"/>
    <xf numFmtId="0" fontId="0" fillId="3" borderId="17" xfId="0" applyFill="1" applyBorder="1" applyAlignment="1">
      <alignment wrapText="1"/>
    </xf>
    <xf numFmtId="0" fontId="0" fillId="3" borderId="28" xfId="0" applyFill="1" applyBorder="1"/>
    <xf numFmtId="165" fontId="3" fillId="9" borderId="38" xfId="1" applyNumberFormat="1" applyFont="1" applyFill="1" applyBorder="1"/>
    <xf numFmtId="165" fontId="0" fillId="16" borderId="2" xfId="0" applyNumberFormat="1" applyFill="1" applyBorder="1"/>
    <xf numFmtId="165" fontId="3" fillId="7" borderId="2" xfId="1" applyNumberFormat="1" applyFont="1" applyFill="1" applyBorder="1"/>
    <xf numFmtId="165" fontId="0" fillId="4" borderId="2" xfId="0" applyNumberFormat="1" applyFill="1" applyBorder="1"/>
    <xf numFmtId="165" fontId="3" fillId="9" borderId="2" xfId="1" applyNumberFormat="1" applyFont="1" applyFill="1" applyBorder="1"/>
    <xf numFmtId="165" fontId="3" fillId="2" borderId="2" xfId="1" applyNumberFormat="1" applyFont="1" applyFill="1" applyBorder="1"/>
    <xf numFmtId="165" fontId="3" fillId="7" borderId="11" xfId="1" applyNumberFormat="1" applyFont="1" applyFill="1" applyBorder="1"/>
    <xf numFmtId="165" fontId="0" fillId="16" borderId="35" xfId="0" applyNumberFormat="1" applyFill="1" applyBorder="1"/>
    <xf numFmtId="0" fontId="0" fillId="16" borderId="28" xfId="0" applyFill="1" applyBorder="1"/>
    <xf numFmtId="0" fontId="3" fillId="16" borderId="18" xfId="0" applyFont="1" applyFill="1" applyBorder="1" applyAlignment="1">
      <alignment wrapText="1"/>
    </xf>
    <xf numFmtId="0" fontId="3" fillId="16" borderId="8" xfId="0" applyFont="1" applyFill="1" applyBorder="1" applyAlignment="1">
      <alignment wrapText="1"/>
    </xf>
    <xf numFmtId="0" fontId="3" fillId="16" borderId="2" xfId="0" applyFont="1" applyFill="1" applyBorder="1" applyAlignment="1">
      <alignment wrapText="1"/>
    </xf>
    <xf numFmtId="165" fontId="3" fillId="5" borderId="18" xfId="1" applyNumberFormat="1" applyFont="1" applyFill="1" applyBorder="1"/>
    <xf numFmtId="165" fontId="3" fillId="5" borderId="8" xfId="1" applyNumberFormat="1" applyFont="1" applyFill="1" applyBorder="1"/>
    <xf numFmtId="165" fontId="3" fillId="5" borderId="2" xfId="1" applyNumberFormat="1" applyFont="1" applyFill="1" applyBorder="1"/>
    <xf numFmtId="2" fontId="0" fillId="4" borderId="8" xfId="0" applyNumberFormat="1" applyFill="1" applyBorder="1" applyAlignment="1">
      <alignment horizontal="right" wrapText="1"/>
    </xf>
    <xf numFmtId="2" fontId="0" fillId="12" borderId="8" xfId="0" applyNumberFormat="1" applyFill="1" applyBorder="1" applyAlignment="1">
      <alignment wrapText="1"/>
    </xf>
    <xf numFmtId="2" fontId="0" fillId="13" borderId="21" xfId="0" applyNumberFormat="1" applyFill="1" applyBorder="1" applyAlignment="1">
      <alignment horizontal="right" wrapText="1"/>
    </xf>
    <xf numFmtId="2" fontId="3" fillId="14" borderId="11" xfId="0" applyNumberFormat="1" applyFont="1" applyFill="1" applyBorder="1" applyAlignment="1">
      <alignment horizontal="right" wrapText="1"/>
    </xf>
    <xf numFmtId="2" fontId="3" fillId="14" borderId="8" xfId="0" applyNumberFormat="1" applyFont="1" applyFill="1" applyBorder="1" applyAlignment="1">
      <alignment horizontal="right" wrapText="1"/>
    </xf>
    <xf numFmtId="2" fontId="3" fillId="14" borderId="2" xfId="0" applyNumberFormat="1" applyFont="1" applyFill="1" applyBorder="1" applyAlignment="1">
      <alignment horizontal="right" wrapText="1"/>
    </xf>
    <xf numFmtId="2" fontId="0" fillId="2" borderId="21" xfId="0" applyNumberFormat="1" applyFill="1" applyBorder="1" applyAlignment="1">
      <alignment wrapText="1"/>
    </xf>
    <xf numFmtId="0" fontId="0" fillId="6" borderId="8" xfId="0" applyFill="1" applyBorder="1" applyAlignment="1">
      <alignment horizontal="right" wrapText="1"/>
    </xf>
    <xf numFmtId="0" fontId="3" fillId="6" borderId="8" xfId="0" applyFont="1" applyFill="1" applyBorder="1" applyAlignment="1">
      <alignment horizontal="right" wrapText="1"/>
    </xf>
    <xf numFmtId="0" fontId="3" fillId="6" borderId="2" xfId="0" applyFont="1" applyFill="1" applyBorder="1" applyAlignment="1">
      <alignment horizontal="right" wrapText="1"/>
    </xf>
    <xf numFmtId="0" fontId="0" fillId="6" borderId="21" xfId="0" applyFill="1" applyBorder="1" applyAlignment="1">
      <alignment horizontal="right" wrapText="1"/>
    </xf>
    <xf numFmtId="2" fontId="0" fillId="6" borderId="21" xfId="0" applyNumberFormat="1" applyFill="1" applyBorder="1" applyAlignment="1">
      <alignment horizontal="right" wrapText="1"/>
    </xf>
    <xf numFmtId="2" fontId="0" fillId="6" borderId="8" xfId="0" applyNumberFormat="1" applyFill="1" applyBorder="1" applyAlignment="1">
      <alignment horizontal="right" wrapText="1"/>
    </xf>
    <xf numFmtId="0" fontId="3" fillId="7" borderId="18" xfId="0" applyFont="1" applyFill="1" applyBorder="1" applyAlignment="1">
      <alignment horizontal="right" wrapText="1"/>
    </xf>
    <xf numFmtId="0" fontId="3" fillId="7" borderId="11" xfId="0" applyFont="1" applyFill="1" applyBorder="1" applyAlignment="1">
      <alignment horizontal="right" wrapText="1"/>
    </xf>
    <xf numFmtId="0" fontId="0" fillId="7" borderId="21" xfId="0" applyFill="1" applyBorder="1" applyAlignment="1">
      <alignment horizontal="right" wrapText="1"/>
    </xf>
    <xf numFmtId="0" fontId="0" fillId="7" borderId="8" xfId="0" applyFill="1" applyBorder="1" applyAlignment="1">
      <alignment horizontal="right" wrapText="1"/>
    </xf>
    <xf numFmtId="0" fontId="3" fillId="6" borderId="39" xfId="0" applyFont="1" applyFill="1" applyBorder="1" applyAlignment="1">
      <alignment horizontal="right" wrapText="1"/>
    </xf>
    <xf numFmtId="0" fontId="3" fillId="6" borderId="23" xfId="0" applyFont="1" applyFill="1" applyBorder="1" applyAlignment="1">
      <alignment horizontal="right" wrapText="1"/>
    </xf>
    <xf numFmtId="0" fontId="3" fillId="6" borderId="65" xfId="0" applyFont="1" applyFill="1" applyBorder="1" applyAlignment="1">
      <alignment horizontal="right" wrapText="1"/>
    </xf>
    <xf numFmtId="2" fontId="3" fillId="6" borderId="11" xfId="0" applyNumberFormat="1" applyFont="1" applyFill="1" applyBorder="1" applyAlignment="1">
      <alignment horizontal="right" wrapText="1"/>
    </xf>
    <xf numFmtId="2" fontId="0" fillId="7" borderId="8" xfId="0" applyNumberFormat="1" applyFill="1" applyBorder="1" applyAlignment="1">
      <alignment horizontal="right" wrapText="1"/>
    </xf>
    <xf numFmtId="2" fontId="0" fillId="7" borderId="21" xfId="0" applyNumberFormat="1" applyFill="1" applyBorder="1" applyAlignment="1">
      <alignment horizontal="right" wrapText="1"/>
    </xf>
    <xf numFmtId="2" fontId="3" fillId="7" borderId="11" xfId="0" applyNumberFormat="1" applyFont="1" applyFill="1" applyBorder="1" applyAlignment="1">
      <alignment horizontal="right" wrapText="1"/>
    </xf>
    <xf numFmtId="2" fontId="3" fillId="7" borderId="8" xfId="0" applyNumberFormat="1" applyFont="1" applyFill="1" applyBorder="1" applyAlignment="1">
      <alignment horizontal="right" wrapText="1"/>
    </xf>
    <xf numFmtId="2" fontId="3" fillId="7" borderId="2" xfId="0" applyNumberFormat="1" applyFont="1" applyFill="1" applyBorder="1" applyAlignment="1">
      <alignment horizontal="right" wrapText="1"/>
    </xf>
    <xf numFmtId="0" fontId="3" fillId="6" borderId="18" xfId="0" applyFont="1" applyFill="1" applyBorder="1" applyAlignment="1">
      <alignment horizontal="right" wrapText="1"/>
    </xf>
    <xf numFmtId="0" fontId="3" fillId="6" borderId="11" xfId="0" applyFont="1" applyFill="1" applyBorder="1" applyAlignment="1">
      <alignment horizontal="right" wrapText="1"/>
    </xf>
    <xf numFmtId="0" fontId="0" fillId="9" borderId="18" xfId="0" applyFill="1" applyBorder="1" applyAlignment="1">
      <alignment wrapText="1"/>
    </xf>
    <xf numFmtId="43" fontId="0" fillId="9" borderId="22" xfId="1" applyFont="1" applyFill="1" applyBorder="1"/>
    <xf numFmtId="43" fontId="3" fillId="6" borderId="2" xfId="1" applyFont="1" applyFill="1" applyBorder="1"/>
    <xf numFmtId="0" fontId="3" fillId="5" borderId="18" xfId="0" applyFont="1" applyFill="1" applyBorder="1" applyAlignment="1">
      <alignment wrapText="1"/>
    </xf>
    <xf numFmtId="0" fontId="3" fillId="5" borderId="8" xfId="0" applyFont="1" applyFill="1" applyBorder="1" applyAlignment="1">
      <alignment wrapText="1"/>
    </xf>
    <xf numFmtId="0" fontId="3" fillId="5" borderId="2" xfId="0" applyFont="1" applyFill="1" applyBorder="1" applyAlignment="1">
      <alignment wrapText="1"/>
    </xf>
    <xf numFmtId="0" fontId="0" fillId="2" borderId="48" xfId="0" applyFill="1" applyBorder="1"/>
    <xf numFmtId="0" fontId="3" fillId="5" borderId="50" xfId="0" applyFont="1" applyFill="1" applyBorder="1" applyAlignment="1">
      <alignment horizontal="center" vertical="center" wrapText="1"/>
    </xf>
    <xf numFmtId="43" fontId="0" fillId="0" borderId="17" xfId="1" applyFont="1" applyFill="1" applyBorder="1"/>
    <xf numFmtId="43" fontId="0" fillId="0" borderId="22" xfId="1" applyFont="1" applyBorder="1"/>
    <xf numFmtId="0" fontId="0" fillId="0" borderId="34" xfId="0" applyBorder="1" applyAlignment="1">
      <alignment horizontal="center" vertical="center" wrapText="1"/>
    </xf>
    <xf numFmtId="43" fontId="0" fillId="0" borderId="39" xfId="1" applyFont="1" applyBorder="1"/>
    <xf numFmtId="0" fontId="0" fillId="0" borderId="34" xfId="0" applyBorder="1" applyAlignment="1">
      <alignment horizontal="center" vertical="center" wrapText="1" shrinkToFit="1"/>
    </xf>
    <xf numFmtId="0" fontId="0" fillId="2" borderId="34" xfId="0" applyFill="1" applyBorder="1" applyAlignment="1">
      <alignment horizontal="center" vertical="center" wrapText="1" shrinkToFit="1"/>
    </xf>
    <xf numFmtId="43" fontId="3" fillId="4" borderId="21" xfId="1" applyFont="1" applyFill="1" applyBorder="1"/>
    <xf numFmtId="43" fontId="3" fillId="6" borderId="21" xfId="1" applyFont="1" applyFill="1" applyBorder="1"/>
    <xf numFmtId="0" fontId="3" fillId="2" borderId="0" xfId="0" applyFont="1" applyFill="1" applyAlignment="1">
      <alignment wrapText="1"/>
    </xf>
    <xf numFmtId="43" fontId="0" fillId="0" borderId="17" xfId="1" applyFont="1" applyFill="1" applyBorder="1" applyAlignment="1">
      <alignment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6" xfId="0" applyBorder="1" applyAlignment="1">
      <alignment horizontal="center" vertical="center" wrapText="1"/>
    </xf>
    <xf numFmtId="0" fontId="0" fillId="6" borderId="18" xfId="0" applyFill="1" applyBorder="1" applyAlignment="1">
      <alignment wrapText="1"/>
    </xf>
    <xf numFmtId="0" fontId="3" fillId="4" borderId="18" xfId="0" applyFont="1" applyFill="1" applyBorder="1" applyAlignment="1">
      <alignment wrapText="1"/>
    </xf>
    <xf numFmtId="0" fontId="3" fillId="7" borderId="18" xfId="0" applyFont="1" applyFill="1" applyBorder="1" applyAlignment="1">
      <alignment wrapText="1"/>
    </xf>
    <xf numFmtId="0" fontId="0" fillId="6" borderId="5" xfId="0" applyFill="1" applyBorder="1"/>
    <xf numFmtId="0" fontId="3" fillId="0" borderId="21" xfId="0" applyFont="1" applyBorder="1" applyAlignment="1">
      <alignment wrapText="1"/>
    </xf>
    <xf numFmtId="0" fontId="0" fillId="4" borderId="21" xfId="0" applyFill="1" applyBorder="1"/>
    <xf numFmtId="0" fontId="0" fillId="4" borderId="5" xfId="0" applyFill="1" applyBorder="1"/>
    <xf numFmtId="0" fontId="0" fillId="0" borderId="50" xfId="0" applyBorder="1"/>
    <xf numFmtId="0" fontId="3" fillId="0" borderId="5" xfId="0" applyFont="1" applyBorder="1" applyAlignment="1">
      <alignment horizontal="center" vertical="center" wrapText="1"/>
    </xf>
    <xf numFmtId="0" fontId="0" fillId="0" borderId="32" xfId="0" applyBorder="1" applyAlignment="1">
      <alignment horizontal="center" wrapText="1"/>
    </xf>
    <xf numFmtId="0" fontId="3" fillId="0" borderId="16" xfId="0" applyFont="1" applyBorder="1" applyAlignment="1">
      <alignment horizontal="center" vertical="center" wrapText="1" shrinkToFit="1"/>
    </xf>
    <xf numFmtId="0" fontId="0" fillId="0" borderId="34" xfId="0" applyBorder="1" applyAlignment="1">
      <alignment horizontal="center" vertical="center"/>
    </xf>
    <xf numFmtId="0" fontId="0" fillId="0" borderId="66" xfId="0" applyBorder="1" applyAlignment="1">
      <alignment horizontal="center" vertical="center" wrapText="1"/>
    </xf>
    <xf numFmtId="0" fontId="0" fillId="10" borderId="50" xfId="0" applyFill="1" applyBorder="1" applyAlignment="1">
      <alignment horizontal="center" vertical="center" wrapText="1"/>
    </xf>
    <xf numFmtId="0" fontId="0" fillId="0" borderId="16" xfId="0" applyBorder="1" applyAlignment="1">
      <alignment horizontal="center" vertical="center" wrapText="1" shrinkToFit="1"/>
    </xf>
    <xf numFmtId="0" fontId="0" fillId="6" borderId="22" xfId="0" applyFill="1" applyBorder="1" applyAlignment="1">
      <alignment horizontal="right" wrapText="1"/>
    </xf>
    <xf numFmtId="0" fontId="0" fillId="12" borderId="22" xfId="0" applyFill="1" applyBorder="1" applyAlignment="1">
      <alignment wrapText="1"/>
    </xf>
    <xf numFmtId="0" fontId="0" fillId="6" borderId="23" xfId="0" applyFill="1" applyBorder="1" applyAlignment="1">
      <alignment horizontal="right" wrapText="1"/>
    </xf>
    <xf numFmtId="0" fontId="0" fillId="0" borderId="62" xfId="0" applyBorder="1" applyAlignment="1">
      <alignment horizontal="center" vertical="center" wrapText="1" shrinkToFit="1"/>
    </xf>
    <xf numFmtId="0" fontId="0" fillId="0" borderId="1" xfId="0" applyBorder="1" applyAlignment="1">
      <alignment horizontal="center" vertical="center" wrapText="1"/>
    </xf>
    <xf numFmtId="0" fontId="0" fillId="0" borderId="70" xfId="0" applyBorder="1" applyAlignment="1">
      <alignment horizontal="right" wrapText="1" shrinkToFit="1"/>
    </xf>
    <xf numFmtId="43" fontId="0" fillId="9" borderId="56" xfId="1" applyFont="1" applyFill="1" applyBorder="1"/>
    <xf numFmtId="43" fontId="0" fillId="2" borderId="56" xfId="1" applyFont="1" applyFill="1" applyBorder="1"/>
    <xf numFmtId="43" fontId="0" fillId="9" borderId="57" xfId="1" applyFont="1" applyFill="1" applyBorder="1"/>
    <xf numFmtId="0" fontId="0" fillId="2" borderId="12" xfId="0" applyFill="1" applyBorder="1" applyAlignment="1">
      <alignment horizontal="center" vertical="center" wrapText="1"/>
    </xf>
    <xf numFmtId="0" fontId="0" fillId="0" borderId="32" xfId="0" applyBorder="1" applyAlignment="1">
      <alignment horizontal="center" vertical="center"/>
    </xf>
    <xf numFmtId="0" fontId="0" fillId="0" borderId="37" xfId="0" applyBorder="1" applyAlignment="1">
      <alignment horizontal="center" vertical="center"/>
    </xf>
    <xf numFmtId="43" fontId="0" fillId="6" borderId="8" xfId="0" applyNumberFormat="1" applyFill="1" applyBorder="1"/>
    <xf numFmtId="0" fontId="0" fillId="16" borderId="24" xfId="0" applyFill="1" applyBorder="1" applyAlignment="1">
      <alignment wrapText="1"/>
    </xf>
    <xf numFmtId="0" fontId="0" fillId="16" borderId="26" xfId="0" applyFill="1" applyBorder="1"/>
    <xf numFmtId="43" fontId="0" fillId="16" borderId="18" xfId="1" applyFont="1" applyFill="1" applyBorder="1"/>
    <xf numFmtId="43" fontId="0" fillId="16" borderId="8" xfId="1" applyFont="1" applyFill="1" applyBorder="1"/>
    <xf numFmtId="43" fontId="0" fillId="7" borderId="17" xfId="1" applyFont="1" applyFill="1" applyBorder="1"/>
    <xf numFmtId="0" fontId="0" fillId="16" borderId="24" xfId="0" applyFill="1" applyBorder="1"/>
    <xf numFmtId="43" fontId="0" fillId="16" borderId="27" xfId="1" applyFont="1" applyFill="1" applyBorder="1" applyAlignment="1"/>
    <xf numFmtId="43" fontId="0" fillId="16" borderId="30" xfId="1" applyFont="1" applyFill="1" applyBorder="1" applyAlignment="1"/>
    <xf numFmtId="43" fontId="0" fillId="2" borderId="27" xfId="1" applyFont="1" applyFill="1" applyBorder="1" applyAlignment="1">
      <alignment wrapText="1"/>
    </xf>
    <xf numFmtId="43" fontId="0" fillId="2" borderId="27" xfId="1" applyFont="1" applyFill="1" applyBorder="1" applyAlignment="1">
      <alignment horizontal="center" wrapText="1"/>
    </xf>
    <xf numFmtId="43" fontId="0" fillId="3" borderId="18" xfId="1" applyFont="1" applyFill="1" applyBorder="1"/>
    <xf numFmtId="43" fontId="0" fillId="3" borderId="8" xfId="1" applyFont="1" applyFill="1" applyBorder="1"/>
    <xf numFmtId="43" fontId="0" fillId="3" borderId="21" xfId="1" applyFont="1" applyFill="1" applyBorder="1"/>
    <xf numFmtId="43" fontId="3" fillId="3" borderId="18" xfId="1" applyFont="1" applyFill="1" applyBorder="1"/>
    <xf numFmtId="0" fontId="0" fillId="3" borderId="44" xfId="0" applyFill="1" applyBorder="1"/>
    <xf numFmtId="0" fontId="0" fillId="3" borderId="26" xfId="0" applyFill="1" applyBorder="1"/>
    <xf numFmtId="0" fontId="0" fillId="3" borderId="59" xfId="0" applyFill="1" applyBorder="1"/>
    <xf numFmtId="43" fontId="0" fillId="3" borderId="17" xfId="1" applyFont="1" applyFill="1" applyBorder="1"/>
    <xf numFmtId="43" fontId="0" fillId="4" borderId="12" xfId="1" applyFont="1" applyFill="1" applyBorder="1"/>
    <xf numFmtId="43" fontId="3" fillId="3" borderId="8" xfId="1" applyFont="1" applyFill="1" applyBorder="1"/>
    <xf numFmtId="43" fontId="3" fillId="3" borderId="21" xfId="1" applyFont="1" applyFill="1" applyBorder="1"/>
    <xf numFmtId="43" fontId="0" fillId="3" borderId="32" xfId="1" applyFont="1" applyFill="1" applyBorder="1"/>
    <xf numFmtId="43" fontId="0" fillId="3" borderId="34" xfId="1" applyFont="1" applyFill="1" applyBorder="1"/>
    <xf numFmtId="43" fontId="0" fillId="3" borderId="37" xfId="1" applyFont="1" applyFill="1" applyBorder="1"/>
    <xf numFmtId="0" fontId="0" fillId="0" borderId="41" xfId="0" applyBorder="1"/>
    <xf numFmtId="0" fontId="0" fillId="0" borderId="42" xfId="0" applyBorder="1" applyAlignment="1">
      <alignment horizontal="center" vertical="center"/>
    </xf>
    <xf numFmtId="0" fontId="0" fillId="0" borderId="42" xfId="0" applyBorder="1" applyAlignment="1">
      <alignment horizontal="center" vertical="center" wrapText="1"/>
    </xf>
    <xf numFmtId="0" fontId="0" fillId="2" borderId="43" xfId="0" applyFill="1" applyBorder="1" applyAlignment="1">
      <alignment horizontal="center" vertical="center" wrapText="1" shrinkToFit="1"/>
    </xf>
    <xf numFmtId="0" fontId="3" fillId="3" borderId="18" xfId="1" applyNumberFormat="1" applyFont="1" applyFill="1" applyBorder="1"/>
    <xf numFmtId="0" fontId="3" fillId="3" borderId="8" xfId="1" applyNumberFormat="1" applyFont="1" applyFill="1" applyBorder="1"/>
    <xf numFmtId="0" fontId="3" fillId="3" borderId="21" xfId="1" applyNumberFormat="1" applyFont="1" applyFill="1" applyBorder="1"/>
    <xf numFmtId="43" fontId="0" fillId="3" borderId="17" xfId="1" applyFont="1" applyFill="1" applyBorder="1" applyAlignment="1">
      <alignment wrapText="1"/>
    </xf>
    <xf numFmtId="164" fontId="3" fillId="7" borderId="18" xfId="1" applyNumberFormat="1" applyFont="1" applyFill="1" applyBorder="1"/>
    <xf numFmtId="0" fontId="0" fillId="3" borderId="18" xfId="1" applyNumberFormat="1" applyFont="1" applyFill="1" applyBorder="1"/>
    <xf numFmtId="0" fontId="0" fillId="3" borderId="8" xfId="1" applyNumberFormat="1" applyFont="1" applyFill="1" applyBorder="1"/>
    <xf numFmtId="0" fontId="0" fillId="3" borderId="21" xfId="1" applyNumberFormat="1" applyFont="1" applyFill="1" applyBorder="1"/>
    <xf numFmtId="0" fontId="0" fillId="0" borderId="73" xfId="0" applyBorder="1" applyAlignment="1">
      <alignment wrapText="1"/>
    </xf>
    <xf numFmtId="0" fontId="0" fillId="0" borderId="74" xfId="0" applyBorder="1" applyAlignment="1">
      <alignment wrapText="1"/>
    </xf>
    <xf numFmtId="0" fontId="0" fillId="8" borderId="75" xfId="0" applyFill="1" applyBorder="1" applyAlignment="1">
      <alignment horizontal="center" vertical="center"/>
    </xf>
    <xf numFmtId="0" fontId="0" fillId="0" borderId="66" xfId="0" applyBorder="1" applyAlignment="1">
      <alignment horizontal="center" vertical="center"/>
    </xf>
    <xf numFmtId="0" fontId="0" fillId="0" borderId="76" xfId="0" applyBorder="1" applyAlignment="1">
      <alignment wrapText="1"/>
    </xf>
    <xf numFmtId="0" fontId="0" fillId="3" borderId="27" xfId="0" applyFill="1" applyBorder="1"/>
    <xf numFmtId="0" fontId="0" fillId="0" borderId="27" xfId="0" applyBorder="1"/>
    <xf numFmtId="0" fontId="0" fillId="3" borderId="36" xfId="0" applyFill="1" applyBorder="1"/>
    <xf numFmtId="43" fontId="0" fillId="6" borderId="10" xfId="0" applyNumberFormat="1" applyFill="1" applyBorder="1"/>
    <xf numFmtId="43" fontId="0" fillId="6" borderId="9" xfId="0" applyNumberFormat="1" applyFill="1" applyBorder="1"/>
    <xf numFmtId="43" fontId="3" fillId="4" borderId="17" xfId="1" applyFont="1" applyFill="1" applyBorder="1"/>
    <xf numFmtId="0" fontId="3" fillId="4" borderId="17" xfId="1" applyNumberFormat="1" applyFont="1" applyFill="1" applyBorder="1"/>
    <xf numFmtId="43" fontId="0" fillId="4" borderId="27" xfId="1" applyFont="1" applyFill="1" applyBorder="1"/>
    <xf numFmtId="0" fontId="0" fillId="3" borderId="32" xfId="1" applyNumberFormat="1" applyFont="1" applyFill="1" applyBorder="1"/>
    <xf numFmtId="0" fontId="0" fillId="3" borderId="34" xfId="1" applyNumberFormat="1" applyFont="1" applyFill="1" applyBorder="1"/>
    <xf numFmtId="0" fontId="0" fillId="3" borderId="37" xfId="1" applyNumberFormat="1" applyFont="1" applyFill="1" applyBorder="1"/>
    <xf numFmtId="0" fontId="0" fillId="0" borderId="5" xfId="1" applyNumberFormat="1" applyFont="1" applyBorder="1"/>
    <xf numFmtId="0" fontId="0" fillId="0" borderId="9" xfId="1" applyNumberFormat="1" applyFont="1" applyBorder="1"/>
    <xf numFmtId="0" fontId="3" fillId="0" borderId="21" xfId="1" applyNumberFormat="1" applyFont="1" applyBorder="1"/>
    <xf numFmtId="0" fontId="0" fillId="0" borderId="21" xfId="1" applyNumberFormat="1" applyFont="1" applyBorder="1"/>
    <xf numFmtId="43" fontId="0" fillId="0" borderId="38" xfId="1" applyFont="1" applyBorder="1"/>
    <xf numFmtId="43" fontId="0" fillId="3" borderId="2" xfId="1" applyFont="1" applyFill="1" applyBorder="1"/>
    <xf numFmtId="43" fontId="0" fillId="4" borderId="2" xfId="1" applyFont="1" applyFill="1" applyBorder="1"/>
    <xf numFmtId="43" fontId="0" fillId="3" borderId="27" xfId="1" applyFont="1" applyFill="1" applyBorder="1"/>
    <xf numFmtId="0" fontId="0" fillId="0" borderId="2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2" borderId="14" xfId="0" applyFill="1" applyBorder="1" applyAlignment="1">
      <alignment horizontal="center" vertical="center" wrapText="1" shrinkToFit="1"/>
    </xf>
    <xf numFmtId="0" fontId="0" fillId="0" borderId="58" xfId="0" applyBorder="1" applyAlignment="1">
      <alignment horizontal="center" vertical="center" wrapText="1"/>
    </xf>
    <xf numFmtId="43" fontId="0" fillId="0" borderId="5" xfId="1" applyFont="1" applyBorder="1"/>
    <xf numFmtId="43" fontId="0" fillId="0" borderId="10" xfId="1" applyFont="1" applyBorder="1"/>
    <xf numFmtId="43" fontId="0" fillId="0" borderId="9" xfId="1" applyFont="1" applyBorder="1"/>
    <xf numFmtId="0" fontId="3" fillId="3" borderId="32" xfId="1" applyNumberFormat="1" applyFont="1" applyFill="1" applyBorder="1"/>
    <xf numFmtId="0" fontId="3" fillId="3" borderId="34" xfId="1" applyNumberFormat="1" applyFont="1" applyFill="1" applyBorder="1"/>
    <xf numFmtId="0" fontId="3" fillId="3" borderId="37" xfId="1" applyNumberFormat="1" applyFont="1" applyFill="1" applyBorder="1"/>
    <xf numFmtId="43" fontId="0" fillId="3" borderId="28" xfId="1" applyFont="1" applyFill="1" applyBorder="1"/>
    <xf numFmtId="43" fontId="3" fillId="3" borderId="2" xfId="1" applyFont="1" applyFill="1" applyBorder="1"/>
    <xf numFmtId="43" fontId="0" fillId="3" borderId="35" xfId="1" applyFont="1" applyFill="1" applyBorder="1"/>
    <xf numFmtId="0" fontId="0" fillId="0" borderId="27" xfId="0" applyBorder="1" applyAlignment="1">
      <alignment wrapText="1"/>
    </xf>
    <xf numFmtId="0" fontId="0" fillId="3" borderId="27" xfId="0" applyFill="1" applyBorder="1" applyAlignment="1">
      <alignment wrapText="1"/>
    </xf>
    <xf numFmtId="43" fontId="0" fillId="3" borderId="30" xfId="1" applyFont="1" applyFill="1" applyBorder="1"/>
    <xf numFmtId="0" fontId="3" fillId="3" borderId="21" xfId="0" applyFont="1" applyFill="1" applyBorder="1"/>
    <xf numFmtId="43" fontId="0" fillId="4" borderId="5" xfId="0" applyNumberFormat="1" applyFill="1" applyBorder="1"/>
    <xf numFmtId="0" fontId="3" fillId="3" borderId="18" xfId="0" applyFont="1" applyFill="1" applyBorder="1" applyAlignment="1">
      <alignment wrapText="1"/>
    </xf>
    <xf numFmtId="0" fontId="3" fillId="3" borderId="8" xfId="0" applyFont="1" applyFill="1" applyBorder="1" applyAlignment="1">
      <alignment wrapText="1"/>
    </xf>
    <xf numFmtId="0" fontId="3" fillId="3" borderId="21" xfId="0" applyFont="1" applyFill="1" applyBorder="1" applyAlignment="1">
      <alignment wrapText="1"/>
    </xf>
    <xf numFmtId="0" fontId="0" fillId="4" borderId="18" xfId="0" applyFill="1" applyBorder="1" applyAlignment="1">
      <alignment wrapText="1"/>
    </xf>
    <xf numFmtId="0" fontId="3" fillId="6" borderId="2" xfId="0" applyFont="1" applyFill="1" applyBorder="1" applyAlignment="1">
      <alignment wrapText="1"/>
    </xf>
    <xf numFmtId="43" fontId="0" fillId="16" borderId="2" xfId="1" applyFont="1" applyFill="1" applyBorder="1"/>
    <xf numFmtId="0" fontId="3" fillId="16" borderId="18" xfId="1" applyNumberFormat="1" applyFont="1" applyFill="1" applyBorder="1"/>
    <xf numFmtId="0" fontId="3" fillId="16" borderId="8" xfId="1" applyNumberFormat="1" applyFont="1" applyFill="1" applyBorder="1"/>
    <xf numFmtId="0" fontId="3" fillId="16" borderId="21" xfId="1" applyNumberFormat="1" applyFont="1" applyFill="1" applyBorder="1"/>
    <xf numFmtId="0" fontId="0" fillId="16" borderId="18" xfId="0" applyFill="1" applyBorder="1" applyAlignment="1">
      <alignment wrapText="1"/>
    </xf>
    <xf numFmtId="0" fontId="0" fillId="16" borderId="8" xfId="0" applyFill="1" applyBorder="1" applyAlignment="1">
      <alignment wrapText="1"/>
    </xf>
    <xf numFmtId="0" fontId="0" fillId="16" borderId="21" xfId="0" applyFill="1" applyBorder="1" applyAlignment="1">
      <alignment wrapText="1"/>
    </xf>
    <xf numFmtId="0" fontId="0" fillId="6" borderId="12" xfId="1" applyNumberFormat="1" applyFont="1" applyFill="1" applyBorder="1"/>
    <xf numFmtId="0" fontId="0" fillId="6" borderId="18" xfId="1" applyNumberFormat="1" applyFont="1" applyFill="1" applyBorder="1"/>
    <xf numFmtId="0" fontId="0" fillId="7" borderId="8" xfId="1" applyNumberFormat="1" applyFont="1" applyFill="1" applyBorder="1"/>
    <xf numFmtId="0" fontId="0" fillId="6" borderId="21" xfId="1" applyNumberFormat="1" applyFont="1" applyFill="1" applyBorder="1"/>
    <xf numFmtId="0" fontId="0" fillId="16" borderId="18" xfId="1" applyNumberFormat="1" applyFont="1" applyFill="1" applyBorder="1"/>
    <xf numFmtId="0" fontId="0" fillId="16" borderId="8" xfId="1" applyNumberFormat="1" applyFont="1" applyFill="1" applyBorder="1"/>
    <xf numFmtId="0" fontId="0" fillId="16" borderId="21" xfId="1" applyNumberFormat="1" applyFont="1" applyFill="1" applyBorder="1"/>
    <xf numFmtId="0" fontId="0" fillId="7" borderId="18" xfId="1" applyNumberFormat="1" applyFont="1" applyFill="1" applyBorder="1"/>
    <xf numFmtId="164" fontId="3" fillId="4" borderId="18" xfId="1" applyNumberFormat="1" applyFont="1" applyFill="1" applyBorder="1"/>
    <xf numFmtId="0" fontId="7" fillId="3" borderId="8" xfId="1" applyNumberFormat="1" applyFont="1" applyFill="1" applyBorder="1"/>
    <xf numFmtId="165" fontId="3" fillId="6" borderId="8" xfId="1" applyNumberFormat="1" applyFont="1" applyFill="1" applyBorder="1"/>
    <xf numFmtId="0" fontId="0" fillId="2" borderId="32" xfId="0" applyFill="1" applyBorder="1"/>
    <xf numFmtId="0" fontId="0" fillId="2" borderId="34" xfId="0" applyFill="1" applyBorder="1"/>
    <xf numFmtId="0" fontId="0" fillId="2" borderId="37" xfId="0" applyFill="1" applyBorder="1"/>
    <xf numFmtId="0" fontId="0" fillId="0" borderId="0" xfId="0" applyAlignment="1">
      <alignment horizontal="left"/>
    </xf>
    <xf numFmtId="0" fontId="0" fillId="2" borderId="35" xfId="0" applyFill="1" applyBorder="1"/>
    <xf numFmtId="0" fontId="3" fillId="2" borderId="32" xfId="0" applyFont="1" applyFill="1" applyBorder="1" applyAlignment="1">
      <alignment wrapText="1"/>
    </xf>
    <xf numFmtId="0" fontId="3" fillId="2" borderId="34" xfId="0" applyFont="1" applyFill="1" applyBorder="1" applyAlignment="1">
      <alignment wrapText="1"/>
    </xf>
    <xf numFmtId="0" fontId="3" fillId="2" borderId="37" xfId="0" applyFont="1" applyFill="1" applyBorder="1" applyAlignment="1">
      <alignment wrapText="1"/>
    </xf>
    <xf numFmtId="0" fontId="0" fillId="2" borderId="0" xfId="0" applyFill="1" applyAlignment="1">
      <alignment horizontal="center" vertical="center" wrapText="1"/>
    </xf>
    <xf numFmtId="43" fontId="2" fillId="2" borderId="0" xfId="1" applyFont="1" applyFill="1" applyBorder="1" applyAlignment="1"/>
    <xf numFmtId="0" fontId="0" fillId="3" borderId="8" xfId="0" applyFill="1" applyBorder="1" applyAlignment="1">
      <alignment horizontal="center" vertical="center"/>
    </xf>
    <xf numFmtId="0" fontId="0" fillId="0" borderId="70" xfId="0" applyBorder="1" applyAlignment="1">
      <alignment horizontal="center" vertical="center" wrapText="1" shrinkToFit="1"/>
    </xf>
    <xf numFmtId="43" fontId="0" fillId="2" borderId="37" xfId="1" applyFont="1" applyFill="1" applyBorder="1"/>
    <xf numFmtId="165" fontId="0" fillId="6" borderId="2" xfId="1" applyNumberFormat="1" applyFont="1" applyFill="1" applyBorder="1"/>
    <xf numFmtId="0" fontId="0" fillId="10" borderId="75" xfId="0" applyFill="1" applyBorder="1" applyAlignment="1">
      <alignment horizontal="center" wrapText="1"/>
    </xf>
    <xf numFmtId="0" fontId="0" fillId="0" borderId="75" xfId="0" applyBorder="1" applyAlignment="1">
      <alignment wrapText="1"/>
    </xf>
    <xf numFmtId="43" fontId="0" fillId="0" borderId="27" xfId="1" applyFont="1" applyBorder="1" applyAlignment="1">
      <alignment horizontal="left" wrapText="1"/>
    </xf>
    <xf numFmtId="0" fontId="0" fillId="0" borderId="26" xfId="0" applyBorder="1" applyAlignment="1">
      <alignment wrapText="1"/>
    </xf>
    <xf numFmtId="43" fontId="0" fillId="3" borderId="27" xfId="1" applyFont="1" applyFill="1" applyBorder="1" applyAlignment="1">
      <alignment horizontal="left" wrapText="1"/>
    </xf>
    <xf numFmtId="43" fontId="4" fillId="0" borderId="27" xfId="1" applyFont="1" applyBorder="1" applyAlignment="1">
      <alignment horizontal="left" wrapText="1"/>
    </xf>
    <xf numFmtId="43" fontId="4" fillId="3" borderId="27" xfId="1" applyFont="1" applyFill="1" applyBorder="1" applyAlignment="1">
      <alignment horizontal="left" wrapText="1"/>
    </xf>
    <xf numFmtId="0" fontId="0" fillId="3" borderId="26" xfId="0" applyFill="1" applyBorder="1" applyAlignment="1">
      <alignment wrapText="1"/>
    </xf>
    <xf numFmtId="0" fontId="0" fillId="3" borderId="27" xfId="0" applyFill="1" applyBorder="1" applyAlignment="1">
      <alignment horizontal="left" wrapText="1"/>
    </xf>
    <xf numFmtId="0" fontId="0" fillId="0" borderId="27" xfId="0" applyBorder="1" applyAlignment="1">
      <alignment horizontal="left" wrapText="1"/>
    </xf>
    <xf numFmtId="0" fontId="0" fillId="3" borderId="36" xfId="0" applyFill="1" applyBorder="1" applyAlignment="1">
      <alignment horizontal="left" wrapText="1"/>
    </xf>
    <xf numFmtId="0" fontId="0" fillId="0" borderId="26" xfId="0" applyBorder="1"/>
    <xf numFmtId="0" fontId="7" fillId="3" borderId="18" xfId="1" applyNumberFormat="1" applyFont="1" applyFill="1" applyBorder="1"/>
    <xf numFmtId="0" fontId="7" fillId="3" borderId="21" xfId="1" applyNumberFormat="1" applyFont="1" applyFill="1" applyBorder="1"/>
    <xf numFmtId="165" fontId="3" fillId="6" borderId="21" xfId="1" applyNumberFormat="1" applyFont="1" applyFill="1" applyBorder="1"/>
    <xf numFmtId="0" fontId="3" fillId="2" borderId="18" xfId="1" applyNumberFormat="1" applyFont="1" applyFill="1" applyBorder="1"/>
    <xf numFmtId="165" fontId="3" fillId="2" borderId="21" xfId="1" applyNumberFormat="1" applyFont="1" applyFill="1" applyBorder="1"/>
    <xf numFmtId="0" fontId="3" fillId="2" borderId="21" xfId="1" applyNumberFormat="1" applyFont="1" applyFill="1" applyBorder="1"/>
    <xf numFmtId="0" fontId="3" fillId="6" borderId="18" xfId="1" applyNumberFormat="1" applyFont="1" applyFill="1" applyBorder="1" applyAlignment="1">
      <alignment horizontal="center"/>
    </xf>
    <xf numFmtId="43" fontId="3" fillId="9" borderId="18" xfId="1" applyFont="1" applyFill="1" applyBorder="1"/>
    <xf numFmtId="43" fontId="3" fillId="9" borderId="21" xfId="1" applyFont="1" applyFill="1" applyBorder="1"/>
    <xf numFmtId="165" fontId="3" fillId="4" borderId="21" xfId="1" applyNumberFormat="1" applyFont="1" applyFill="1" applyBorder="1"/>
    <xf numFmtId="43" fontId="3" fillId="7" borderId="21" xfId="1" applyFont="1" applyFill="1" applyBorder="1"/>
    <xf numFmtId="0" fontId="3" fillId="6" borderId="21" xfId="1" applyNumberFormat="1" applyFont="1" applyFill="1" applyBorder="1" applyAlignment="1">
      <alignment horizontal="center"/>
    </xf>
    <xf numFmtId="9" fontId="0" fillId="0" borderId="8" xfId="0" applyNumberFormat="1" applyBorder="1"/>
    <xf numFmtId="0" fontId="9" fillId="0" borderId="0" xfId="0" applyFont="1"/>
    <xf numFmtId="0" fontId="3" fillId="0" borderId="8" xfId="0" applyFont="1" applyBorder="1" applyAlignment="1">
      <alignment horizontal="center"/>
    </xf>
    <xf numFmtId="0" fontId="3" fillId="2" borderId="2" xfId="0" applyFont="1" applyFill="1" applyBorder="1"/>
    <xf numFmtId="0" fontId="3" fillId="2" borderId="8" xfId="0" applyFont="1" applyFill="1" applyBorder="1"/>
    <xf numFmtId="0" fontId="3" fillId="18" borderId="0" xfId="0" applyFont="1" applyFill="1"/>
    <xf numFmtId="0" fontId="3" fillId="18" borderId="8" xfId="0" applyFont="1" applyFill="1" applyBorder="1"/>
    <xf numFmtId="0" fontId="0" fillId="0" borderId="8" xfId="0" applyBorder="1" applyAlignment="1">
      <alignment horizontal="left"/>
    </xf>
    <xf numFmtId="0" fontId="0" fillId="0" borderId="8" xfId="0" applyBorder="1" applyAlignment="1">
      <alignment horizontal="left" vertical="center"/>
    </xf>
    <xf numFmtId="0" fontId="0" fillId="0" borderId="8" xfId="0" applyBorder="1" applyAlignment="1">
      <alignment horizontal="left" vertical="top"/>
    </xf>
    <xf numFmtId="0" fontId="0" fillId="0" borderId="8" xfId="0" applyBorder="1" applyAlignment="1">
      <alignment horizontal="left" vertical="center" wrapText="1" shrinkToFit="1"/>
    </xf>
    <xf numFmtId="0" fontId="0" fillId="0" borderId="8" xfId="0" applyBorder="1" applyAlignment="1">
      <alignment horizontal="left" wrapText="1"/>
    </xf>
    <xf numFmtId="0" fontId="0" fillId="0" borderId="8" xfId="0" applyBorder="1" applyAlignment="1">
      <alignment horizontal="left" vertical="center" wrapText="1"/>
    </xf>
    <xf numFmtId="0" fontId="0" fillId="18" borderId="0" xfId="0" applyFill="1" applyAlignment="1">
      <alignment horizontal="center"/>
    </xf>
    <xf numFmtId="0" fontId="0" fillId="0" borderId="8" xfId="0" applyBorder="1" applyAlignment="1">
      <alignment horizontal="center"/>
    </xf>
    <xf numFmtId="0" fontId="0" fillId="2" borderId="8" xfId="0" applyFill="1" applyBorder="1" applyAlignment="1">
      <alignment horizontal="left" vertical="center" wrapText="1"/>
    </xf>
    <xf numFmtId="0" fontId="0" fillId="2" borderId="8" xfId="0" applyFill="1" applyBorder="1" applyAlignment="1">
      <alignment horizontal="left" vertical="center"/>
    </xf>
    <xf numFmtId="1" fontId="0" fillId="0" borderId="8" xfId="0" applyNumberFormat="1" applyBorder="1" applyAlignment="1">
      <alignment horizontal="center"/>
    </xf>
    <xf numFmtId="1" fontId="0" fillId="2" borderId="8" xfId="0" applyNumberFormat="1" applyFill="1" applyBorder="1" applyAlignment="1">
      <alignment horizontal="center"/>
    </xf>
    <xf numFmtId="9" fontId="0" fillId="0" borderId="8" xfId="3" applyFont="1" applyBorder="1"/>
    <xf numFmtId="0" fontId="3" fillId="18" borderId="8" xfId="0" applyFont="1" applyFill="1" applyBorder="1" applyAlignment="1">
      <alignment horizontal="center"/>
    </xf>
    <xf numFmtId="0" fontId="0" fillId="2" borderId="8" xfId="0" applyFill="1" applyBorder="1" applyAlignment="1">
      <alignment horizontal="center" vertical="center"/>
    </xf>
    <xf numFmtId="0" fontId="3" fillId="18" borderId="8" xfId="0" applyFont="1" applyFill="1" applyBorder="1" applyAlignment="1">
      <alignment horizontal="left" vertical="center"/>
    </xf>
    <xf numFmtId="0" fontId="3" fillId="18" borderId="8" xfId="0" applyFont="1" applyFill="1" applyBorder="1" applyAlignment="1">
      <alignment horizontal="left"/>
    </xf>
    <xf numFmtId="0" fontId="10" fillId="0" borderId="49" xfId="0" applyFont="1" applyBorder="1" applyAlignment="1">
      <alignment horizontal="right" vertical="top" wrapText="1"/>
    </xf>
    <xf numFmtId="0" fontId="3" fillId="7" borderId="8" xfId="0" applyFont="1" applyFill="1" applyBorder="1" applyAlignment="1">
      <alignment horizontal="left"/>
    </xf>
    <xf numFmtId="0" fontId="3" fillId="7" borderId="13" xfId="0" applyFont="1" applyFill="1" applyBorder="1" applyAlignment="1">
      <alignment horizontal="left"/>
    </xf>
    <xf numFmtId="0" fontId="3" fillId="7" borderId="8" xfId="0" applyFont="1" applyFill="1" applyBorder="1"/>
    <xf numFmtId="0" fontId="3" fillId="6" borderId="8" xfId="0" applyFont="1" applyFill="1" applyBorder="1" applyAlignment="1">
      <alignment vertical="center"/>
    </xf>
    <xf numFmtId="0" fontId="3" fillId="0" borderId="0" xfId="0" applyFont="1" applyAlignment="1">
      <alignment vertical="center"/>
    </xf>
    <xf numFmtId="0" fontId="3" fillId="18" borderId="8" xfId="0" applyFont="1" applyFill="1" applyBorder="1" applyAlignment="1">
      <alignment horizontal="center" vertical="center"/>
    </xf>
    <xf numFmtId="0" fontId="3" fillId="2" borderId="8" xfId="0" applyFont="1" applyFill="1" applyBorder="1" applyAlignment="1">
      <alignment horizontal="center"/>
    </xf>
    <xf numFmtId="0" fontId="3" fillId="7" borderId="8" xfId="0" applyFont="1" applyFill="1" applyBorder="1" applyAlignment="1">
      <alignment horizontal="left" vertical="center"/>
    </xf>
    <xf numFmtId="0" fontId="3" fillId="4" borderId="8" xfId="0" applyFont="1" applyFill="1" applyBorder="1" applyAlignment="1">
      <alignment horizontal="left" vertical="center"/>
    </xf>
    <xf numFmtId="0" fontId="3" fillId="6" borderId="8" xfId="0" applyFont="1" applyFill="1" applyBorder="1" applyAlignment="1">
      <alignment horizontal="left" vertical="center"/>
    </xf>
    <xf numFmtId="0" fontId="3" fillId="9" borderId="8" xfId="0" applyFont="1" applyFill="1" applyBorder="1" applyAlignment="1">
      <alignment horizontal="left" vertical="center"/>
    </xf>
    <xf numFmtId="0" fontId="3" fillId="3" borderId="8" xfId="0" applyFont="1" applyFill="1" applyBorder="1" applyAlignment="1">
      <alignment horizontal="left" vertical="center"/>
    </xf>
    <xf numFmtId="1" fontId="0" fillId="0" borderId="8" xfId="0" applyNumberFormat="1" applyBorder="1"/>
    <xf numFmtId="0" fontId="3" fillId="9" borderId="8" xfId="0" applyFont="1" applyFill="1" applyBorder="1"/>
    <xf numFmtId="0" fontId="3" fillId="19" borderId="8" xfId="0" applyFont="1" applyFill="1" applyBorder="1"/>
    <xf numFmtId="11" fontId="0" fillId="0" borderId="8" xfId="0" applyNumberFormat="1" applyBorder="1"/>
    <xf numFmtId="164" fontId="0" fillId="0" borderId="8" xfId="1" applyNumberFormat="1" applyFont="1" applyBorder="1"/>
    <xf numFmtId="0" fontId="3" fillId="3" borderId="9" xfId="0" applyFont="1" applyFill="1" applyBorder="1" applyAlignment="1">
      <alignment horizontal="center"/>
    </xf>
    <xf numFmtId="43" fontId="0" fillId="9" borderId="63" xfId="1" applyFont="1" applyFill="1" applyBorder="1"/>
    <xf numFmtId="43" fontId="0" fillId="17" borderId="38" xfId="1" applyFont="1" applyFill="1" applyBorder="1"/>
    <xf numFmtId="43" fontId="0" fillId="17" borderId="2" xfId="1" applyFont="1" applyFill="1" applyBorder="1"/>
    <xf numFmtId="43" fontId="0" fillId="9" borderId="2" xfId="1" applyFont="1" applyFill="1" applyBorder="1"/>
    <xf numFmtId="0" fontId="3" fillId="3" borderId="2" xfId="1" applyNumberFormat="1" applyFont="1" applyFill="1" applyBorder="1"/>
    <xf numFmtId="0" fontId="3" fillId="4" borderId="2" xfId="1" applyNumberFormat="1" applyFont="1" applyFill="1" applyBorder="1"/>
    <xf numFmtId="0" fontId="7" fillId="3" borderId="2" xfId="1" applyNumberFormat="1" applyFont="1" applyFill="1" applyBorder="1"/>
    <xf numFmtId="165" fontId="3" fillId="6" borderId="2" xfId="1" applyNumberFormat="1" applyFont="1" applyFill="1" applyBorder="1"/>
    <xf numFmtId="0" fontId="0" fillId="0" borderId="2" xfId="0" applyBorder="1" applyAlignment="1">
      <alignment horizontal="center" vertical="center"/>
    </xf>
    <xf numFmtId="43" fontId="0" fillId="2" borderId="68" xfId="1" applyFont="1" applyFill="1" applyBorder="1"/>
    <xf numFmtId="43" fontId="0" fillId="17" borderId="67" xfId="1" applyFont="1" applyFill="1" applyBorder="1"/>
    <xf numFmtId="43" fontId="0" fillId="17" borderId="12" xfId="1" applyFont="1" applyFill="1" applyBorder="1"/>
    <xf numFmtId="43" fontId="3" fillId="6" borderId="12" xfId="1" applyFont="1" applyFill="1" applyBorder="1"/>
    <xf numFmtId="0" fontId="3" fillId="6" borderId="12" xfId="1" applyNumberFormat="1" applyFont="1" applyFill="1" applyBorder="1"/>
    <xf numFmtId="0" fontId="3" fillId="3" borderId="12" xfId="1" applyNumberFormat="1" applyFont="1" applyFill="1" applyBorder="1"/>
    <xf numFmtId="0" fontId="3" fillId="4" borderId="12" xfId="1" applyNumberFormat="1" applyFont="1" applyFill="1" applyBorder="1"/>
    <xf numFmtId="0" fontId="7" fillId="3" borderId="12" xfId="1" applyNumberFormat="1" applyFont="1" applyFill="1" applyBorder="1"/>
    <xf numFmtId="165" fontId="3" fillId="6" borderId="12" xfId="1" applyNumberFormat="1" applyFont="1" applyFill="1" applyBorder="1"/>
    <xf numFmtId="0" fontId="3" fillId="2" borderId="12" xfId="1" applyNumberFormat="1" applyFont="1" applyFill="1" applyBorder="1"/>
    <xf numFmtId="0" fontId="3" fillId="6" borderId="12" xfId="1" applyNumberFormat="1" applyFont="1" applyFill="1" applyBorder="1" applyAlignment="1">
      <alignment horizontal="center"/>
    </xf>
    <xf numFmtId="0" fontId="0" fillId="2" borderId="12" xfId="0" applyFill="1" applyBorder="1"/>
    <xf numFmtId="0" fontId="3" fillId="18" borderId="13" xfId="0" applyFont="1" applyFill="1" applyBorder="1" applyAlignment="1">
      <alignment horizontal="left" vertical="center"/>
    </xf>
    <xf numFmtId="0" fontId="0" fillId="3" borderId="47" xfId="0" applyFill="1" applyBorder="1" applyAlignment="1">
      <alignment horizontal="center"/>
    </xf>
    <xf numFmtId="43" fontId="0" fillId="6" borderId="56" xfId="1" applyFont="1" applyFill="1" applyBorder="1"/>
    <xf numFmtId="0" fontId="0" fillId="3" borderId="57" xfId="0" applyFill="1" applyBorder="1"/>
    <xf numFmtId="43" fontId="0" fillId="0" borderId="67" xfId="1" applyFont="1" applyBorder="1"/>
    <xf numFmtId="0" fontId="5" fillId="0" borderId="0" xfId="2" applyAlignment="1">
      <alignment horizontal="left" vertical="center" indent="2"/>
    </xf>
    <xf numFmtId="43" fontId="0" fillId="11" borderId="12" xfId="1" applyFont="1" applyFill="1" applyBorder="1"/>
    <xf numFmtId="0" fontId="3" fillId="6" borderId="8" xfId="0" applyFont="1" applyFill="1" applyBorder="1" applyAlignment="1">
      <alignment horizontal="center" vertical="center"/>
    </xf>
    <xf numFmtId="43" fontId="0" fillId="2" borderId="64" xfId="1" applyFont="1" applyFill="1" applyBorder="1"/>
    <xf numFmtId="43" fontId="0" fillId="17" borderId="39" xfId="1" applyFont="1" applyFill="1" applyBorder="1"/>
    <xf numFmtId="43" fontId="0" fillId="17" borderId="18" xfId="1" applyFont="1" applyFill="1" applyBorder="1"/>
    <xf numFmtId="43" fontId="0" fillId="2" borderId="32" xfId="1" applyFont="1" applyFill="1" applyBorder="1"/>
    <xf numFmtId="165" fontId="0" fillId="7" borderId="8" xfId="1" applyNumberFormat="1" applyFont="1" applyFill="1" applyBorder="1"/>
    <xf numFmtId="0" fontId="3" fillId="7" borderId="2" xfId="0" applyFont="1" applyFill="1" applyBorder="1" applyAlignment="1">
      <alignment horizontal="center"/>
    </xf>
    <xf numFmtId="0" fontId="3" fillId="7" borderId="12" xfId="0" applyFont="1" applyFill="1" applyBorder="1" applyAlignment="1">
      <alignment horizontal="center"/>
    </xf>
    <xf numFmtId="0" fontId="3" fillId="4" borderId="8" xfId="0" applyFont="1" applyFill="1" applyBorder="1" applyAlignment="1">
      <alignment horizontal="center"/>
    </xf>
    <xf numFmtId="0" fontId="3" fillId="6" borderId="8" xfId="0" applyFont="1" applyFill="1" applyBorder="1" applyAlignment="1">
      <alignment horizontal="center"/>
    </xf>
    <xf numFmtId="0" fontId="3" fillId="3" borderId="8" xfId="0" applyFont="1" applyFill="1" applyBorder="1" applyAlignment="1">
      <alignment horizontal="center"/>
    </xf>
    <xf numFmtId="0" fontId="0" fillId="4" borderId="5" xfId="0" applyFill="1" applyBorder="1" applyAlignment="1">
      <alignment horizontal="center" vertical="center"/>
    </xf>
    <xf numFmtId="0" fontId="0" fillId="4" borderId="10" xfId="0" applyFill="1" applyBorder="1" applyAlignment="1">
      <alignment horizontal="center" vertical="center"/>
    </xf>
    <xf numFmtId="0" fontId="0" fillId="4" borderId="9" xfId="0" applyFill="1" applyBorder="1" applyAlignment="1">
      <alignment horizontal="center" vertical="center"/>
    </xf>
    <xf numFmtId="0" fontId="3" fillId="10" borderId="53" xfId="0" applyFont="1" applyFill="1" applyBorder="1" applyAlignment="1">
      <alignment horizontal="center" wrapText="1"/>
    </xf>
    <xf numFmtId="0" fontId="3" fillId="10" borderId="69" xfId="0" applyFont="1" applyFill="1" applyBorder="1" applyAlignment="1">
      <alignment horizontal="center" wrapText="1"/>
    </xf>
    <xf numFmtId="0" fontId="3" fillId="10" borderId="10"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7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61" xfId="0" applyFont="1" applyFill="1" applyBorder="1" applyAlignment="1">
      <alignment horizontal="center" vertical="center"/>
    </xf>
    <xf numFmtId="0" fontId="3" fillId="10" borderId="52"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3" fillId="10" borderId="53" xfId="0" applyFont="1" applyFill="1" applyBorder="1" applyAlignment="1">
      <alignment horizontal="center" vertical="center" wrapText="1"/>
    </xf>
    <xf numFmtId="0" fontId="3" fillId="10" borderId="69" xfId="0" applyFont="1" applyFill="1" applyBorder="1" applyAlignment="1">
      <alignment horizontal="center" vertical="center" wrapText="1"/>
    </xf>
    <xf numFmtId="0" fontId="0" fillId="2" borderId="31" xfId="0" applyFill="1" applyBorder="1" applyAlignment="1">
      <alignment horizontal="center" vertical="center" wrapText="1" shrinkToFit="1"/>
    </xf>
    <xf numFmtId="0" fontId="0" fillId="2" borderId="36" xfId="0" applyFill="1" applyBorder="1" applyAlignment="1">
      <alignment horizontal="center" vertical="center" wrapText="1" shrinkToFit="1"/>
    </xf>
    <xf numFmtId="0" fontId="0" fillId="6" borderId="45" xfId="0" applyFill="1" applyBorder="1" applyAlignment="1">
      <alignment horizontal="center" vertical="center"/>
    </xf>
    <xf numFmtId="0" fontId="0" fillId="6" borderId="52" xfId="0" applyFill="1" applyBorder="1" applyAlignment="1">
      <alignment horizontal="center" vertical="center"/>
    </xf>
    <xf numFmtId="0" fontId="0" fillId="6" borderId="53" xfId="0" applyFill="1" applyBorder="1" applyAlignment="1">
      <alignment horizontal="center" vertical="center"/>
    </xf>
    <xf numFmtId="0" fontId="3" fillId="10" borderId="34" xfId="0" applyFont="1" applyFill="1" applyBorder="1" applyAlignment="1">
      <alignment horizontal="center" vertical="center" wrapText="1"/>
    </xf>
    <xf numFmtId="0" fontId="0" fillId="0" borderId="44" xfId="0" applyBorder="1" applyAlignment="1">
      <alignment horizontal="center" wrapText="1"/>
    </xf>
    <xf numFmtId="0" fontId="0" fillId="0" borderId="51" xfId="0" applyBorder="1" applyAlignment="1">
      <alignment horizontal="center" wrapText="1"/>
    </xf>
    <xf numFmtId="0" fontId="0" fillId="0" borderId="22" xfId="0" applyBorder="1" applyAlignment="1">
      <alignment horizontal="center" vertical="center" wrapText="1"/>
    </xf>
    <xf numFmtId="0" fontId="0" fillId="0" borderId="38" xfId="0" applyBorder="1" applyAlignment="1">
      <alignment horizontal="center" vertical="center" wrapText="1"/>
    </xf>
    <xf numFmtId="0" fontId="0" fillId="2" borderId="8" xfId="0" applyFill="1" applyBorder="1" applyAlignment="1">
      <alignment horizontal="center" vertical="center" wrapText="1"/>
    </xf>
    <xf numFmtId="0" fontId="0" fillId="7" borderId="5" xfId="0" applyFill="1" applyBorder="1" applyAlignment="1">
      <alignment horizontal="center" vertical="center"/>
    </xf>
    <xf numFmtId="0" fontId="0" fillId="7" borderId="10" xfId="0" applyFill="1" applyBorder="1" applyAlignment="1">
      <alignment horizontal="center" vertical="center"/>
    </xf>
    <xf numFmtId="0" fontId="0" fillId="7" borderId="9" xfId="0" applyFill="1" applyBorder="1" applyAlignment="1">
      <alignment horizontal="center" vertical="center"/>
    </xf>
    <xf numFmtId="0" fontId="0" fillId="0" borderId="65" xfId="0" applyBorder="1" applyAlignment="1">
      <alignment horizontal="center" vertical="center" wrapText="1"/>
    </xf>
    <xf numFmtId="0" fontId="0" fillId="0" borderId="67" xfId="0" applyBorder="1" applyAlignment="1">
      <alignment horizontal="center" vertical="center" wrapText="1"/>
    </xf>
    <xf numFmtId="0" fontId="3" fillId="16" borderId="45" xfId="0" applyFont="1" applyFill="1" applyBorder="1" applyAlignment="1">
      <alignment horizontal="center" vertical="center" wrapText="1"/>
    </xf>
    <xf numFmtId="0" fontId="3" fillId="16" borderId="64" xfId="0" applyFont="1" applyFill="1" applyBorder="1" applyAlignment="1">
      <alignment horizontal="center" vertical="center" wrapText="1"/>
    </xf>
    <xf numFmtId="0" fontId="3" fillId="10" borderId="10" xfId="0" applyFont="1" applyFill="1" applyBorder="1" applyAlignment="1">
      <alignment horizontal="center" wrapText="1"/>
    </xf>
    <xf numFmtId="0" fontId="3" fillId="10" borderId="8" xfId="0" applyFont="1" applyFill="1" applyBorder="1" applyAlignment="1">
      <alignment horizontal="center" wrapText="1"/>
    </xf>
    <xf numFmtId="0" fontId="3" fillId="10" borderId="9" xfId="0" applyFont="1" applyFill="1" applyBorder="1" applyAlignment="1">
      <alignment horizontal="center" wrapText="1"/>
    </xf>
    <xf numFmtId="0" fontId="3" fillId="10" borderId="21" xfId="0" applyFont="1" applyFill="1" applyBorder="1" applyAlignment="1">
      <alignment horizontal="center" wrapText="1"/>
    </xf>
    <xf numFmtId="0" fontId="3" fillId="10" borderId="15"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10" borderId="52" xfId="0" applyFont="1" applyFill="1" applyBorder="1" applyAlignment="1">
      <alignment horizontal="center" wrapText="1"/>
    </xf>
    <xf numFmtId="0" fontId="3" fillId="10" borderId="25" xfId="0" applyFont="1" applyFill="1" applyBorder="1" applyAlignment="1">
      <alignment horizontal="center" wrapText="1"/>
    </xf>
    <xf numFmtId="0" fontId="0" fillId="0" borderId="26" xfId="0" applyBorder="1" applyAlignment="1">
      <alignment horizontal="center" wrapText="1"/>
    </xf>
    <xf numFmtId="0" fontId="0" fillId="0" borderId="72" xfId="0" applyBorder="1" applyAlignment="1">
      <alignment horizontal="center" wrapText="1"/>
    </xf>
    <xf numFmtId="0" fontId="0" fillId="0" borderId="25" xfId="0" applyBorder="1" applyAlignment="1">
      <alignment horizontal="center" vertical="center" wrapText="1"/>
    </xf>
    <xf numFmtId="0" fontId="3" fillId="10" borderId="37"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3" fillId="10" borderId="4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0" fillId="5" borderId="45"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61" xfId="0" applyFill="1" applyBorder="1" applyAlignment="1">
      <alignment horizontal="center" vertical="center" wrapText="1"/>
    </xf>
    <xf numFmtId="0" fontId="6" fillId="0" borderId="8" xfId="2" applyFont="1" applyBorder="1" applyAlignment="1">
      <alignment horizontal="center" wrapText="1"/>
    </xf>
    <xf numFmtId="0" fontId="5" fillId="0" borderId="8" xfId="2" applyBorder="1" applyAlignment="1">
      <alignment horizontal="center" wrapText="1"/>
    </xf>
    <xf numFmtId="0" fontId="5" fillId="0" borderId="2" xfId="2" applyBorder="1" applyAlignment="1">
      <alignment horizontal="center" wrapText="1"/>
    </xf>
    <xf numFmtId="0" fontId="0" fillId="0" borderId="8" xfId="0" applyBorder="1" applyAlignment="1">
      <alignment horizontal="center" wrapText="1"/>
    </xf>
    <xf numFmtId="43" fontId="0" fillId="0" borderId="2" xfId="1" applyFont="1" applyBorder="1" applyAlignment="1">
      <alignment horizontal="center"/>
    </xf>
    <xf numFmtId="43" fontId="0" fillId="0" borderId="12" xfId="1" applyFont="1" applyBorder="1" applyAlignment="1">
      <alignment horizontal="center"/>
    </xf>
    <xf numFmtId="0" fontId="0" fillId="0" borderId="8" xfId="0" applyBorder="1" applyAlignment="1">
      <alignment horizontal="center" vertical="center" wrapText="1"/>
    </xf>
    <xf numFmtId="0" fontId="0" fillId="0" borderId="2"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vertical="center"/>
    </xf>
    <xf numFmtId="0" fontId="0" fillId="17" borderId="54" xfId="0" applyFill="1" applyBorder="1" applyAlignment="1">
      <alignment horizontal="center" vertical="center"/>
    </xf>
    <xf numFmtId="0" fontId="0" fillId="17" borderId="55" xfId="0" applyFill="1" applyBorder="1" applyAlignment="1">
      <alignment horizontal="center" vertical="center"/>
    </xf>
    <xf numFmtId="0" fontId="3" fillId="10" borderId="57" xfId="0" applyFont="1" applyFill="1" applyBorder="1" applyAlignment="1">
      <alignment horizontal="center" vertical="center" wrapText="1"/>
    </xf>
    <xf numFmtId="0" fontId="3" fillId="10" borderId="56" xfId="0" applyFont="1" applyFill="1" applyBorder="1" applyAlignment="1">
      <alignment horizontal="center" vertical="center" wrapText="1"/>
    </xf>
    <xf numFmtId="0" fontId="0" fillId="2" borderId="8" xfId="0" applyFill="1" applyBorder="1" applyAlignment="1">
      <alignment horizontal="center" vertical="center"/>
    </xf>
    <xf numFmtId="0" fontId="3" fillId="10" borderId="38" xfId="0" applyFont="1" applyFill="1" applyBorder="1" applyAlignment="1">
      <alignment horizontal="center" vertical="center" wrapText="1"/>
    </xf>
    <xf numFmtId="0" fontId="3" fillId="10" borderId="48" xfId="0" applyFont="1" applyFill="1" applyBorder="1" applyAlignment="1">
      <alignment horizontal="center" vertical="center" wrapText="1"/>
    </xf>
    <xf numFmtId="0" fontId="3" fillId="10" borderId="67"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12" xfId="0" applyFill="1" applyBorder="1" applyAlignment="1">
      <alignment horizontal="center" vertical="center"/>
    </xf>
    <xf numFmtId="0" fontId="0" fillId="2" borderId="2" xfId="0" applyFill="1" applyBorder="1" applyAlignment="1">
      <alignment horizontal="center" vertical="center" wrapText="1"/>
    </xf>
    <xf numFmtId="0" fontId="3" fillId="10" borderId="47" xfId="0" applyFont="1" applyFill="1" applyBorder="1" applyAlignment="1">
      <alignment horizontal="center" wrapText="1"/>
    </xf>
    <xf numFmtId="0" fontId="3" fillId="10" borderId="68" xfId="0" applyFont="1" applyFill="1" applyBorder="1" applyAlignment="1">
      <alignment horizontal="center" wrapText="1"/>
    </xf>
    <xf numFmtId="0" fontId="0" fillId="10" borderId="52" xfId="0" applyFill="1" applyBorder="1" applyAlignment="1">
      <alignment horizontal="center" wrapText="1"/>
    </xf>
    <xf numFmtId="0" fontId="0" fillId="10" borderId="56" xfId="0" applyFill="1" applyBorder="1" applyAlignment="1">
      <alignment horizontal="center" wrapText="1"/>
    </xf>
    <xf numFmtId="0" fontId="0" fillId="10" borderId="46" xfId="0" applyFill="1" applyBorder="1" applyAlignment="1">
      <alignment horizontal="center" wrapText="1"/>
    </xf>
    <xf numFmtId="0" fontId="0" fillId="10" borderId="63" xfId="0" applyFill="1" applyBorder="1" applyAlignment="1">
      <alignment horizontal="center" wrapText="1"/>
    </xf>
    <xf numFmtId="0" fontId="0" fillId="0" borderId="5" xfId="0" applyBorder="1" applyAlignment="1">
      <alignment horizontal="center" wrapText="1"/>
    </xf>
    <xf numFmtId="0" fontId="0" fillId="0" borderId="32" xfId="0" applyBorder="1" applyAlignment="1">
      <alignment horizontal="center" wrapText="1"/>
    </xf>
    <xf numFmtId="0" fontId="0" fillId="12" borderId="9" xfId="0" applyFill="1" applyBorder="1" applyAlignment="1">
      <alignment horizontal="center" vertical="center" wrapText="1"/>
    </xf>
    <xf numFmtId="0" fontId="0" fillId="12" borderId="37" xfId="0" applyFill="1" applyBorder="1" applyAlignment="1">
      <alignment horizontal="center" vertical="center" wrapText="1"/>
    </xf>
    <xf numFmtId="0" fontId="0" fillId="0" borderId="10" xfId="0" applyBorder="1" applyAlignment="1">
      <alignment horizontal="center" wrapText="1"/>
    </xf>
    <xf numFmtId="0" fontId="0" fillId="0" borderId="34" xfId="0" applyBorder="1" applyAlignment="1">
      <alignment horizontal="center" wrapText="1"/>
    </xf>
    <xf numFmtId="0" fontId="0" fillId="10" borderId="7" xfId="0" applyFill="1" applyBorder="1" applyAlignment="1">
      <alignment horizontal="center" vertical="center" wrapText="1"/>
    </xf>
    <xf numFmtId="0" fontId="0" fillId="10" borderId="35"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52" xfId="0" applyBorder="1" applyAlignment="1">
      <alignment horizontal="center" vertical="center"/>
    </xf>
    <xf numFmtId="0" fontId="0" fillId="0" borderId="56" xfId="0" applyBorder="1" applyAlignment="1">
      <alignment horizontal="center" vertical="center"/>
    </xf>
    <xf numFmtId="0" fontId="0" fillId="9" borderId="8" xfId="0" applyFill="1" applyBorder="1" applyAlignment="1">
      <alignment horizontal="center" vertical="center"/>
    </xf>
    <xf numFmtId="0" fontId="0" fillId="0" borderId="30" xfId="0" applyBorder="1" applyAlignment="1">
      <alignment horizontal="center" vertical="center" wrapText="1"/>
    </xf>
    <xf numFmtId="0" fontId="0" fillId="0" borderId="66" xfId="0" applyBorder="1" applyAlignment="1">
      <alignment horizontal="center" vertical="center" wrapText="1"/>
    </xf>
    <xf numFmtId="0" fontId="0" fillId="0" borderId="61" xfId="0" applyBorder="1" applyAlignment="1">
      <alignment horizontal="center" vertical="center" wrapText="1"/>
    </xf>
    <xf numFmtId="0" fontId="0" fillId="0" borderId="64" xfId="0" applyBorder="1" applyAlignment="1">
      <alignment horizontal="center" vertical="center" wrapText="1"/>
    </xf>
    <xf numFmtId="0" fontId="3" fillId="10" borderId="32" xfId="0" applyFont="1" applyFill="1" applyBorder="1" applyAlignment="1">
      <alignment horizontal="center" vertical="center" wrapText="1"/>
    </xf>
    <xf numFmtId="0" fontId="0" fillId="10" borderId="10" xfId="0" applyFill="1" applyBorder="1" applyAlignment="1">
      <alignment horizontal="center" vertical="center" wrapText="1"/>
    </xf>
    <xf numFmtId="0" fontId="0" fillId="10" borderId="34" xfId="0" applyFill="1" applyBorder="1" applyAlignment="1">
      <alignment horizontal="center" vertical="center" wrapText="1"/>
    </xf>
    <xf numFmtId="0" fontId="0" fillId="0" borderId="10" xfId="0" applyBorder="1" applyAlignment="1">
      <alignment horizontal="center" vertical="center" wrapText="1"/>
    </xf>
    <xf numFmtId="0" fontId="3" fillId="10" borderId="7" xfId="0" applyFont="1" applyFill="1" applyBorder="1" applyAlignment="1">
      <alignment horizontal="center" vertical="center" wrapText="1"/>
    </xf>
    <xf numFmtId="0" fontId="3" fillId="10" borderId="35"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56" xfId="0" applyBorder="1" applyAlignment="1">
      <alignment horizontal="center" vertical="center" wrapText="1"/>
    </xf>
    <xf numFmtId="0" fontId="0" fillId="2" borderId="53" xfId="0" applyFill="1" applyBorder="1" applyAlignment="1">
      <alignment horizontal="center" vertical="center"/>
    </xf>
    <xf numFmtId="0" fontId="0" fillId="2" borderId="57" xfId="0" applyFill="1" applyBorder="1" applyAlignment="1">
      <alignment horizontal="center" vertical="center"/>
    </xf>
    <xf numFmtId="0" fontId="3" fillId="10" borderId="5" xfId="0" applyFont="1" applyFill="1" applyBorder="1" applyAlignment="1">
      <alignment horizontal="center"/>
    </xf>
    <xf numFmtId="0" fontId="3" fillId="10" borderId="10" xfId="0" applyFont="1" applyFill="1" applyBorder="1" applyAlignment="1">
      <alignment horizontal="center"/>
    </xf>
    <xf numFmtId="0" fontId="3" fillId="10" borderId="9" xfId="0" applyFont="1" applyFill="1" applyBorder="1" applyAlignment="1">
      <alignment horizontal="center"/>
    </xf>
    <xf numFmtId="0" fontId="3" fillId="7" borderId="3" xfId="0" applyFont="1" applyFill="1" applyBorder="1" applyAlignment="1">
      <alignment horizontal="center" vertical="center"/>
    </xf>
    <xf numFmtId="0" fontId="3" fillId="7" borderId="6" xfId="0" applyFont="1" applyFill="1" applyBorder="1" applyAlignment="1">
      <alignment horizontal="center" vertical="center"/>
    </xf>
    <xf numFmtId="0" fontId="3" fillId="11" borderId="5" xfId="0" applyFont="1" applyFill="1" applyBorder="1" applyAlignment="1">
      <alignment horizontal="center"/>
    </xf>
    <xf numFmtId="0" fontId="3" fillId="11" borderId="7" xfId="0" applyFont="1" applyFill="1" applyBorder="1" applyAlignment="1">
      <alignment horizontal="center"/>
    </xf>
    <xf numFmtId="0" fontId="3" fillId="6" borderId="3" xfId="0" applyFont="1" applyFill="1" applyBorder="1" applyAlignment="1">
      <alignment horizontal="center"/>
    </xf>
    <xf numFmtId="0" fontId="3" fillId="6" borderId="6" xfId="0" applyFont="1" applyFill="1" applyBorder="1" applyAlignment="1">
      <alignment horizontal="center"/>
    </xf>
    <xf numFmtId="0" fontId="3" fillId="6" borderId="4" xfId="0" applyFont="1" applyFill="1" applyBorder="1" applyAlignment="1">
      <alignment horizontal="center"/>
    </xf>
    <xf numFmtId="0" fontId="3" fillId="10" borderId="33" xfId="0" applyFont="1" applyFill="1" applyBorder="1" applyAlignment="1">
      <alignment horizontal="center" vertical="center" wrapText="1"/>
    </xf>
    <xf numFmtId="0" fontId="0" fillId="18" borderId="8" xfId="0" applyFill="1" applyBorder="1" applyAlignment="1">
      <alignment horizontal="center"/>
    </xf>
    <xf numFmtId="0" fontId="3" fillId="18" borderId="8" xfId="0" applyFont="1" applyFill="1" applyBorder="1" applyAlignment="1">
      <alignment horizontal="center"/>
    </xf>
    <xf numFmtId="0" fontId="3" fillId="18" borderId="8" xfId="0" applyFont="1" applyFill="1" applyBorder="1" applyAlignment="1">
      <alignment horizontal="center" vertical="center"/>
    </xf>
    <xf numFmtId="0" fontId="0" fillId="4" borderId="8" xfId="0" applyFill="1" applyBorder="1" applyAlignment="1">
      <alignment horizontal="center" vertical="center"/>
    </xf>
    <xf numFmtId="0" fontId="3" fillId="0" borderId="2" xfId="0" applyFont="1" applyBorder="1" applyAlignment="1">
      <alignment horizontal="center"/>
    </xf>
    <xf numFmtId="0" fontId="3" fillId="0" borderId="19" xfId="0" applyFont="1" applyBorder="1" applyAlignment="1">
      <alignment horizontal="center"/>
    </xf>
    <xf numFmtId="0" fontId="3" fillId="0" borderId="12" xfId="0" applyFont="1" applyBorder="1" applyAlignment="1">
      <alignment horizontal="center"/>
    </xf>
    <xf numFmtId="0" fontId="0" fillId="7" borderId="13" xfId="0" applyFill="1" applyBorder="1" applyAlignment="1">
      <alignment horizontal="center" vertical="center"/>
    </xf>
    <xf numFmtId="0" fontId="0" fillId="7" borderId="25" xfId="0" applyFill="1" applyBorder="1" applyAlignment="1">
      <alignment horizontal="center" vertical="center"/>
    </xf>
    <xf numFmtId="0" fontId="0" fillId="7" borderId="22" xfId="0" applyFill="1" applyBorder="1" applyAlignment="1">
      <alignment horizontal="center" vertical="center"/>
    </xf>
  </cellXfs>
  <cellStyles count="4">
    <cellStyle name="Lien hypertexte" xfId="2" builtinId="8"/>
    <cellStyle name="Milliers" xfId="1" builtinId="3"/>
    <cellStyle name="Normal" xfId="0" builtinId="0"/>
    <cellStyle name="Pourcentage" xfId="3" builtinId="5"/>
  </cellStyles>
  <dxfs count="3">
    <dxf>
      <fill>
        <patternFill>
          <bgColor theme="5" tint="0.79998168889431442"/>
        </patternFill>
      </fill>
    </dxf>
    <dxf>
      <fill>
        <patternFill>
          <bgColor theme="5" tint="0.79998168889431442"/>
        </patternFill>
      </fill>
    </dxf>
    <dxf>
      <font>
        <color rgb="FF9C0006"/>
      </font>
      <fill>
        <patternFill>
          <bgColor rgb="FFFFC7CE"/>
        </patternFill>
      </fill>
    </dxf>
  </dxfs>
  <tableStyles count="0" defaultTableStyle="TableStyleMedium2" defaultPivotStyle="PivotStyleLight16"/>
  <colors>
    <mruColors>
      <color rgb="FFF5DFF9"/>
      <color rgb="FFEBC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1</xdr:row>
      <xdr:rowOff>0</xdr:rowOff>
    </xdr:to>
    <xdr:sp macro="" textlink="">
      <xdr:nvSpPr>
        <xdr:cNvPr id="2" name="Triangle rectangle 1">
          <a:extLst>
            <a:ext uri="{FF2B5EF4-FFF2-40B4-BE49-F238E27FC236}">
              <a16:creationId xmlns:a16="http://schemas.microsoft.com/office/drawing/2014/main" id="{F556EB39-55A1-498F-9C79-21C77C54EE0A}"/>
            </a:ext>
          </a:extLst>
        </xdr:cNvPr>
        <xdr:cNvSpPr/>
      </xdr:nvSpPr>
      <xdr:spPr>
        <a:xfrm>
          <a:off x="0" y="0"/>
          <a:ext cx="1558925" cy="923925"/>
        </a:xfrm>
        <a:prstGeom prst="rtTriangl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000" b="1">
              <a:solidFill>
                <a:schemeClr val="tx1"/>
              </a:solidFill>
            </a:rPr>
            <a:t>Aggregated</a:t>
          </a:r>
          <a:r>
            <a:rPr lang="fr-FR" sz="1000" b="1" baseline="0">
              <a:solidFill>
                <a:schemeClr val="tx1"/>
              </a:solidFill>
            </a:rPr>
            <a:t> Energy Sources</a:t>
          </a:r>
        </a:p>
      </xdr:txBody>
    </xdr:sp>
    <xdr:clientData/>
  </xdr:twoCellAnchor>
</xdr:wsDr>
</file>

<file path=xl/persons/person.xml><?xml version="1.0" encoding="utf-8"?>
<personList xmlns="http://schemas.microsoft.com/office/spreadsheetml/2018/threadedcomments" xmlns:x="http://schemas.openxmlformats.org/spreadsheetml/2006/main">
  <person displayName="Pénélope Bieuville" id="{70C8404D-8B7D-403C-B56A-D8549758085B}" userId="S::penelope.bieuville@polymtl.ca::8695a24e-3e5f-48ed-b446-718f6b3eb2f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9-06T18:34:49.49" personId="{70C8404D-8B7D-403C-B56A-D8549758085B}" id="{8FB6C7ED-0561-40B0-8E35-29E62140852F}">
    <text>Système de montage non pris en compte 
Photovoltaic plant + electric installation</text>
  </threadedComment>
  <threadedComment ref="L2" dT="2023-09-06T18:59:40.83" personId="{70C8404D-8B7D-403C-B56A-D8549758085B}" id="{926C7325-F7CE-43EB-9AB8-11E0EEE49CA4}" parentId="{8FB6C7ED-0561-40B0-8E35-29E62140852F}">
    <text xml:space="preserve">Calcul effectué à partir du kW peak, donc au pic de performance maximum.  </text>
  </threadedComment>
  <threadedComment ref="AA5" dT="2023-09-07T14:15:58.94" personId="{70C8404D-8B7D-403C-B56A-D8549758085B}" id="{1D9E0D0F-5D53-4C06-8603-8376B11A12F5}">
    <text>(6 à 244)</text>
  </threadedComment>
  <threadedComment ref="L16" dT="2023-09-07T15:37:31.85" personId="{70C8404D-8B7D-403C-B56A-D8549758085B}" id="{4D33947D-FAA8-4151-9C26-3AC973167009}">
    <text xml:space="preserve">A comparer avec les chiffres de steel ? </text>
  </threadedComment>
  <threadedComment ref="A29" dT="2023-09-07T20:03:42.39" personId="{70C8404D-8B7D-403C-B56A-D8549758085B}" id="{8F1D7FD1-0992-4777-AC29-51706467296E}">
    <text xml:space="preserve">Acier : alliage composé majoritairement de fer et de 2,14% massique de carbone. </text>
  </threadedComment>
  <threadedComment ref="F29" dT="2023-09-07T15:11:49.46" personId="{70C8404D-8B7D-403C-B56A-D8549758085B}" id="{966B74C1-E7F2-4A48-8239-8FE2BD5C3364}">
    <text>1 source : Ashby 2016</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3-09-05T19:09:11.32" personId="{70C8404D-8B7D-403C-B56A-D8549758085B}" id="{8B3F5A38-505A-460F-8C2D-082F45408091}">
    <text>Steel et aluminium exclus</text>
  </threadedComment>
  <threadedComment ref="W1" dT="2023-07-20T09:39:12.96" personId="{70C8404D-8B7D-403C-B56A-D8549758085B}" id="{F4223CD5-FC9A-4042-B5A5-141861AC2B8A}">
    <text>Mais focus sur le système dutch</text>
  </threadedComment>
  <threadedComment ref="W1" dT="2023-09-14T16:11:23.97" personId="{70C8404D-8B7D-403C-B56A-D8549758085B}" id="{E62C9F91-43E2-4B9B-8FBC-5E9992876F21}" parentId="{F4223CD5-FC9A-4042-B5A5-141861AC2B8A}">
    <text>Sources : Roelofs, 2020</text>
  </threadedComment>
  <threadedComment ref="AA1" dT="2023-07-25T14:05:53.51" personId="{70C8404D-8B7D-403C-B56A-D8549758085B}" id="{9E73D6A7-0F01-46D6-AE06-453F4AA7A620}">
    <text>Voir sources dans les supplementary informations</text>
  </threadedComment>
  <threadedComment ref="R2" dT="2023-07-10T15:33:35.34" personId="{70C8404D-8B7D-403C-B56A-D8549758085B}" id="{8627233F-9B2E-4363-ABFF-1CB922A96507}">
    <text xml:space="preserve">permanent magnets 1/3 the mass of the direct drive counterparts. </text>
  </threadedComment>
  <threadedComment ref="S2" dT="2023-07-10T15:13:51.74" personId="{70C8404D-8B7D-403C-B56A-D8549758085B}" id="{53F95FC4-7BD2-4989-BAB0-CF12FEEDCB99}">
    <text>GB-DFIG values were adopted for the GB-SCIG turbines because they are both high-speed, gearbox generators.</text>
  </threadedComment>
  <threadedComment ref="U2" dT="2023-07-20T09:25:14.72" personId="{70C8404D-8B7D-403C-B56A-D8549758085B}" id="{BE3C2824-0C93-48B2-8B8D-E38A89666185}">
    <text>Correspond aux chiffres de GB-DFIG / SCIG</text>
  </threadedComment>
  <threadedComment ref="V2" dT="2023-07-20T09:24:46.34" personId="{70C8404D-8B7D-403C-B56A-D8549758085B}" id="{66557FAB-BC09-4A37-AB39-A3C1AE802DB0}">
    <text>Correspond aux chiffres de DD-PMSG</text>
  </threadedComment>
  <threadedComment ref="Y2" dT="2023-07-20T09:47:33.09" personId="{70C8404D-8B7D-403C-B56A-D8549758085B}" id="{AB2C24F2-C0BA-4A0E-9556-96018B886143}">
    <text>Plutôt onshore</text>
  </threadedComment>
  <threadedComment ref="Z2" dT="2023-07-20T09:47:20.68" personId="{70C8404D-8B7D-403C-B56A-D8549758085B}" id="{A2BADBC8-4AA8-49E5-BCD3-85EDEFDF22CB}">
    <text>Plutôt offshore</text>
  </threadedComment>
  <threadedComment ref="AD2" dT="2023-09-05T17:31:42.50" personId="{70C8404D-8B7D-403C-B56A-D8549758085B}" id="{2C51A142-E481-4C0F-B5B0-89A253890CB2}">
    <text>Les network connexion n'ont pas été intégrées</text>
  </threadedComment>
  <threadedComment ref="J3" dT="2023-07-06T15:16:26.22" personId="{70C8404D-8B7D-403C-B56A-D8549758085B}" id="{EE623964-4510-49BA-8C69-B2F3F69E78F6}">
    <text>Les 2 GB : + d'alu, - de cuivre -&gt; remplacement cuivre par alu dans la bobine du transformateur et dans le design de la tour</text>
  </threadedComment>
  <threadedComment ref="P3" dT="2023-07-06T15:15:01.72" personId="{70C8404D-8B7D-403C-B56A-D8549758085B}" id="{402A6F60-FDC6-46D3-914F-4F5F917ACA41}">
    <text>Les 2 DD : cuivre est préféré, onshore et offshore</text>
  </threadedComment>
  <threadedComment ref="R3" dT="2023-07-06T15:16:26.22" personId="{70C8404D-8B7D-403C-B56A-D8549758085B}" id="{2186942B-8B02-4A7C-864C-0039AE705D67}">
    <text>Les 2 GB : + d'alu, - de cuivre -&gt; remplacement cuivre par alu dans la bobine du transformateur et dans le design de la tour</text>
  </threadedComment>
  <threadedComment ref="Q6" dT="2023-07-06T15:13:53.02" personId="{70C8404D-8B7D-403C-B56A-D8549758085B}" id="{6FF726E4-E95A-4BB4-B89B-7B93A9872627}">
    <text>Peu, surtout offshore</text>
  </threadedComment>
  <threadedComment ref="R6" dT="2023-07-06T15:13:29.91" personId="{70C8404D-8B7D-403C-B56A-D8549758085B}" id="{167B12E1-140E-4DBA-9521-68694463F572}">
    <text>+ grandes turbines onshore</text>
  </threadedComment>
  <threadedComment ref="P7" dT="2023-07-06T15:18:04.40" personId="{70C8404D-8B7D-403C-B56A-D8549758085B}" id="{51974AA9-0805-46D7-A00C-ADEFF30781A0}">
    <text>Surtout dans les DD : 3X + que dans les gearbox</text>
  </threadedComment>
  <threadedComment ref="AD7" dT="2023-08-24T18:46:00.17" personId="{70C8404D-8B7D-403C-B56A-D8549758085B}" id="{DCA44B85-2AC6-481F-A100-2F7C1DA1DAB6}">
    <text>Max de 1 400 pour les GB, majoritairement onshore</text>
  </threadedComment>
  <threadedComment ref="Q8" dT="2023-07-12T11:55:37.47" personId="{70C8404D-8B7D-403C-B56A-D8549758085B}" id="{07F30DE0-A33E-48D8-B784-7C40D9945F6E}">
    <text xml:space="preserve">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ext>
  </threadedComment>
  <threadedComment ref="G10" dT="2023-07-12T11:55:37.47" personId="{70C8404D-8B7D-403C-B56A-D8549758085B}" id="{1C9D96AC-E975-4C37-8F89-DB3719CDF7B3}">
    <text xml:space="preserve">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ext>
  </threadedComment>
  <threadedComment ref="O10" dT="2023-09-07T20:02:53.82" personId="{70C8404D-8B7D-403C-B56A-D8549758085B}" id="{3C93C5B5-976D-4A17-829D-F232741A1321}">
    <text>Fer</text>
  </threadedComment>
  <threadedComment ref="AA13" dT="2023-07-25T13:59:23.00" personId="{70C8404D-8B7D-403C-B56A-D8549758085B}" id="{C9AC3D5D-459E-4088-B733-BA208261ED62}">
    <text xml:space="preserve">Deux sources à 116 et 135, une à 750 faussant le résultat ? </text>
  </threadedComment>
  <threadedComment ref="Q14" dT="2023-07-12T11:57:51.42" personId="{70C8404D-8B7D-403C-B56A-D8549758085B}" id="{06926F3D-A2EF-4A4B-BF57-0D33F81062D7}">
    <text>Up to 25% of neodymium can be replaced with praseodymium (Lacal-Arántegui, 2015).</text>
  </threadedComment>
  <threadedComment ref="R15" dT="2023-07-07T13:00:45.92" personId="{70C8404D-8B7D-403C-B56A-D8549758085B}" id="{AE256A3C-1AD1-4E65-8525-6A262C2D89C1}">
    <text>+ dans les GB</text>
  </threadedComment>
  <threadedComment ref="AD18" dT="2023-09-05T18:09:32.91" personId="{70C8404D-8B7D-403C-B56A-D8549758085B}" id="{70F27993-68FA-4657-A452-ACFBB1AAE338}">
    <text>Terres rares semblent peu comptabilisées</text>
  </threadedComment>
  <threadedComment ref="O19" dT="2023-09-07T20:03:09.77" personId="{70C8404D-8B7D-403C-B56A-D8549758085B}" id="{E78054A9-62C6-4269-9E5C-EBF6B10A276A}">
    <text>Acier : alliage composé majoritairement de fer et de carbone</text>
  </threadedComment>
  <threadedComment ref="G21" dT="2023-07-12T11:57:51.42" personId="{70C8404D-8B7D-403C-B56A-D8549758085B}" id="{E84FA399-DBD9-4280-95B9-51897799D27D}">
    <text>Up to 25% of neodymium can be replaced with praseodymium (Lacal-Arántegui, 2015).</text>
  </threadedComment>
  <threadedComment ref="J22" dT="2023-07-07T13:00:45.92" personId="{70C8404D-8B7D-403C-B56A-D8549758085B}" id="{A3E0AD2A-8BF5-425A-8E9D-CC5BD72B9CB3}">
    <text>+ dans les GB</text>
  </threadedComment>
  <threadedComment ref="AD24" dT="2023-08-24T18:55:12.00" personId="{70C8404D-8B7D-403C-B56A-D8549758085B}" id="{BC4FB2FD-5CFF-4F1D-A774-9F85CFC6ADBA}">
    <text>Métaux dont la quantité extraite est supérieure à + de 100 tonnes</text>
  </threadedComment>
  <threadedComment ref="Q26" dT="2023-07-10T15:13:51.74" personId="{70C8404D-8B7D-403C-B56A-D8549758085B}" id="{076A2792-2DDA-4473-8297-0CC7CC4E00A2}">
    <text>GB-DFIG values were adopted for the GB-SCIG turbines because they are both high-speed, gearbox generators.</text>
  </threadedComment>
  <threadedComment ref="S26" dT="2023-07-10T15:33:35.34" personId="{70C8404D-8B7D-403C-B56A-D8549758085B}" id="{3A11FEB0-37AE-4F6D-BF31-BF61A28C6635}">
    <text xml:space="preserve">permanent magnets 1/3 the mass of the direct drive counterparts. </text>
  </threadedComment>
  <threadedComment ref="A29" dT="2023-09-07T20:03:42.39" personId="{70C8404D-8B7D-403C-B56A-D8549758085B}" id="{EAF5C741-13C2-42AB-A849-3B5A6EB3A353}">
    <text xml:space="preserve">Acier : alliage composé majoritairement de fer et de 2,14% massique de carbone.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3-08-24T18:21:02.00" personId="{70C8404D-8B7D-403C-B56A-D8549758085B}" id="{6045318E-0914-49D4-B41B-E71CD450BBE5}">
    <text>Les frontières du système sont différentes car l'ACV prend en compte l'entièreté des étapes du cycle de vie, on s'attend donc à des résultats surévalués</text>
  </threadedComment>
  <threadedComment ref="J1" dT="2023-08-24T18:49:08.70" personId="{70C8404D-8B7D-403C-B56A-D8549758085B}" id="{603061E1-0455-4407-B4A5-6FC3912AB350}" parentId="{6045318E-0914-49D4-B41B-E71CD450BBE5}">
    <text>Revoir les matières également, car il y a beaucoup plus de matière sur open LCA qui ont pu être regroupées dans les autres études (ex: bauxite / aluminium)</text>
  </threadedComment>
  <threadedComment ref="A16" dT="2023-09-07T20:02:53.82" personId="{70C8404D-8B7D-403C-B56A-D8549758085B}" id="{17ADEFD2-0F3A-4472-BA69-D5150942ABFA}">
    <text>Fer</text>
  </threadedComment>
  <threadedComment ref="A29" dT="2023-09-07T20:03:09.77" personId="{70C8404D-8B7D-403C-B56A-D8549758085B}" id="{6FD2C131-72ED-435E-8AC3-B75EFEDA7A65}">
    <text>Acier : alliage composé majoritairement de fer et de carbone</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3-09-07T20:03:31.73" personId="{70C8404D-8B7D-403C-B56A-D8549758085B}" id="{1776CCBB-7DDE-4754-9F88-CCF28503E6AD}">
    <text>Fer</text>
  </threadedComment>
  <threadedComment ref="A29" dT="2023-09-07T20:03:09.77" personId="{70C8404D-8B7D-403C-B56A-D8549758085B}" id="{11723F19-8D1B-4C38-8865-40BFD104914B}">
    <text>Acier : alliage composé majoritairement de fer et de carbone</text>
  </threadedComment>
  <threadedComment ref="C29" dT="2023-09-27T19:17:57.41" personId="{70C8404D-8B7D-403C-B56A-D8549758085B}" id="{6116D13F-A8F3-4D6D-82BF-2914A3049ECC}">
    <text xml:space="preserve">Selon Ashby : 5820, dont 0,82 pour l'électrique </text>
  </threadedComment>
</ThreadedComments>
</file>

<file path=xl/threadedComments/threadedComment5.xml><?xml version="1.0" encoding="utf-8"?>
<ThreadedComments xmlns="http://schemas.microsoft.com/office/spreadsheetml/2018/threadedcomments" xmlns:x="http://schemas.openxmlformats.org/spreadsheetml/2006/main">
  <threadedComment ref="A16" dT="2023-09-07T20:02:53.82" personId="{70C8404D-8B7D-403C-B56A-D8549758085B}" id="{A69F6C7F-C261-4F7A-9F86-5F16EA3FE616}">
    <text>Fer</text>
  </threadedComment>
  <threadedComment ref="A29" dT="2023-09-07T20:03:09.77" personId="{70C8404D-8B7D-403C-B56A-D8549758085B}" id="{8FB64FAE-0247-4AEA-929E-1D3B53E122F3}">
    <text>Acier : alliage composé majoritairement de fer et de carbone</text>
  </threadedComment>
  <threadedComment ref="B29" dT="2023-09-27T20:09:30.44" personId="{70C8404D-8B7D-403C-B56A-D8549758085B}" id="{C256C050-AF29-416F-BA47-455749B328F0}">
    <text>Carbon steel : 10 800</text>
  </threadedComment>
  <threadedComment ref="B29" dT="2023-09-27T20:10:18.50" personId="{70C8404D-8B7D-403C-B56A-D8549758085B}" id="{1B6B24C2-FB52-4161-818C-29D400AC8482}" parentId="{C256C050-AF29-416F-BA47-455749B328F0}">
    <text>High alloy steel : 342 400</text>
  </threadedComment>
  <threadedComment ref="B29" dT="2023-09-27T20:10:30.45" personId="{70C8404D-8B7D-403C-B56A-D8549758085B}" id="{2426528A-772F-4281-A6D5-55FD3A9AFF8B}" parentId="{C256C050-AF29-416F-BA47-455749B328F0}">
    <text>Low alloy steel : 2000 à 476 000</text>
  </threadedComment>
  <threadedComment ref="C29" dT="2023-09-27T20:13:38.58" personId="{70C8404D-8B7D-403C-B56A-D8549758085B}" id="{5547A215-AF40-4A30-B9BC-CC92809C2892}">
    <text>Moyenne utilisée dans l'étude : Total material requirement for the global energy transition to 2050</text>
  </threadedComment>
</ThreadedComments>
</file>

<file path=xl/threadedComments/threadedComment6.xml><?xml version="1.0" encoding="utf-8"?>
<ThreadedComments xmlns="http://schemas.microsoft.com/office/spreadsheetml/2018/threadedcomments" xmlns:x="http://schemas.openxmlformats.org/spreadsheetml/2006/main">
  <threadedComment ref="A16" dT="2023-09-07T20:02:53.82" personId="{70C8404D-8B7D-403C-B56A-D8549758085B}" id="{7797B99C-B14C-404D-9D0F-9B8DD4B2DA1E}">
    <text>Fer</text>
  </threadedComment>
  <threadedComment ref="A29" dT="2023-09-07T20:03:09.77" personId="{70C8404D-8B7D-403C-B56A-D8549758085B}" id="{45DF2CF2-29F0-4393-AA03-60FF8830F8F7}">
    <text>Acier : alliage composé majoritairement de fer et de carbone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016/j.rser.2022.112334" TargetMode="Externa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hyperlink" Target="https://doi.org/10.1038/s41467-025-56592-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F4D0-1ED3-4D34-997D-CC07F6BD4249}">
  <dimension ref="A1:B19"/>
  <sheetViews>
    <sheetView workbookViewId="0">
      <selection activeCell="B17" sqref="B17"/>
    </sheetView>
  </sheetViews>
  <sheetFormatPr baseColWidth="10" defaultRowHeight="14.5" x14ac:dyDescent="0.35"/>
  <cols>
    <col min="2" max="2" width="143.90625" customWidth="1"/>
  </cols>
  <sheetData>
    <row r="1" spans="1:2" x14ac:dyDescent="0.35">
      <c r="A1" s="554" t="s">
        <v>350</v>
      </c>
      <c r="B1" s="554" t="s">
        <v>351</v>
      </c>
    </row>
    <row r="2" spans="1:2" x14ac:dyDescent="0.35">
      <c r="A2" s="625" t="s">
        <v>352</v>
      </c>
      <c r="B2" s="626"/>
    </row>
    <row r="3" spans="1:2" x14ac:dyDescent="0.35">
      <c r="A3" s="580" t="s">
        <v>353</v>
      </c>
      <c r="B3" s="20" t="s">
        <v>354</v>
      </c>
    </row>
    <row r="4" spans="1:2" x14ac:dyDescent="0.35">
      <c r="A4" s="580" t="s">
        <v>355</v>
      </c>
      <c r="B4" s="20" t="s">
        <v>356</v>
      </c>
    </row>
    <row r="5" spans="1:2" x14ac:dyDescent="0.35">
      <c r="A5" s="580" t="s">
        <v>357</v>
      </c>
      <c r="B5" s="20" t="s">
        <v>358</v>
      </c>
    </row>
    <row r="6" spans="1:2" x14ac:dyDescent="0.35">
      <c r="A6" s="580" t="s">
        <v>359</v>
      </c>
      <c r="B6" s="20" t="s">
        <v>360</v>
      </c>
    </row>
    <row r="7" spans="1:2" x14ac:dyDescent="0.35">
      <c r="A7" s="627" t="s">
        <v>361</v>
      </c>
      <c r="B7" s="627"/>
    </row>
    <row r="8" spans="1:2" x14ac:dyDescent="0.35">
      <c r="A8" s="581" t="s">
        <v>362</v>
      </c>
      <c r="B8" s="20" t="s">
        <v>363</v>
      </c>
    </row>
    <row r="9" spans="1:2" x14ac:dyDescent="0.35">
      <c r="A9" s="581" t="s">
        <v>364</v>
      </c>
      <c r="B9" s="20" t="s">
        <v>365</v>
      </c>
    </row>
    <row r="10" spans="1:2" x14ac:dyDescent="0.35">
      <c r="A10" s="581" t="s">
        <v>366</v>
      </c>
      <c r="B10" s="20" t="s">
        <v>367</v>
      </c>
    </row>
    <row r="11" spans="1:2" x14ac:dyDescent="0.35">
      <c r="A11" s="581" t="s">
        <v>368</v>
      </c>
      <c r="B11" s="20" t="s">
        <v>369</v>
      </c>
    </row>
    <row r="12" spans="1:2" x14ac:dyDescent="0.35">
      <c r="A12" s="581" t="s">
        <v>370</v>
      </c>
      <c r="B12" s="20" t="s">
        <v>371</v>
      </c>
    </row>
    <row r="13" spans="1:2" x14ac:dyDescent="0.35">
      <c r="A13" s="628" t="s">
        <v>372</v>
      </c>
      <c r="B13" s="628"/>
    </row>
    <row r="14" spans="1:2" x14ac:dyDescent="0.35">
      <c r="A14" s="582" t="s">
        <v>373</v>
      </c>
      <c r="B14" s="20" t="s">
        <v>374</v>
      </c>
    </row>
    <row r="15" spans="1:2" x14ac:dyDescent="0.35">
      <c r="A15" s="582" t="s">
        <v>375</v>
      </c>
      <c r="B15" s="20" t="s">
        <v>376</v>
      </c>
    </row>
    <row r="16" spans="1:2" x14ac:dyDescent="0.35">
      <c r="A16" s="583"/>
      <c r="B16" s="562" t="s">
        <v>377</v>
      </c>
    </row>
    <row r="17" spans="1:2" ht="29" x14ac:dyDescent="0.35">
      <c r="A17" s="583" t="s">
        <v>378</v>
      </c>
      <c r="B17" s="13" t="s">
        <v>379</v>
      </c>
    </row>
    <row r="18" spans="1:2" x14ac:dyDescent="0.35">
      <c r="A18" s="629" t="s">
        <v>380</v>
      </c>
      <c r="B18" s="629"/>
    </row>
    <row r="19" spans="1:2" ht="29" x14ac:dyDescent="0.35">
      <c r="A19" s="584" t="s">
        <v>381</v>
      </c>
      <c r="B19" s="13" t="s">
        <v>382</v>
      </c>
    </row>
  </sheetData>
  <mergeCells count="4">
    <mergeCell ref="A2:B2"/>
    <mergeCell ref="A7:B7"/>
    <mergeCell ref="A13:B13"/>
    <mergeCell ref="A18: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K299"/>
  <sheetViews>
    <sheetView zoomScale="55" zoomScaleNormal="55" workbookViewId="0">
      <pane xSplit="1" ySplit="2" topLeftCell="B3" activePane="bottomRight" state="frozen"/>
      <selection activeCell="E10" sqref="E10"/>
      <selection pane="topRight" activeCell="E10" sqref="E10"/>
      <selection pane="bottomLeft" activeCell="E10" sqref="E10"/>
      <selection pane="bottomRight" activeCell="A3" sqref="A3"/>
    </sheetView>
  </sheetViews>
  <sheetFormatPr baseColWidth="10" defaultRowHeight="14.5" x14ac:dyDescent="0.35"/>
  <cols>
    <col min="1" max="1" width="16.36328125" customWidth="1"/>
    <col min="2" max="2" width="31.81640625" customWidth="1"/>
    <col min="3" max="3" width="30.81640625" bestFit="1" customWidth="1"/>
    <col min="4" max="4" width="24.08984375" style="1" customWidth="1"/>
    <col min="5" max="6" width="21.81640625" customWidth="1"/>
    <col min="7" max="9" width="21.81640625" style="1" customWidth="1"/>
    <col min="10" max="10" width="21.81640625" customWidth="1"/>
    <col min="11" max="11" width="28" bestFit="1" customWidth="1"/>
    <col min="12" max="12" width="31" customWidth="1"/>
    <col min="13" max="16" width="21.81640625" customWidth="1"/>
    <col min="17" max="17" width="39.81640625" customWidth="1"/>
    <col min="18" max="18" width="18.36328125" customWidth="1"/>
    <col min="19" max="19" width="24.54296875" customWidth="1"/>
    <col min="20" max="20" width="65.36328125" bestFit="1" customWidth="1"/>
    <col min="21" max="21" width="28.453125" customWidth="1"/>
    <col min="22" max="22" width="21.81640625" style="36" customWidth="1"/>
    <col min="23" max="23" width="21.81640625" customWidth="1"/>
    <col min="24" max="24" width="19.90625" customWidth="1"/>
    <col min="25" max="25" width="21.26953125" customWidth="1"/>
    <col min="26" max="33" width="19.90625" customWidth="1"/>
    <col min="34" max="34" width="13.08984375" bestFit="1" customWidth="1"/>
    <col min="35" max="35" width="16.453125" bestFit="1" customWidth="1"/>
    <col min="36" max="36" width="24.1796875" customWidth="1"/>
    <col min="37" max="40" width="16.453125" customWidth="1"/>
    <col min="41" max="41" width="26.7265625" customWidth="1"/>
    <col min="42" max="42" width="16.453125" style="1" customWidth="1"/>
    <col min="43" max="43" width="28.36328125" bestFit="1" customWidth="1"/>
    <col min="44" max="47" width="21.81640625" customWidth="1"/>
    <col min="48" max="48" width="51.81640625" customWidth="1"/>
    <col min="49" max="49" width="10.90625" style="1"/>
    <col min="50" max="50" width="19.36328125" bestFit="1" customWidth="1"/>
    <col min="51" max="51" width="28.26953125" bestFit="1" customWidth="1"/>
    <col min="53" max="53" width="21.453125" bestFit="1" customWidth="1"/>
    <col min="54" max="57" width="21.453125" customWidth="1"/>
    <col min="58" max="63" width="36.08984375" style="2" customWidth="1"/>
    <col min="64" max="64" width="26.453125" customWidth="1"/>
    <col min="65" max="219" width="10.90625" style="1"/>
  </cols>
  <sheetData>
    <row r="1" spans="1:219" ht="87" customHeight="1" thickBot="1" x14ac:dyDescent="0.4">
      <c r="A1" s="399" t="s">
        <v>180</v>
      </c>
      <c r="B1" s="590"/>
      <c r="C1" s="613" t="s">
        <v>163</v>
      </c>
      <c r="D1" s="4" t="s">
        <v>0</v>
      </c>
      <c r="E1" s="520" t="s">
        <v>1</v>
      </c>
      <c r="F1" s="520" t="s">
        <v>2</v>
      </c>
      <c r="G1" s="246" t="s">
        <v>12</v>
      </c>
      <c r="H1" s="246" t="s">
        <v>13</v>
      </c>
      <c r="I1" s="140"/>
      <c r="J1" s="630" t="s">
        <v>4</v>
      </c>
      <c r="K1" s="631"/>
      <c r="L1" s="631"/>
      <c r="M1" s="631"/>
      <c r="N1" s="631"/>
      <c r="O1" s="631"/>
      <c r="P1" s="632"/>
      <c r="Q1" s="670" t="s">
        <v>175</v>
      </c>
      <c r="R1" s="666" t="s">
        <v>133</v>
      </c>
      <c r="S1" s="668" t="s">
        <v>134</v>
      </c>
      <c r="T1" s="366" t="s">
        <v>268</v>
      </c>
      <c r="U1" s="94"/>
      <c r="V1" s="650" t="s">
        <v>6</v>
      </c>
      <c r="W1" s="651"/>
      <c r="X1" s="651"/>
      <c r="Y1" s="651"/>
      <c r="Z1" s="651"/>
      <c r="AA1" s="652"/>
      <c r="AB1" s="639" t="s">
        <v>176</v>
      </c>
      <c r="AC1" s="672" t="s">
        <v>133</v>
      </c>
      <c r="AD1" s="633" t="s">
        <v>134</v>
      </c>
      <c r="AE1" s="366" t="s">
        <v>5</v>
      </c>
      <c r="AF1" s="6"/>
      <c r="AG1" s="659" t="s">
        <v>7</v>
      </c>
      <c r="AH1" s="660"/>
      <c r="AI1" s="660"/>
      <c r="AJ1" s="660"/>
      <c r="AK1" s="661"/>
      <c r="AL1" s="639" t="s">
        <v>178</v>
      </c>
      <c r="AM1" s="635" t="s">
        <v>133</v>
      </c>
      <c r="AN1" s="637" t="s">
        <v>134</v>
      </c>
      <c r="AO1" s="366" t="s">
        <v>268</v>
      </c>
      <c r="AP1" s="6"/>
      <c r="AQ1" s="8" t="s">
        <v>8</v>
      </c>
      <c r="AR1" s="446" t="s">
        <v>9</v>
      </c>
      <c r="AS1" s="664" t="s">
        <v>177</v>
      </c>
      <c r="AT1" s="635" t="s">
        <v>133</v>
      </c>
      <c r="AU1" s="637" t="s">
        <v>134</v>
      </c>
      <c r="AV1" s="366" t="s">
        <v>268</v>
      </c>
      <c r="AX1" s="662" t="s">
        <v>199</v>
      </c>
      <c r="AY1" s="663"/>
      <c r="AZ1" s="676" t="s">
        <v>171</v>
      </c>
      <c r="BA1" s="674" t="s">
        <v>165</v>
      </c>
      <c r="BB1" s="654" t="s">
        <v>10</v>
      </c>
      <c r="BC1" s="655"/>
      <c r="BD1" s="656" t="s">
        <v>162</v>
      </c>
      <c r="BE1" s="657"/>
      <c r="BF1" s="642" t="s">
        <v>173</v>
      </c>
      <c r="BG1" s="644" t="s">
        <v>133</v>
      </c>
      <c r="BH1" s="646" t="s">
        <v>134</v>
      </c>
      <c r="BI1" s="642" t="s">
        <v>174</v>
      </c>
      <c r="BJ1" s="644" t="s">
        <v>133</v>
      </c>
      <c r="BK1" s="646" t="s">
        <v>134</v>
      </c>
      <c r="BL1" s="366" t="s">
        <v>268</v>
      </c>
    </row>
    <row r="2" spans="1:219" s="5" customFormat="1" ht="69" customHeight="1" thickBot="1" x14ac:dyDescent="0.4">
      <c r="A2" s="521" t="s">
        <v>62</v>
      </c>
      <c r="B2" s="599" t="s">
        <v>206</v>
      </c>
      <c r="C2" s="125" t="s">
        <v>198</v>
      </c>
      <c r="D2" s="404" t="s">
        <v>11</v>
      </c>
      <c r="E2" s="648" t="s">
        <v>162</v>
      </c>
      <c r="F2" s="649"/>
      <c r="G2" s="658" t="s">
        <v>211</v>
      </c>
      <c r="H2" s="658"/>
      <c r="I2" s="140"/>
      <c r="J2" s="405" t="s">
        <v>169</v>
      </c>
      <c r="K2" s="391" t="s">
        <v>198</v>
      </c>
      <c r="L2" s="371" t="s">
        <v>214</v>
      </c>
      <c r="M2" s="391" t="s">
        <v>212</v>
      </c>
      <c r="N2" s="391" t="s">
        <v>199</v>
      </c>
      <c r="O2" s="372" t="s">
        <v>162</v>
      </c>
      <c r="P2" s="406" t="s">
        <v>213</v>
      </c>
      <c r="Q2" s="671"/>
      <c r="R2" s="667"/>
      <c r="S2" s="669"/>
      <c r="T2" s="392" t="s">
        <v>14</v>
      </c>
      <c r="U2" s="518"/>
      <c r="V2" s="432" t="s">
        <v>226</v>
      </c>
      <c r="W2" s="433" t="s">
        <v>169</v>
      </c>
      <c r="X2" s="433" t="s">
        <v>198</v>
      </c>
      <c r="Y2" s="434" t="s">
        <v>15</v>
      </c>
      <c r="Z2" s="433" t="s">
        <v>199</v>
      </c>
      <c r="AA2" s="435" t="s">
        <v>162</v>
      </c>
      <c r="AB2" s="640"/>
      <c r="AC2" s="673"/>
      <c r="AD2" s="634"/>
      <c r="AE2" s="377" t="s">
        <v>16</v>
      </c>
      <c r="AF2" s="518"/>
      <c r="AG2" s="468" t="s">
        <v>169</v>
      </c>
      <c r="AH2" s="469" t="s">
        <v>198</v>
      </c>
      <c r="AI2" s="470" t="s">
        <v>15</v>
      </c>
      <c r="AJ2" s="5" t="s">
        <v>199</v>
      </c>
      <c r="AK2" s="471" t="s">
        <v>162</v>
      </c>
      <c r="AL2" s="641"/>
      <c r="AM2" s="636"/>
      <c r="AN2" s="638"/>
      <c r="AO2" s="472" t="s">
        <v>16</v>
      </c>
      <c r="AP2" s="518"/>
      <c r="AQ2" s="405" t="s">
        <v>198</v>
      </c>
      <c r="AR2" s="447" t="s">
        <v>199</v>
      </c>
      <c r="AS2" s="665"/>
      <c r="AT2" s="653"/>
      <c r="AU2" s="677"/>
      <c r="AV2" s="379" t="s">
        <v>229</v>
      </c>
      <c r="AW2" s="140"/>
      <c r="AX2" s="250" t="s">
        <v>17</v>
      </c>
      <c r="AY2" s="125" t="s">
        <v>18</v>
      </c>
      <c r="AZ2" s="656"/>
      <c r="BA2" s="675"/>
      <c r="BB2" s="9" t="s">
        <v>19</v>
      </c>
      <c r="BC2" s="9" t="s">
        <v>20</v>
      </c>
      <c r="BD2" s="9" t="s">
        <v>19</v>
      </c>
      <c r="BE2" s="17" t="s">
        <v>20</v>
      </c>
      <c r="BF2" s="643"/>
      <c r="BG2" s="645"/>
      <c r="BH2" s="647"/>
      <c r="BI2" s="643"/>
      <c r="BJ2" s="645"/>
      <c r="BK2" s="647"/>
      <c r="BL2" s="378"/>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row>
    <row r="3" spans="1:219" ht="29" customHeight="1" x14ac:dyDescent="0.35">
      <c r="A3" s="21" t="s">
        <v>21</v>
      </c>
      <c r="B3" s="59">
        <f>9.4*80000/100</f>
        <v>7520</v>
      </c>
      <c r="C3" s="14"/>
      <c r="D3" s="24">
        <v>7288</v>
      </c>
      <c r="E3" s="24">
        <v>1051</v>
      </c>
      <c r="F3" s="25">
        <v>33500</v>
      </c>
      <c r="G3" s="27">
        <v>38500</v>
      </c>
      <c r="H3" s="27">
        <v>31300</v>
      </c>
      <c r="I3" s="140"/>
      <c r="J3" s="370"/>
      <c r="K3" s="368"/>
      <c r="L3" s="302">
        <v>31407.3</v>
      </c>
      <c r="M3" s="368"/>
      <c r="N3" s="368"/>
      <c r="O3" s="285"/>
      <c r="P3" s="286">
        <v>10953</v>
      </c>
      <c r="Q3" s="75">
        <v>10953</v>
      </c>
      <c r="R3" s="407">
        <f>D3</f>
        <v>7288</v>
      </c>
      <c r="S3" s="407">
        <f>MAX(C3:Q3)</f>
        <v>38500</v>
      </c>
      <c r="T3" s="15" t="s">
        <v>216</v>
      </c>
      <c r="U3" s="101"/>
      <c r="V3" s="274"/>
      <c r="W3" s="368"/>
      <c r="X3" s="368"/>
      <c r="Y3" s="368"/>
      <c r="Z3" s="368"/>
      <c r="AA3" s="464"/>
      <c r="AB3" s="383">
        <v>10953</v>
      </c>
      <c r="AC3" s="452">
        <f>7288</f>
        <v>7288</v>
      </c>
      <c r="AD3" s="453">
        <f>MAX(N3:AB3)</f>
        <v>38500</v>
      </c>
      <c r="AE3" s="15" t="s">
        <v>216</v>
      </c>
      <c r="AF3" s="30"/>
      <c r="AG3" s="473"/>
      <c r="AH3" s="474"/>
      <c r="AI3" s="474"/>
      <c r="AJ3" s="474"/>
      <c r="AK3" s="475"/>
      <c r="AL3" s="383">
        <v>10953</v>
      </c>
      <c r="AM3" s="452">
        <f>7288</f>
        <v>7288</v>
      </c>
      <c r="AN3" s="453">
        <f>MAX(X3:AL3)</f>
        <v>38500</v>
      </c>
      <c r="AO3" s="444" t="s">
        <v>216</v>
      </c>
      <c r="AP3" s="30"/>
      <c r="AQ3" s="460">
        <v>0</v>
      </c>
      <c r="AR3" s="461">
        <v>0</v>
      </c>
      <c r="AS3" s="383">
        <v>10953</v>
      </c>
      <c r="AT3" s="452">
        <f>7288</f>
        <v>7288</v>
      </c>
      <c r="AU3" s="453">
        <f>MAX(AE3:AS3)</f>
        <v>38500</v>
      </c>
      <c r="AV3" s="448" t="s">
        <v>216</v>
      </c>
      <c r="AX3" s="18"/>
      <c r="AY3" s="20"/>
      <c r="AZ3" s="28">
        <v>200</v>
      </c>
      <c r="BA3" s="33"/>
      <c r="BB3" s="34">
        <v>0</v>
      </c>
      <c r="BC3" s="59">
        <v>11000</v>
      </c>
      <c r="BD3" s="28">
        <v>285</v>
      </c>
      <c r="BE3" s="59">
        <v>72967</v>
      </c>
      <c r="BF3" s="383">
        <f>AVERAGE(BD3,AZ3)</f>
        <v>242.5</v>
      </c>
      <c r="BG3" s="28">
        <v>200</v>
      </c>
      <c r="BH3" s="28">
        <v>285</v>
      </c>
      <c r="BI3" s="486">
        <f>AVERAGE(BE3,BC3)</f>
        <v>41983.5</v>
      </c>
      <c r="BJ3" s="59">
        <v>11000</v>
      </c>
      <c r="BK3" s="386">
        <v>72967</v>
      </c>
      <c r="BL3" s="387" t="s">
        <v>230</v>
      </c>
    </row>
    <row r="4" spans="1:219" x14ac:dyDescent="0.35">
      <c r="A4" s="37" t="s">
        <v>22</v>
      </c>
      <c r="B4" s="34"/>
      <c r="C4" s="20"/>
      <c r="D4" s="611"/>
      <c r="E4" s="20"/>
      <c r="F4" s="34"/>
      <c r="G4" s="11"/>
      <c r="H4" s="11"/>
      <c r="I4" s="140"/>
      <c r="J4" s="136"/>
      <c r="K4" s="135"/>
      <c r="L4" s="20"/>
      <c r="M4" s="135"/>
      <c r="N4" s="135"/>
      <c r="O4" s="135"/>
      <c r="P4" s="137"/>
      <c r="Q4" s="136">
        <v>0</v>
      </c>
      <c r="R4" s="136">
        <v>0</v>
      </c>
      <c r="S4" s="136">
        <v>0</v>
      </c>
      <c r="T4" s="409"/>
      <c r="U4" s="1"/>
      <c r="V4" s="259"/>
      <c r="W4" s="246"/>
      <c r="X4" s="246"/>
      <c r="Y4" s="246"/>
      <c r="Z4" s="246"/>
      <c r="AA4" s="100"/>
      <c r="AB4" s="259"/>
      <c r="AC4" s="246"/>
      <c r="AD4" s="258"/>
      <c r="AE4" s="423"/>
      <c r="AF4" s="1"/>
      <c r="AG4" s="259"/>
      <c r="AH4" s="246"/>
      <c r="AI4" s="246"/>
      <c r="AJ4" s="246"/>
      <c r="AK4" s="258"/>
      <c r="AL4" s="259">
        <v>0</v>
      </c>
      <c r="AM4" s="246"/>
      <c r="AN4" s="258"/>
      <c r="AO4" s="313"/>
      <c r="AQ4" s="422">
        <v>0</v>
      </c>
      <c r="AR4" s="423">
        <v>0</v>
      </c>
      <c r="AS4" s="259">
        <v>0</v>
      </c>
      <c r="AT4" s="246"/>
      <c r="AU4" s="258"/>
      <c r="AV4" s="449"/>
      <c r="AX4" s="259"/>
      <c r="AY4" s="246"/>
      <c r="AZ4" s="246"/>
      <c r="BA4" s="258"/>
      <c r="BB4" s="100"/>
      <c r="BC4" s="100"/>
      <c r="BD4" s="246"/>
      <c r="BE4" s="100"/>
      <c r="BF4" s="487"/>
      <c r="BG4" s="488"/>
      <c r="BH4" s="489"/>
      <c r="BI4" s="487"/>
      <c r="BJ4" s="488"/>
      <c r="BK4" s="489"/>
      <c r="BL4" s="424"/>
    </row>
    <row r="5" spans="1:219" ht="58" x14ac:dyDescent="0.35">
      <c r="A5" s="37" t="s">
        <v>23</v>
      </c>
      <c r="B5" s="31"/>
      <c r="C5" s="14"/>
      <c r="D5" s="23"/>
      <c r="E5" s="38"/>
      <c r="F5" s="39"/>
      <c r="G5" s="26"/>
      <c r="H5" s="26"/>
      <c r="I5" s="30"/>
      <c r="J5" s="410"/>
      <c r="K5" s="411"/>
      <c r="L5" s="40">
        <v>0.3</v>
      </c>
      <c r="M5" s="411"/>
      <c r="N5" s="411"/>
      <c r="O5" s="411"/>
      <c r="P5" s="492"/>
      <c r="Q5" s="493">
        <v>0</v>
      </c>
      <c r="R5" s="493">
        <v>0</v>
      </c>
      <c r="S5" s="493">
        <v>0</v>
      </c>
      <c r="T5" s="408"/>
      <c r="U5" s="101"/>
      <c r="V5" s="82"/>
      <c r="W5" s="27">
        <v>138</v>
      </c>
      <c r="X5" s="27">
        <v>50</v>
      </c>
      <c r="Y5" s="27">
        <v>138</v>
      </c>
      <c r="Z5" s="14"/>
      <c r="AA5" s="59">
        <v>87</v>
      </c>
      <c r="AB5" s="62">
        <f>(W5+X5+AA5)/3</f>
        <v>91.666666666666671</v>
      </c>
      <c r="AC5" s="61">
        <f>MIN(W5:AA5)</f>
        <v>50</v>
      </c>
      <c r="AD5" s="374">
        <f>MAX(V5:AA5)</f>
        <v>138</v>
      </c>
      <c r="AE5" s="482" t="s">
        <v>225</v>
      </c>
      <c r="AF5" s="30"/>
      <c r="AG5" s="418"/>
      <c r="AH5" s="419"/>
      <c r="AI5" s="419"/>
      <c r="AJ5" s="419"/>
      <c r="AK5" s="420"/>
      <c r="AL5" s="436">
        <v>0</v>
      </c>
      <c r="AM5" s="437"/>
      <c r="AN5" s="438"/>
      <c r="AO5" s="425"/>
      <c r="AP5" s="30"/>
      <c r="AQ5" s="436">
        <v>0</v>
      </c>
      <c r="AR5" s="438">
        <v>0</v>
      </c>
      <c r="AS5" s="436">
        <v>0</v>
      </c>
      <c r="AT5" s="437"/>
      <c r="AU5" s="438"/>
      <c r="AV5" s="449"/>
      <c r="AX5" s="259"/>
      <c r="AY5" s="246"/>
      <c r="AZ5" s="246"/>
      <c r="BA5" s="258"/>
      <c r="BB5" s="100"/>
      <c r="BC5" s="100"/>
      <c r="BD5" s="246"/>
      <c r="BE5" s="100"/>
      <c r="BF5" s="487">
        <f>SUM(AX5:BA5)/2</f>
        <v>0</v>
      </c>
      <c r="BG5" s="488"/>
      <c r="BH5" s="489"/>
      <c r="BI5" s="487"/>
      <c r="BJ5" s="488"/>
      <c r="BK5" s="489"/>
      <c r="BL5" s="313"/>
    </row>
    <row r="6" spans="1:219" x14ac:dyDescent="0.35">
      <c r="A6" s="21" t="s">
        <v>67</v>
      </c>
      <c r="B6" s="31"/>
      <c r="C6" s="14"/>
      <c r="D6" s="23"/>
      <c r="E6" s="92">
        <v>61</v>
      </c>
      <c r="F6" s="93">
        <v>3700</v>
      </c>
      <c r="G6" s="49"/>
      <c r="H6" s="49"/>
      <c r="I6" s="519"/>
      <c r="J6" s="22"/>
      <c r="K6" s="14"/>
      <c r="L6" s="14"/>
      <c r="M6" s="14"/>
      <c r="N6" s="14"/>
      <c r="O6" s="14"/>
      <c r="P6" s="41"/>
      <c r="Q6" s="507">
        <f>(F6+E6)</f>
        <v>3761</v>
      </c>
      <c r="R6" s="56">
        <v>3761</v>
      </c>
      <c r="S6" s="56">
        <v>3761</v>
      </c>
      <c r="T6" s="29" t="s">
        <v>150</v>
      </c>
      <c r="U6" s="101"/>
      <c r="V6" s="82"/>
      <c r="W6" s="14"/>
      <c r="X6" s="14"/>
      <c r="Y6" s="14"/>
      <c r="Z6" s="14"/>
      <c r="AA6" s="31"/>
      <c r="AB6" s="55">
        <f>(Q6+P6)</f>
        <v>3761</v>
      </c>
      <c r="AC6" s="54">
        <v>3761</v>
      </c>
      <c r="AD6" s="373">
        <v>3761</v>
      </c>
      <c r="AE6" s="29" t="s">
        <v>150</v>
      </c>
      <c r="AF6" s="30"/>
      <c r="AG6" s="22"/>
      <c r="AH6" s="14"/>
      <c r="AI6" s="14"/>
      <c r="AJ6" s="14"/>
      <c r="AK6" s="205"/>
      <c r="AL6" s="55">
        <v>3761</v>
      </c>
      <c r="AM6" s="55">
        <v>3761</v>
      </c>
      <c r="AN6" s="454">
        <v>3761</v>
      </c>
      <c r="AO6" s="445" t="s">
        <v>150</v>
      </c>
      <c r="AP6" s="30"/>
      <c r="AQ6" s="46">
        <v>0</v>
      </c>
      <c r="AR6" s="462">
        <v>0</v>
      </c>
      <c r="AS6" s="55">
        <v>3761</v>
      </c>
      <c r="AT6" s="55">
        <v>3761</v>
      </c>
      <c r="AU6" s="454">
        <v>3761</v>
      </c>
      <c r="AV6" s="29" t="s">
        <v>150</v>
      </c>
      <c r="AX6" s="18"/>
      <c r="AY6" s="20"/>
      <c r="AZ6" s="28">
        <v>3000</v>
      </c>
      <c r="BA6" s="33"/>
      <c r="BB6" s="34"/>
      <c r="BC6" s="34"/>
      <c r="BD6" s="28">
        <v>4733</v>
      </c>
      <c r="BE6" s="491">
        <v>3700</v>
      </c>
      <c r="BF6" s="381">
        <f>BD6</f>
        <v>4733</v>
      </c>
      <c r="BG6" s="381">
        <f t="shared" ref="BG6:BH6" si="0">BE6</f>
        <v>3700</v>
      </c>
      <c r="BH6" s="381">
        <f t="shared" si="0"/>
        <v>4733</v>
      </c>
      <c r="BI6" s="381">
        <v>3700</v>
      </c>
      <c r="BJ6" s="381">
        <v>3700</v>
      </c>
      <c r="BK6" s="381">
        <v>3700</v>
      </c>
      <c r="BL6" s="160" t="s">
        <v>150</v>
      </c>
    </row>
    <row r="7" spans="1:219" x14ac:dyDescent="0.35">
      <c r="A7" s="21" t="s">
        <v>68</v>
      </c>
      <c r="B7" s="31"/>
      <c r="C7" s="14"/>
      <c r="D7" s="23"/>
      <c r="E7" s="47"/>
      <c r="F7" s="48"/>
      <c r="G7" s="49"/>
      <c r="H7" s="49"/>
      <c r="I7" s="519"/>
      <c r="J7" s="410"/>
      <c r="K7" s="411"/>
      <c r="L7" s="411"/>
      <c r="M7" s="411"/>
      <c r="N7" s="411"/>
      <c r="O7" s="411"/>
      <c r="P7" s="492"/>
      <c r="Q7" s="493">
        <v>0</v>
      </c>
      <c r="R7" s="493">
        <v>0</v>
      </c>
      <c r="S7" s="493">
        <v>0</v>
      </c>
      <c r="T7" s="408"/>
      <c r="U7" s="101"/>
      <c r="V7" s="418"/>
      <c r="W7" s="419"/>
      <c r="X7" s="419"/>
      <c r="Y7" s="419"/>
      <c r="Z7" s="419"/>
      <c r="AA7" s="465"/>
      <c r="AB7" s="421"/>
      <c r="AC7" s="427"/>
      <c r="AD7" s="428"/>
      <c r="AE7" s="483"/>
      <c r="AF7" s="30"/>
      <c r="AG7" s="418"/>
      <c r="AH7" s="419"/>
      <c r="AI7" s="419"/>
      <c r="AJ7" s="419"/>
      <c r="AK7" s="420"/>
      <c r="AL7" s="436">
        <v>0</v>
      </c>
      <c r="AM7" s="437"/>
      <c r="AN7" s="438"/>
      <c r="AO7" s="425"/>
      <c r="AP7" s="30"/>
      <c r="AQ7" s="436">
        <v>0</v>
      </c>
      <c r="AR7" s="438">
        <v>0</v>
      </c>
      <c r="AS7" s="436">
        <v>0</v>
      </c>
      <c r="AT7" s="437"/>
      <c r="AU7" s="438"/>
      <c r="AV7" s="449"/>
      <c r="AX7" s="18"/>
      <c r="AY7" s="18"/>
      <c r="AZ7" s="18"/>
      <c r="BA7" s="385">
        <v>326</v>
      </c>
      <c r="BB7" s="34"/>
      <c r="BC7" s="34"/>
      <c r="BD7" s="34"/>
      <c r="BE7" s="34"/>
      <c r="BF7" s="385">
        <v>326</v>
      </c>
      <c r="BG7" s="385">
        <v>326</v>
      </c>
      <c r="BH7" s="385">
        <v>326</v>
      </c>
      <c r="BI7" s="385">
        <v>326</v>
      </c>
      <c r="BJ7" s="385">
        <v>326</v>
      </c>
      <c r="BK7" s="385">
        <v>326</v>
      </c>
      <c r="BL7" s="160" t="s">
        <v>150</v>
      </c>
    </row>
    <row r="8" spans="1:219" x14ac:dyDescent="0.35">
      <c r="A8" s="52" t="s">
        <v>24</v>
      </c>
      <c r="B8" s="31"/>
      <c r="C8" s="40">
        <v>60700</v>
      </c>
      <c r="D8" s="23">
        <v>0</v>
      </c>
      <c r="E8" s="38"/>
      <c r="F8" s="39"/>
      <c r="G8" s="26"/>
      <c r="H8" s="26"/>
      <c r="I8" s="30"/>
      <c r="J8" s="22"/>
      <c r="K8" s="40">
        <v>60700</v>
      </c>
      <c r="L8" s="14"/>
      <c r="M8" s="14"/>
      <c r="N8" s="14"/>
      <c r="O8" s="14"/>
      <c r="P8" s="41"/>
      <c r="Q8" s="56">
        <v>60700</v>
      </c>
      <c r="R8" s="56">
        <v>60700</v>
      </c>
      <c r="S8" s="56">
        <v>60700</v>
      </c>
      <c r="T8" s="29" t="s">
        <v>150</v>
      </c>
      <c r="U8" s="101"/>
      <c r="V8" s="82"/>
      <c r="W8" s="14"/>
      <c r="X8" s="40">
        <v>60700</v>
      </c>
      <c r="Y8" s="14"/>
      <c r="Z8" s="14"/>
      <c r="AA8" s="31"/>
      <c r="AB8" s="55">
        <v>60700</v>
      </c>
      <c r="AC8" s="54">
        <v>60700</v>
      </c>
      <c r="AD8" s="373">
        <v>60700</v>
      </c>
      <c r="AE8" s="29" t="s">
        <v>150</v>
      </c>
      <c r="AF8" s="30"/>
      <c r="AG8" s="22"/>
      <c r="AH8" s="40">
        <v>60700</v>
      </c>
      <c r="AI8" s="14"/>
      <c r="AJ8" s="14"/>
      <c r="AK8" s="205"/>
      <c r="AL8" s="55">
        <v>60700</v>
      </c>
      <c r="AM8" s="55">
        <v>60700</v>
      </c>
      <c r="AN8" s="454">
        <v>60700</v>
      </c>
      <c r="AO8" s="445" t="s">
        <v>150</v>
      </c>
      <c r="AP8" s="30"/>
      <c r="AQ8" s="56">
        <v>60700</v>
      </c>
      <c r="AR8" s="455"/>
      <c r="AS8" s="56">
        <v>60700</v>
      </c>
      <c r="AT8" s="56">
        <v>60700</v>
      </c>
      <c r="AU8" s="455">
        <v>60700</v>
      </c>
      <c r="AV8" s="450" t="s">
        <v>25</v>
      </c>
      <c r="AX8" s="18"/>
      <c r="AY8" s="20"/>
      <c r="AZ8" s="51">
        <v>1000000</v>
      </c>
      <c r="BA8" s="33"/>
      <c r="BB8" s="34"/>
      <c r="BC8" s="34"/>
      <c r="BD8" s="51"/>
      <c r="BE8" s="34"/>
      <c r="BF8" s="81">
        <f>AZ8</f>
        <v>1000000</v>
      </c>
      <c r="BG8" s="81">
        <f t="shared" ref="BG8:BK8" si="1">BA8</f>
        <v>0</v>
      </c>
      <c r="BH8" s="81">
        <f t="shared" si="1"/>
        <v>0</v>
      </c>
      <c r="BI8" s="81">
        <f t="shared" si="1"/>
        <v>0</v>
      </c>
      <c r="BJ8" s="81">
        <f t="shared" si="1"/>
        <v>0</v>
      </c>
      <c r="BK8" s="81">
        <f t="shared" si="1"/>
        <v>0</v>
      </c>
      <c r="BL8" s="160" t="s">
        <v>150</v>
      </c>
    </row>
    <row r="9" spans="1:219" ht="101.5" x14ac:dyDescent="0.35">
      <c r="A9" s="21" t="s">
        <v>69</v>
      </c>
      <c r="B9" s="59">
        <f>5.8*80000/100</f>
        <v>4640</v>
      </c>
      <c r="C9" s="14"/>
      <c r="D9" s="25">
        <v>3707</v>
      </c>
      <c r="E9" s="31"/>
      <c r="F9" s="59">
        <v>3765</v>
      </c>
      <c r="G9" s="26"/>
      <c r="H9" s="26"/>
      <c r="I9" s="30"/>
      <c r="J9" s="22"/>
      <c r="K9" s="14"/>
      <c r="L9" s="27">
        <v>5952.19</v>
      </c>
      <c r="M9" s="14"/>
      <c r="N9" s="60">
        <v>884</v>
      </c>
      <c r="O9" s="27">
        <v>458</v>
      </c>
      <c r="P9" s="41" t="s">
        <v>26</v>
      </c>
      <c r="Q9" s="68" t="e">
        <f>AVERAGE(#REF!,B9,N9,L9,D9,(O9+F9)/2)</f>
        <v>#REF!</v>
      </c>
      <c r="R9" s="106">
        <f>250</f>
        <v>250</v>
      </c>
      <c r="S9" s="128">
        <f>B9</f>
        <v>4640</v>
      </c>
      <c r="T9" s="29" t="s">
        <v>215</v>
      </c>
      <c r="U9" s="101"/>
      <c r="V9" s="82"/>
      <c r="W9" s="14"/>
      <c r="X9" s="14"/>
      <c r="Y9" s="14"/>
      <c r="Z9" s="27">
        <v>5181</v>
      </c>
      <c r="AA9" s="59">
        <v>3091</v>
      </c>
      <c r="AB9" s="62" t="e">
        <f>(Z9+AA9+#REF!)/3</f>
        <v>#REF!</v>
      </c>
      <c r="AC9" s="27">
        <v>3091</v>
      </c>
      <c r="AD9" s="155">
        <v>5181</v>
      </c>
      <c r="AE9" s="482" t="s">
        <v>224</v>
      </c>
      <c r="AF9" s="30"/>
      <c r="AG9" s="22"/>
      <c r="AH9" s="43">
        <v>22</v>
      </c>
      <c r="AI9" s="14"/>
      <c r="AJ9" s="43">
        <v>450</v>
      </c>
      <c r="AK9" s="155">
        <v>233</v>
      </c>
      <c r="AL9" s="440" t="e">
        <f>AVERAGE(AJ9,(AK9+F9),#REF!,B9,D9)</f>
        <v>#REF!</v>
      </c>
      <c r="AM9" s="43">
        <v>450</v>
      </c>
      <c r="AN9" s="412">
        <f>5.8*80000/100</f>
        <v>4640</v>
      </c>
      <c r="AO9" s="376" t="s">
        <v>228</v>
      </c>
      <c r="AP9" s="30"/>
      <c r="AQ9" s="46">
        <v>0</v>
      </c>
      <c r="AR9" s="128">
        <v>1005</v>
      </c>
      <c r="AS9" s="62" t="e">
        <f>AVERAGE(AR9,F9,#REF!,D9,B9)</f>
        <v>#REF!</v>
      </c>
      <c r="AT9" s="115">
        <v>1005</v>
      </c>
      <c r="AU9" s="57">
        <f>5.8*80000/100</f>
        <v>4640</v>
      </c>
      <c r="AV9" s="29" t="s">
        <v>215</v>
      </c>
      <c r="AX9" s="64">
        <v>3200</v>
      </c>
      <c r="AY9" s="28">
        <v>1400</v>
      </c>
      <c r="AZ9" s="37">
        <v>3000</v>
      </c>
      <c r="BA9" s="33"/>
      <c r="BB9" s="37">
        <v>3200</v>
      </c>
      <c r="BC9" s="37">
        <v>1400</v>
      </c>
      <c r="BD9" s="37">
        <v>3175</v>
      </c>
      <c r="BE9" s="37">
        <v>1400</v>
      </c>
      <c r="BF9" s="490">
        <f>BD9</f>
        <v>3175</v>
      </c>
      <c r="BG9" s="51">
        <v>3000</v>
      </c>
      <c r="BH9" s="51">
        <v>3200</v>
      </c>
      <c r="BI9" s="380">
        <f>BE9</f>
        <v>1400</v>
      </c>
      <c r="BJ9" s="37">
        <v>1400</v>
      </c>
      <c r="BK9" s="37">
        <v>1400</v>
      </c>
      <c r="BL9" s="160" t="s">
        <v>231</v>
      </c>
    </row>
    <row r="10" spans="1:219" x14ac:dyDescent="0.35">
      <c r="A10" s="66" t="s">
        <v>27</v>
      </c>
      <c r="B10" s="87"/>
      <c r="C10" s="14"/>
      <c r="D10" s="58"/>
      <c r="E10" s="39"/>
      <c r="F10" s="25"/>
      <c r="G10" s="26"/>
      <c r="H10" s="26"/>
      <c r="I10" s="30"/>
      <c r="J10" s="410"/>
      <c r="K10" s="411"/>
      <c r="L10" s="411"/>
      <c r="M10" s="411"/>
      <c r="N10" s="411"/>
      <c r="O10" s="411"/>
      <c r="P10" s="492"/>
      <c r="Q10" s="493">
        <v>0</v>
      </c>
      <c r="R10" s="493">
        <v>0</v>
      </c>
      <c r="S10" s="493">
        <v>0</v>
      </c>
      <c r="T10" s="408"/>
      <c r="U10" s="101"/>
      <c r="V10" s="418"/>
      <c r="W10" s="419"/>
      <c r="X10" s="419"/>
      <c r="Y10" s="419"/>
      <c r="Z10" s="419"/>
      <c r="AA10" s="465"/>
      <c r="AB10" s="421"/>
      <c r="AC10" s="427"/>
      <c r="AD10" s="428"/>
      <c r="AE10" s="483"/>
      <c r="AF10" s="30"/>
      <c r="AG10" s="418"/>
      <c r="AH10" s="419"/>
      <c r="AI10" s="419"/>
      <c r="AJ10" s="419"/>
      <c r="AK10" s="420"/>
      <c r="AL10" s="436">
        <v>0</v>
      </c>
      <c r="AM10" s="437"/>
      <c r="AN10" s="438"/>
      <c r="AO10" s="439"/>
      <c r="AP10" s="30"/>
      <c r="AQ10" s="436">
        <v>0</v>
      </c>
      <c r="AR10" s="438">
        <v>0</v>
      </c>
      <c r="AS10" s="436">
        <v>0</v>
      </c>
      <c r="AT10" s="437"/>
      <c r="AU10" s="438"/>
      <c r="AV10" s="449"/>
      <c r="AX10" s="259"/>
      <c r="AY10" s="246"/>
      <c r="AZ10" s="100"/>
      <c r="BA10" s="258"/>
      <c r="BB10" s="100"/>
      <c r="BC10" s="100"/>
      <c r="BD10" s="100"/>
      <c r="BE10" s="100"/>
      <c r="BF10" s="487"/>
      <c r="BG10" s="246"/>
      <c r="BH10" s="258"/>
      <c r="BI10" s="487"/>
      <c r="BJ10" s="488"/>
      <c r="BK10" s="489"/>
      <c r="BL10" s="313"/>
    </row>
    <row r="11" spans="1:219" ht="87" x14ac:dyDescent="0.35">
      <c r="A11" s="21" t="s">
        <v>28</v>
      </c>
      <c r="B11" s="31"/>
      <c r="C11" s="14"/>
      <c r="D11" s="23"/>
      <c r="E11" s="38"/>
      <c r="F11" s="39"/>
      <c r="G11" s="26"/>
      <c r="H11" s="26"/>
      <c r="I11" s="30"/>
      <c r="J11" s="410"/>
      <c r="K11" s="411"/>
      <c r="L11" s="40">
        <v>9.6999999999999993</v>
      </c>
      <c r="M11" s="411"/>
      <c r="N11" s="411"/>
      <c r="O11" s="411"/>
      <c r="P11" s="492"/>
      <c r="Q11" s="493">
        <v>0</v>
      </c>
      <c r="R11" s="493">
        <v>0</v>
      </c>
      <c r="S11" s="493">
        <v>0</v>
      </c>
      <c r="T11" s="408"/>
      <c r="U11" s="101"/>
      <c r="V11" s="418"/>
      <c r="W11" s="419"/>
      <c r="X11" s="419"/>
      <c r="Y11" s="419"/>
      <c r="Z11" s="419"/>
      <c r="AA11" s="465"/>
      <c r="AB11" s="421"/>
      <c r="AC11" s="427"/>
      <c r="AD11" s="428"/>
      <c r="AE11" s="483"/>
      <c r="AF11" s="30"/>
      <c r="AG11" s="69">
        <v>9</v>
      </c>
      <c r="AH11" s="27">
        <v>4</v>
      </c>
      <c r="AI11" s="27">
        <v>9</v>
      </c>
      <c r="AJ11" s="27">
        <v>4</v>
      </c>
      <c r="AK11" s="164">
        <v>19</v>
      </c>
      <c r="AL11" s="62">
        <f>AVERAGE(AG11:AK11)</f>
        <v>9</v>
      </c>
      <c r="AM11" s="27">
        <v>4</v>
      </c>
      <c r="AN11" s="164">
        <v>19</v>
      </c>
      <c r="AO11" s="445" t="s">
        <v>215</v>
      </c>
      <c r="AP11" s="30"/>
      <c r="AQ11" s="436">
        <v>0</v>
      </c>
      <c r="AR11" s="438">
        <v>0</v>
      </c>
      <c r="AS11" s="436">
        <v>0</v>
      </c>
      <c r="AT11" s="437"/>
      <c r="AU11" s="438"/>
      <c r="AV11" s="449"/>
      <c r="AX11" s="20"/>
      <c r="AZ11" s="51">
        <v>692</v>
      </c>
      <c r="BA11" s="33"/>
      <c r="BB11" s="34"/>
      <c r="BC11" s="34"/>
      <c r="BD11" s="34"/>
      <c r="BE11" s="34"/>
      <c r="BF11" s="51">
        <v>0</v>
      </c>
      <c r="BG11" s="51">
        <v>0</v>
      </c>
      <c r="BH11" s="51">
        <v>692</v>
      </c>
      <c r="BI11" s="51">
        <v>0</v>
      </c>
      <c r="BJ11" s="51">
        <v>0</v>
      </c>
      <c r="BK11" s="51">
        <v>692</v>
      </c>
      <c r="BL11" s="224" t="s">
        <v>419</v>
      </c>
    </row>
    <row r="12" spans="1:219" x14ac:dyDescent="0.35">
      <c r="A12" s="21" t="s">
        <v>70</v>
      </c>
      <c r="B12" s="87"/>
      <c r="C12" s="14"/>
      <c r="D12" s="23"/>
      <c r="E12" s="38"/>
      <c r="F12" s="39"/>
      <c r="G12" s="26"/>
      <c r="H12" s="26"/>
      <c r="I12" s="30"/>
      <c r="J12" s="410"/>
      <c r="K12" s="411"/>
      <c r="L12" s="411"/>
      <c r="M12" s="411"/>
      <c r="N12" s="411"/>
      <c r="O12" s="411"/>
      <c r="P12" s="492"/>
      <c r="Q12" s="493">
        <v>0</v>
      </c>
      <c r="R12" s="493">
        <v>0</v>
      </c>
      <c r="S12" s="493">
        <v>0</v>
      </c>
      <c r="T12" s="408"/>
      <c r="U12" s="101"/>
      <c r="V12" s="418"/>
      <c r="W12" s="419"/>
      <c r="X12" s="419"/>
      <c r="Y12" s="419"/>
      <c r="Z12" s="419"/>
      <c r="AA12" s="465"/>
      <c r="AB12" s="421"/>
      <c r="AC12" s="427"/>
      <c r="AD12" s="428"/>
      <c r="AE12" s="483"/>
      <c r="AF12" s="30"/>
      <c r="AG12" s="418"/>
      <c r="AH12" s="419"/>
      <c r="AI12" s="419"/>
      <c r="AJ12" s="419"/>
      <c r="AK12" s="420"/>
      <c r="AL12" s="436">
        <v>0</v>
      </c>
      <c r="AM12" s="437"/>
      <c r="AN12" s="438"/>
      <c r="AO12" s="425"/>
      <c r="AP12" s="30"/>
      <c r="AQ12" s="56">
        <v>48</v>
      </c>
      <c r="AR12" s="462">
        <v>0</v>
      </c>
      <c r="AS12" s="56">
        <v>48</v>
      </c>
      <c r="AT12" s="56">
        <v>48</v>
      </c>
      <c r="AU12" s="455">
        <v>48</v>
      </c>
      <c r="AV12" s="29" t="s">
        <v>150</v>
      </c>
      <c r="AX12" s="259"/>
      <c r="AY12" s="246"/>
      <c r="AZ12" s="100"/>
      <c r="BA12" s="258"/>
      <c r="BB12" s="100"/>
      <c r="BC12" s="100"/>
      <c r="BD12" s="100"/>
      <c r="BE12" s="100"/>
      <c r="BF12" s="487"/>
      <c r="BG12" s="246"/>
      <c r="BH12" s="258"/>
      <c r="BI12" s="487"/>
      <c r="BJ12" s="488"/>
      <c r="BK12" s="489"/>
      <c r="BL12" s="313"/>
    </row>
    <row r="13" spans="1:219" x14ac:dyDescent="0.35">
      <c r="A13" s="37" t="s">
        <v>29</v>
      </c>
      <c r="B13" s="87"/>
      <c r="C13" s="27">
        <v>46400</v>
      </c>
      <c r="D13" s="24">
        <v>60014</v>
      </c>
      <c r="E13" s="38"/>
      <c r="F13" s="39"/>
      <c r="G13" s="26"/>
      <c r="H13" s="26"/>
      <c r="I13" s="30"/>
      <c r="J13" s="22"/>
      <c r="K13" s="40">
        <v>46400</v>
      </c>
      <c r="L13" s="14"/>
      <c r="M13" s="14"/>
      <c r="N13" s="14"/>
      <c r="O13" s="14"/>
      <c r="P13" s="41"/>
      <c r="Q13" s="68">
        <v>46400</v>
      </c>
      <c r="R13" s="68">
        <v>46400</v>
      </c>
      <c r="S13" s="128">
        <f>D13</f>
        <v>60014</v>
      </c>
      <c r="T13" s="29" t="s">
        <v>217</v>
      </c>
      <c r="U13" s="101"/>
      <c r="V13" s="82"/>
      <c r="W13" s="14"/>
      <c r="X13" s="40">
        <v>46400</v>
      </c>
      <c r="Y13" s="14"/>
      <c r="Z13" s="14"/>
      <c r="AA13" s="31"/>
      <c r="AB13" s="55">
        <v>46400</v>
      </c>
      <c r="AC13" s="54">
        <v>46400</v>
      </c>
      <c r="AD13" s="373">
        <v>46400</v>
      </c>
      <c r="AE13" s="29" t="s">
        <v>150</v>
      </c>
      <c r="AF13" s="30"/>
      <c r="AG13" s="22"/>
      <c r="AH13" s="40">
        <v>46400</v>
      </c>
      <c r="AI13" s="14"/>
      <c r="AJ13" s="14"/>
      <c r="AK13" s="205"/>
      <c r="AL13" s="56">
        <v>46400</v>
      </c>
      <c r="AM13" s="56">
        <v>46400</v>
      </c>
      <c r="AN13" s="455">
        <v>46400</v>
      </c>
      <c r="AO13" s="445" t="s">
        <v>150</v>
      </c>
      <c r="AP13" s="30"/>
      <c r="AQ13" s="56">
        <v>46400</v>
      </c>
      <c r="AR13" s="455"/>
      <c r="AS13" s="56">
        <v>46400</v>
      </c>
      <c r="AT13" s="56">
        <v>46400</v>
      </c>
      <c r="AU13" s="455">
        <v>46400</v>
      </c>
      <c r="AV13" s="29" t="s">
        <v>150</v>
      </c>
      <c r="AX13" s="18"/>
      <c r="AY13" s="20"/>
      <c r="AZ13" s="51">
        <v>100000</v>
      </c>
      <c r="BA13" s="33"/>
      <c r="BE13" s="34"/>
      <c r="BF13" s="381">
        <f>AZ13</f>
        <v>100000</v>
      </c>
      <c r="BG13" s="381">
        <v>100000</v>
      </c>
      <c r="BH13" s="381">
        <v>100000</v>
      </c>
      <c r="BI13" s="381">
        <v>100000</v>
      </c>
      <c r="BJ13" s="381">
        <v>100000</v>
      </c>
      <c r="BK13" s="381">
        <v>100000</v>
      </c>
      <c r="BL13" s="160" t="s">
        <v>150</v>
      </c>
    </row>
    <row r="14" spans="1:219" x14ac:dyDescent="0.35">
      <c r="A14" s="37" t="s">
        <v>30</v>
      </c>
      <c r="B14" s="87"/>
      <c r="C14" s="14"/>
      <c r="D14" s="23"/>
      <c r="E14" s="38"/>
      <c r="F14" s="39"/>
      <c r="G14" s="26"/>
      <c r="H14" s="26"/>
      <c r="I14" s="30"/>
      <c r="J14" s="410"/>
      <c r="K14" s="411"/>
      <c r="L14" s="411"/>
      <c r="M14" s="411"/>
      <c r="N14" s="411"/>
      <c r="O14" s="411"/>
      <c r="P14" s="492"/>
      <c r="Q14" s="493">
        <v>0</v>
      </c>
      <c r="R14" s="493">
        <v>0</v>
      </c>
      <c r="S14" s="493">
        <v>0</v>
      </c>
      <c r="T14" s="408"/>
      <c r="U14" s="101"/>
      <c r="V14" s="418"/>
      <c r="W14" s="419"/>
      <c r="X14" s="419"/>
      <c r="Y14" s="419"/>
      <c r="Z14" s="419"/>
      <c r="AA14" s="465"/>
      <c r="AB14" s="421"/>
      <c r="AC14" s="427"/>
      <c r="AD14" s="428"/>
      <c r="AE14" s="483"/>
      <c r="AF14" s="30"/>
      <c r="AG14" s="418"/>
      <c r="AH14" s="419"/>
      <c r="AI14" s="419"/>
      <c r="AJ14" s="419"/>
      <c r="AK14" s="420"/>
      <c r="AL14" s="418"/>
      <c r="AM14" s="419"/>
      <c r="AN14" s="420"/>
      <c r="AO14" s="425"/>
      <c r="AP14" s="30"/>
      <c r="AQ14" s="436">
        <v>0</v>
      </c>
      <c r="AR14" s="438">
        <v>0</v>
      </c>
      <c r="AS14" s="436">
        <v>0</v>
      </c>
      <c r="AT14" s="437"/>
      <c r="AU14" s="438"/>
      <c r="AV14" s="449"/>
      <c r="AX14" s="259"/>
      <c r="AY14" s="246"/>
      <c r="AZ14" s="100"/>
      <c r="BA14" s="258"/>
      <c r="BB14" s="100"/>
      <c r="BC14" s="100"/>
      <c r="BD14" s="100"/>
      <c r="BE14" s="100"/>
      <c r="BF14" s="487"/>
      <c r="BG14" s="246"/>
      <c r="BH14" s="258"/>
      <c r="BI14" s="487"/>
      <c r="BJ14" s="488"/>
      <c r="BK14" s="489"/>
      <c r="BL14" s="313"/>
    </row>
    <row r="15" spans="1:219" ht="43.5" x14ac:dyDescent="0.35">
      <c r="A15" s="21" t="s">
        <v>31</v>
      </c>
      <c r="B15" s="87"/>
      <c r="C15" s="14"/>
      <c r="D15" s="23"/>
      <c r="E15" s="38"/>
      <c r="F15" s="39"/>
      <c r="G15" s="26"/>
      <c r="H15" s="26"/>
      <c r="I15" s="30"/>
      <c r="J15" s="410"/>
      <c r="K15" s="411"/>
      <c r="L15" s="411"/>
      <c r="M15" s="411"/>
      <c r="N15" s="411"/>
      <c r="O15" s="411"/>
      <c r="P15" s="492"/>
      <c r="Q15" s="493">
        <v>0</v>
      </c>
      <c r="R15" s="493">
        <v>0</v>
      </c>
      <c r="S15" s="493">
        <v>0</v>
      </c>
      <c r="T15" s="408"/>
      <c r="U15" s="101"/>
      <c r="V15" s="418"/>
      <c r="W15" s="419"/>
      <c r="X15" s="419"/>
      <c r="Y15" s="419"/>
      <c r="Z15" s="419"/>
      <c r="AA15" s="465"/>
      <c r="AB15" s="421"/>
      <c r="AC15" s="427"/>
      <c r="AD15" s="428"/>
      <c r="AE15" s="483"/>
      <c r="AF15" s="30"/>
      <c r="AG15" s="69">
        <v>28</v>
      </c>
      <c r="AH15" s="27">
        <v>15</v>
      </c>
      <c r="AI15" s="27">
        <v>28</v>
      </c>
      <c r="AJ15" s="27">
        <v>13</v>
      </c>
      <c r="AK15" s="155">
        <v>31</v>
      </c>
      <c r="AL15" s="68">
        <f>SUM(AH15:AK15)/4</f>
        <v>21.75</v>
      </c>
      <c r="AM15" s="61">
        <f>AJ15</f>
        <v>13</v>
      </c>
      <c r="AN15" s="374">
        <f>AK15</f>
        <v>31</v>
      </c>
      <c r="AO15" s="445" t="s">
        <v>215</v>
      </c>
      <c r="AP15" s="30"/>
      <c r="AQ15" s="46">
        <v>0</v>
      </c>
      <c r="AR15" s="167">
        <v>5.32</v>
      </c>
      <c r="AS15" s="56">
        <v>5.32</v>
      </c>
      <c r="AT15" s="56">
        <v>5.32</v>
      </c>
      <c r="AU15" s="455">
        <v>5.32</v>
      </c>
      <c r="AV15" s="29" t="s">
        <v>150</v>
      </c>
      <c r="AX15" s="259"/>
      <c r="AY15" s="246"/>
      <c r="AZ15" s="100"/>
      <c r="BA15" s="258"/>
      <c r="BB15" s="100"/>
      <c r="BC15" s="100"/>
      <c r="BD15" s="100"/>
      <c r="BE15" s="100"/>
      <c r="BF15" s="487"/>
      <c r="BG15" s="246"/>
      <c r="BH15" s="258"/>
      <c r="BI15" s="487"/>
      <c r="BJ15" s="488"/>
      <c r="BK15" s="489"/>
      <c r="BL15" s="313"/>
    </row>
    <row r="16" spans="1:219" x14ac:dyDescent="0.35">
      <c r="A16" s="37" t="s">
        <v>32</v>
      </c>
      <c r="B16" s="87"/>
      <c r="C16" s="14"/>
      <c r="D16" s="23" t="s">
        <v>33</v>
      </c>
      <c r="E16" s="38"/>
      <c r="F16" s="39"/>
      <c r="G16" s="26"/>
      <c r="H16" s="26"/>
      <c r="I16" s="30"/>
      <c r="J16" s="410"/>
      <c r="K16" s="411"/>
      <c r="L16" s="411">
        <v>90926.9</v>
      </c>
      <c r="M16" s="411"/>
      <c r="N16" s="411"/>
      <c r="O16" s="411"/>
      <c r="P16" s="492"/>
      <c r="Q16" s="493">
        <v>0</v>
      </c>
      <c r="R16" s="493">
        <v>0</v>
      </c>
      <c r="S16" s="493">
        <v>0</v>
      </c>
      <c r="T16" s="408"/>
      <c r="U16" s="101"/>
      <c r="V16" s="418"/>
      <c r="W16" s="419"/>
      <c r="X16" s="419"/>
      <c r="Y16" s="419"/>
      <c r="Z16" s="419"/>
      <c r="AA16" s="465"/>
      <c r="AB16" s="421"/>
      <c r="AC16" s="427"/>
      <c r="AD16" s="428"/>
      <c r="AE16" s="483"/>
      <c r="AF16" s="30"/>
      <c r="AG16" s="418"/>
      <c r="AH16" s="419"/>
      <c r="AI16" s="419"/>
      <c r="AJ16" s="419"/>
      <c r="AK16" s="420"/>
      <c r="AL16" s="436">
        <v>0</v>
      </c>
      <c r="AM16" s="437"/>
      <c r="AN16" s="438"/>
      <c r="AO16" s="425"/>
      <c r="AP16" s="30"/>
      <c r="AQ16" s="436">
        <v>0</v>
      </c>
      <c r="AR16" s="438">
        <v>0</v>
      </c>
      <c r="AS16" s="436">
        <v>0</v>
      </c>
      <c r="AT16" s="437"/>
      <c r="AU16" s="438"/>
      <c r="AV16" s="449"/>
      <c r="AX16" s="18"/>
      <c r="AY16" s="20"/>
      <c r="AZ16" s="34">
        <v>500000</v>
      </c>
      <c r="BA16" s="33"/>
      <c r="BB16" s="34">
        <v>650000</v>
      </c>
      <c r="BC16" s="34">
        <v>393000</v>
      </c>
      <c r="BD16" s="34"/>
      <c r="BE16" s="34"/>
      <c r="BF16" s="381">
        <f>AZ16</f>
        <v>500000</v>
      </c>
      <c r="BG16" s="381">
        <v>500000</v>
      </c>
      <c r="BH16" s="381">
        <v>500000</v>
      </c>
      <c r="BI16" s="381">
        <v>500000</v>
      </c>
      <c r="BJ16" s="381">
        <v>500000</v>
      </c>
      <c r="BK16" s="381">
        <v>500000</v>
      </c>
      <c r="BL16" s="160" t="s">
        <v>150</v>
      </c>
    </row>
    <row r="17" spans="1:64" x14ac:dyDescent="0.35">
      <c r="A17" s="37" t="s">
        <v>34</v>
      </c>
      <c r="B17" s="87"/>
      <c r="C17" s="14"/>
      <c r="D17" s="23"/>
      <c r="E17" s="38"/>
      <c r="F17" s="39"/>
      <c r="G17" s="26"/>
      <c r="H17" s="26"/>
      <c r="I17" s="30"/>
      <c r="J17" s="22"/>
      <c r="K17" s="14"/>
      <c r="L17" s="43">
        <v>550.28</v>
      </c>
      <c r="M17" s="14"/>
      <c r="N17" s="14"/>
      <c r="O17" s="43">
        <v>39</v>
      </c>
      <c r="P17" s="52" t="s">
        <v>35</v>
      </c>
      <c r="Q17" s="126">
        <v>39</v>
      </c>
      <c r="R17" s="114">
        <v>6</v>
      </c>
      <c r="S17" s="127">
        <v>336</v>
      </c>
      <c r="T17" s="29" t="s">
        <v>219</v>
      </c>
      <c r="U17" s="101"/>
      <c r="V17" s="82"/>
      <c r="W17" s="14"/>
      <c r="X17" s="14"/>
      <c r="Y17" s="14"/>
      <c r="Z17" s="14"/>
      <c r="AA17" s="466">
        <v>8</v>
      </c>
      <c r="AB17" s="55">
        <v>8</v>
      </c>
      <c r="AC17" s="54">
        <v>8</v>
      </c>
      <c r="AD17" s="373">
        <v>8</v>
      </c>
      <c r="AE17" s="29" t="s">
        <v>150</v>
      </c>
      <c r="AF17" s="30"/>
      <c r="AG17" s="418"/>
      <c r="AH17" s="419"/>
      <c r="AI17" s="419"/>
      <c r="AJ17" s="419"/>
      <c r="AK17" s="420"/>
      <c r="AL17" s="436">
        <v>0</v>
      </c>
      <c r="AM17" s="437"/>
      <c r="AN17" s="438"/>
      <c r="AO17" s="425"/>
      <c r="AP17" s="30"/>
      <c r="AQ17" s="436">
        <v>0</v>
      </c>
      <c r="AR17" s="438">
        <v>0</v>
      </c>
      <c r="AS17" s="436">
        <v>0</v>
      </c>
      <c r="AT17" s="437"/>
      <c r="AU17" s="438"/>
      <c r="AV17" s="449"/>
      <c r="AX17" s="259"/>
      <c r="AY17" s="246"/>
      <c r="AZ17" s="100"/>
      <c r="BA17" s="258"/>
      <c r="BB17" s="100"/>
      <c r="BC17" s="100"/>
      <c r="BD17" s="100"/>
      <c r="BE17" s="100"/>
      <c r="BF17" s="487"/>
      <c r="BG17" s="246"/>
      <c r="BH17" s="258"/>
      <c r="BI17" s="487"/>
      <c r="BJ17" s="488"/>
      <c r="BK17" s="489"/>
      <c r="BL17" s="313"/>
    </row>
    <row r="18" spans="1:64" x14ac:dyDescent="0.35">
      <c r="A18" s="21" t="s">
        <v>36</v>
      </c>
      <c r="B18" s="87"/>
      <c r="C18" s="14"/>
      <c r="D18" s="23"/>
      <c r="E18" s="38"/>
      <c r="F18" s="39"/>
      <c r="G18" s="26"/>
      <c r="H18" s="26"/>
      <c r="I18" s="30"/>
      <c r="J18" s="410"/>
      <c r="K18" s="411"/>
      <c r="L18" s="411"/>
      <c r="M18" s="411"/>
      <c r="N18" s="411"/>
      <c r="O18" s="411"/>
      <c r="P18" s="492"/>
      <c r="Q18" s="493">
        <v>0</v>
      </c>
      <c r="R18" s="493">
        <v>0</v>
      </c>
      <c r="S18" s="493">
        <v>0</v>
      </c>
      <c r="T18" s="408"/>
      <c r="U18" s="101"/>
      <c r="V18" s="418"/>
      <c r="W18" s="419"/>
      <c r="X18" s="419"/>
      <c r="Y18" s="419"/>
      <c r="Z18" s="419"/>
      <c r="AA18" s="465"/>
      <c r="AB18" s="421"/>
      <c r="AC18" s="427"/>
      <c r="AD18" s="428"/>
      <c r="AE18" s="483"/>
      <c r="AF18" s="30"/>
      <c r="AG18" s="418"/>
      <c r="AH18" s="419"/>
      <c r="AI18" s="419"/>
      <c r="AJ18" s="419"/>
      <c r="AK18" s="420"/>
      <c r="AL18" s="436">
        <v>0</v>
      </c>
      <c r="AM18" s="437"/>
      <c r="AN18" s="438"/>
      <c r="AO18" s="425"/>
      <c r="AP18" s="30"/>
      <c r="AQ18" s="436">
        <v>0</v>
      </c>
      <c r="AR18" s="438">
        <v>0</v>
      </c>
      <c r="AS18" s="436">
        <v>0</v>
      </c>
      <c r="AT18" s="437"/>
      <c r="AU18" s="438"/>
      <c r="AV18" s="449"/>
      <c r="AX18" s="18"/>
      <c r="AY18" s="20"/>
      <c r="AZ18" s="37">
        <v>4000</v>
      </c>
      <c r="BA18" s="33"/>
      <c r="BB18" s="37">
        <v>3000</v>
      </c>
      <c r="BC18" s="37">
        <v>2600</v>
      </c>
      <c r="BD18" s="37">
        <v>1400</v>
      </c>
      <c r="BE18" s="37">
        <v>2600</v>
      </c>
      <c r="BF18" s="270">
        <f>BD18</f>
        <v>1400</v>
      </c>
      <c r="BG18" s="270">
        <f>BE18</f>
        <v>2600</v>
      </c>
      <c r="BH18" s="37">
        <v>3000</v>
      </c>
      <c r="BI18" s="270">
        <f>BE18</f>
        <v>2600</v>
      </c>
      <c r="BJ18" s="37">
        <v>2600</v>
      </c>
      <c r="BK18" s="37">
        <v>2600</v>
      </c>
      <c r="BL18" s="160" t="s">
        <v>231</v>
      </c>
    </row>
    <row r="19" spans="1:64" x14ac:dyDescent="0.35">
      <c r="A19" s="21" t="s">
        <v>37</v>
      </c>
      <c r="B19" s="87"/>
      <c r="C19" s="14"/>
      <c r="D19" s="23"/>
      <c r="E19" s="38"/>
      <c r="F19" s="39"/>
      <c r="G19" s="26"/>
      <c r="H19" s="26"/>
      <c r="I19" s="30"/>
      <c r="J19" s="410"/>
      <c r="K19" s="411"/>
      <c r="L19" s="411"/>
      <c r="M19" s="411"/>
      <c r="N19" s="411"/>
      <c r="O19" s="411"/>
      <c r="P19" s="492"/>
      <c r="Q19" s="493">
        <v>0</v>
      </c>
      <c r="R19" s="493">
        <v>0</v>
      </c>
      <c r="S19" s="493">
        <v>0</v>
      </c>
      <c r="T19" s="408"/>
      <c r="U19" s="101"/>
      <c r="V19" s="418"/>
      <c r="W19" s="419"/>
      <c r="X19" s="419"/>
      <c r="Y19" s="419"/>
      <c r="Z19" s="419"/>
      <c r="AA19" s="465"/>
      <c r="AB19" s="421"/>
      <c r="AC19" s="427"/>
      <c r="AD19" s="428"/>
      <c r="AE19" s="483"/>
      <c r="AF19" s="30"/>
      <c r="AG19" s="418"/>
      <c r="AH19" s="419"/>
      <c r="AI19" s="419"/>
      <c r="AJ19" s="419"/>
      <c r="AK19" s="420"/>
      <c r="AL19" s="436">
        <v>0</v>
      </c>
      <c r="AM19" s="437"/>
      <c r="AN19" s="438"/>
      <c r="AO19" s="425"/>
      <c r="AP19" s="30"/>
      <c r="AQ19" s="436">
        <v>0</v>
      </c>
      <c r="AR19" s="438">
        <v>0</v>
      </c>
      <c r="AS19" s="436">
        <v>0</v>
      </c>
      <c r="AT19" s="437"/>
      <c r="AU19" s="438"/>
      <c r="AV19" s="449"/>
      <c r="AX19" s="18"/>
      <c r="AY19" s="20"/>
      <c r="AZ19" s="34">
        <v>100</v>
      </c>
      <c r="BA19" s="33"/>
      <c r="BB19" s="34">
        <v>2000</v>
      </c>
      <c r="BC19" s="34">
        <v>5700</v>
      </c>
      <c r="BD19" s="34">
        <v>736</v>
      </c>
      <c r="BE19" s="70">
        <v>5700</v>
      </c>
      <c r="BF19" s="382">
        <f>AVERAGE(BG19,BH19)</f>
        <v>1368</v>
      </c>
      <c r="BG19" s="382">
        <v>736</v>
      </c>
      <c r="BH19" s="52">
        <v>2000</v>
      </c>
      <c r="BI19" s="270">
        <f>BE19</f>
        <v>5700</v>
      </c>
      <c r="BJ19" s="270">
        <v>5700</v>
      </c>
      <c r="BK19" s="270">
        <f>BG19</f>
        <v>736</v>
      </c>
      <c r="BL19" s="160" t="s">
        <v>231</v>
      </c>
    </row>
    <row r="20" spans="1:64" ht="58" x14ac:dyDescent="0.35">
      <c r="A20" s="21" t="s">
        <v>71</v>
      </c>
      <c r="B20" s="87"/>
      <c r="C20" s="14"/>
      <c r="D20" s="23"/>
      <c r="E20" s="38"/>
      <c r="F20" s="25">
        <v>200</v>
      </c>
      <c r="G20" s="26"/>
      <c r="H20" s="26"/>
      <c r="I20" s="30"/>
      <c r="J20" s="410"/>
      <c r="K20" s="411"/>
      <c r="L20" s="411"/>
      <c r="M20" s="411"/>
      <c r="N20" s="411"/>
      <c r="O20" s="411"/>
      <c r="P20" s="492"/>
      <c r="Q20" s="493">
        <v>0</v>
      </c>
      <c r="R20" s="493">
        <v>0</v>
      </c>
      <c r="S20" s="493">
        <v>0</v>
      </c>
      <c r="T20" s="408"/>
      <c r="U20" s="101"/>
      <c r="V20" s="82"/>
      <c r="W20" s="14"/>
      <c r="X20" s="14"/>
      <c r="Y20" s="14"/>
      <c r="Z20" s="14"/>
      <c r="AA20" s="59">
        <v>109</v>
      </c>
      <c r="AB20" s="62">
        <f>AVERAGE(109,F20)</f>
        <v>154.5</v>
      </c>
      <c r="AC20" s="27">
        <v>109</v>
      </c>
      <c r="AD20" s="374">
        <f>F20</f>
        <v>200</v>
      </c>
      <c r="AE20" s="482" t="s">
        <v>224</v>
      </c>
      <c r="AF20" s="30"/>
      <c r="AG20" s="22"/>
      <c r="AH20" s="14"/>
      <c r="AI20" s="14"/>
      <c r="AJ20" s="14"/>
      <c r="AK20" s="206">
        <v>1</v>
      </c>
      <c r="AL20" s="56">
        <v>1</v>
      </c>
      <c r="AM20" s="56">
        <v>1</v>
      </c>
      <c r="AN20" s="455">
        <v>1</v>
      </c>
      <c r="AO20" s="445" t="s">
        <v>150</v>
      </c>
      <c r="AP20" s="30"/>
      <c r="AQ20" s="436">
        <v>0</v>
      </c>
      <c r="AR20" s="438">
        <v>0</v>
      </c>
      <c r="AS20" s="436">
        <v>0</v>
      </c>
      <c r="AT20" s="437"/>
      <c r="AU20" s="438"/>
      <c r="AV20" s="449"/>
      <c r="AX20" s="18"/>
      <c r="AY20" s="20"/>
      <c r="AZ20" s="51">
        <v>3761</v>
      </c>
      <c r="BA20" s="33"/>
      <c r="BB20" s="34">
        <v>200</v>
      </c>
      <c r="BC20" s="34">
        <v>56</v>
      </c>
      <c r="BD20" s="51">
        <v>200</v>
      </c>
      <c r="BE20" s="70">
        <v>56</v>
      </c>
      <c r="BF20" s="381">
        <f>BD20</f>
        <v>200</v>
      </c>
      <c r="BG20" s="381">
        <v>200</v>
      </c>
      <c r="BH20" s="381">
        <f t="shared" ref="BH20" si="2">BF20</f>
        <v>200</v>
      </c>
      <c r="BI20" s="81">
        <v>56</v>
      </c>
      <c r="BJ20" s="81">
        <v>56</v>
      </c>
      <c r="BK20" s="81">
        <v>56</v>
      </c>
      <c r="BL20" s="160" t="s">
        <v>232</v>
      </c>
    </row>
    <row r="21" spans="1:64" x14ac:dyDescent="0.35">
      <c r="A21" s="66" t="s">
        <v>38</v>
      </c>
      <c r="B21" s="87"/>
      <c r="C21" s="14"/>
      <c r="D21" s="23"/>
      <c r="E21" s="38"/>
      <c r="F21" s="39"/>
      <c r="G21" s="26"/>
      <c r="H21" s="26"/>
      <c r="I21" s="30"/>
      <c r="J21" s="410"/>
      <c r="K21" s="411"/>
      <c r="L21" s="411"/>
      <c r="M21" s="411"/>
      <c r="N21" s="411"/>
      <c r="O21" s="411"/>
      <c r="P21" s="492"/>
      <c r="Q21" s="493">
        <v>0</v>
      </c>
      <c r="R21" s="493">
        <v>0</v>
      </c>
      <c r="S21" s="493">
        <v>0</v>
      </c>
      <c r="T21" s="408"/>
      <c r="U21" s="101"/>
      <c r="V21" s="418"/>
      <c r="W21" s="419"/>
      <c r="X21" s="419"/>
      <c r="Y21" s="419"/>
      <c r="Z21" s="419"/>
      <c r="AA21" s="465"/>
      <c r="AB21" s="421"/>
      <c r="AC21" s="427"/>
      <c r="AD21" s="428"/>
      <c r="AE21" s="483"/>
      <c r="AF21" s="30"/>
      <c r="AG21" s="418"/>
      <c r="AH21" s="419"/>
      <c r="AI21" s="419"/>
      <c r="AJ21" s="419"/>
      <c r="AK21" s="420"/>
      <c r="AL21" s="418"/>
      <c r="AM21" s="419"/>
      <c r="AN21" s="420"/>
      <c r="AO21" s="425"/>
      <c r="AP21" s="30"/>
      <c r="AQ21" s="436">
        <v>0</v>
      </c>
      <c r="AR21" s="438">
        <v>0</v>
      </c>
      <c r="AS21" s="436">
        <v>0</v>
      </c>
      <c r="AT21" s="437"/>
      <c r="AU21" s="438"/>
      <c r="AV21" s="449"/>
      <c r="AX21" s="259"/>
      <c r="AY21" s="246"/>
      <c r="AZ21" s="100"/>
      <c r="BA21" s="258"/>
      <c r="BB21" s="100"/>
      <c r="BC21" s="100"/>
      <c r="BD21" s="100"/>
      <c r="BE21" s="100"/>
      <c r="BF21" s="487"/>
      <c r="BG21" s="246"/>
      <c r="BH21" s="258"/>
      <c r="BI21" s="487"/>
      <c r="BJ21" s="488"/>
      <c r="BK21" s="489"/>
      <c r="BL21" s="313"/>
    </row>
    <row r="22" spans="1:64" ht="21" customHeight="1" x14ac:dyDescent="0.35">
      <c r="A22" s="21" t="s">
        <v>39</v>
      </c>
      <c r="B22" s="87"/>
      <c r="C22" s="14"/>
      <c r="D22" s="24">
        <v>1</v>
      </c>
      <c r="E22" s="38"/>
      <c r="F22" s="72">
        <v>1800</v>
      </c>
      <c r="G22" s="26"/>
      <c r="H22" s="26"/>
      <c r="I22" s="30"/>
      <c r="J22" s="22"/>
      <c r="K22" s="14"/>
      <c r="L22" s="60">
        <v>1043.48</v>
      </c>
      <c r="M22" s="14"/>
      <c r="N22" s="14"/>
      <c r="O22" s="43">
        <v>1</v>
      </c>
      <c r="P22" s="44" t="s">
        <v>40</v>
      </c>
      <c r="Q22" s="126">
        <v>1.3</v>
      </c>
      <c r="R22" s="114">
        <v>1</v>
      </c>
      <c r="S22" s="127">
        <f>1800</f>
        <v>1800</v>
      </c>
      <c r="T22" s="29" t="s">
        <v>218</v>
      </c>
      <c r="U22" s="101"/>
      <c r="V22" s="82"/>
      <c r="W22" s="14"/>
      <c r="X22" s="14"/>
      <c r="Y22" s="14"/>
      <c r="Z22" s="14"/>
      <c r="AA22" s="466">
        <v>16</v>
      </c>
      <c r="AB22" s="55">
        <v>16</v>
      </c>
      <c r="AC22" s="54">
        <v>16</v>
      </c>
      <c r="AD22" s="373">
        <v>16</v>
      </c>
      <c r="AE22" s="29" t="s">
        <v>150</v>
      </c>
      <c r="AF22" s="30"/>
      <c r="AG22" s="418"/>
      <c r="AH22" s="419"/>
      <c r="AI22" s="419"/>
      <c r="AJ22" s="419"/>
      <c r="AK22" s="420"/>
      <c r="AL22" s="418"/>
      <c r="AM22" s="419"/>
      <c r="AN22" s="420"/>
      <c r="AO22" s="425"/>
      <c r="AP22" s="30"/>
      <c r="AQ22" s="436">
        <v>0</v>
      </c>
      <c r="AR22" s="438">
        <v>0</v>
      </c>
      <c r="AS22" s="436"/>
      <c r="AT22" s="437"/>
      <c r="AU22" s="438"/>
      <c r="AV22" s="449"/>
      <c r="AX22" s="75">
        <v>940</v>
      </c>
      <c r="AY22" s="28">
        <v>1800</v>
      </c>
      <c r="AZ22" s="51">
        <v>1</v>
      </c>
      <c r="BA22" s="33"/>
      <c r="BB22" s="34">
        <v>940</v>
      </c>
      <c r="BC22" s="34">
        <v>1800</v>
      </c>
      <c r="BD22" s="51">
        <v>471</v>
      </c>
      <c r="BE22" s="70">
        <v>1800</v>
      </c>
      <c r="BF22" s="270">
        <f>AVERAGE(AX22,BD22)</f>
        <v>705.5</v>
      </c>
      <c r="BG22" s="37">
        <v>471</v>
      </c>
      <c r="BH22" s="37">
        <v>940</v>
      </c>
      <c r="BI22" s="270">
        <f>1800</f>
        <v>1800</v>
      </c>
      <c r="BJ22" s="270">
        <f>1800</f>
        <v>1800</v>
      </c>
      <c r="BK22" s="270">
        <f>1800</f>
        <v>1800</v>
      </c>
      <c r="BL22" s="160" t="s">
        <v>233</v>
      </c>
    </row>
    <row r="23" spans="1:64" x14ac:dyDescent="0.35">
      <c r="A23" s="21" t="s">
        <v>41</v>
      </c>
      <c r="B23" s="87"/>
      <c r="C23" s="14"/>
      <c r="D23" s="23"/>
      <c r="E23" s="38"/>
      <c r="F23" s="26"/>
      <c r="G23" s="26"/>
      <c r="H23" s="26"/>
      <c r="I23" s="30"/>
      <c r="J23" s="410"/>
      <c r="K23" s="411"/>
      <c r="L23" s="411"/>
      <c r="M23" s="411"/>
      <c r="N23" s="411"/>
      <c r="O23" s="411"/>
      <c r="P23" s="492"/>
      <c r="Q23" s="496"/>
      <c r="R23" s="497"/>
      <c r="S23" s="498"/>
      <c r="T23" s="408"/>
      <c r="U23" s="101"/>
      <c r="V23" s="418"/>
      <c r="W23" s="419"/>
      <c r="X23" s="419"/>
      <c r="Y23" s="419"/>
      <c r="Z23" s="419"/>
      <c r="AA23" s="465"/>
      <c r="AB23" s="421"/>
      <c r="AC23" s="427"/>
      <c r="AD23" s="428"/>
      <c r="AE23" s="483"/>
      <c r="AF23" s="30"/>
      <c r="AG23" s="418"/>
      <c r="AH23" s="419"/>
      <c r="AI23" s="419"/>
      <c r="AJ23" s="419"/>
      <c r="AK23" s="420"/>
      <c r="AL23" s="436">
        <v>0</v>
      </c>
      <c r="AM23" s="437"/>
      <c r="AN23" s="438"/>
      <c r="AO23" s="425"/>
      <c r="AP23" s="30"/>
      <c r="AQ23" s="436">
        <v>0</v>
      </c>
      <c r="AR23" s="438">
        <v>0</v>
      </c>
      <c r="AS23" s="436">
        <v>0</v>
      </c>
      <c r="AT23" s="437"/>
      <c r="AU23" s="438"/>
      <c r="AV23" s="449"/>
      <c r="AX23" s="18"/>
      <c r="AY23" s="20"/>
      <c r="AZ23" s="37">
        <v>1145</v>
      </c>
      <c r="BA23" s="76">
        <v>2183</v>
      </c>
      <c r="BB23" s="34"/>
      <c r="BC23" s="34"/>
      <c r="BD23" s="34"/>
      <c r="BE23" s="70">
        <v>140</v>
      </c>
      <c r="BF23" s="11"/>
      <c r="BG23" s="11"/>
      <c r="BH23" s="78"/>
      <c r="BI23" s="382">
        <v>140</v>
      </c>
      <c r="BJ23" s="382">
        <v>140</v>
      </c>
      <c r="BK23" s="382">
        <v>140</v>
      </c>
      <c r="BL23" s="160" t="s">
        <v>234</v>
      </c>
    </row>
    <row r="24" spans="1:64" x14ac:dyDescent="0.35">
      <c r="A24" s="52" t="s">
        <v>42</v>
      </c>
      <c r="B24" s="87"/>
      <c r="C24" s="27">
        <v>8600</v>
      </c>
      <c r="D24" s="24">
        <v>7897</v>
      </c>
      <c r="E24" s="38"/>
      <c r="F24" s="39"/>
      <c r="G24" s="26"/>
      <c r="H24" s="26"/>
      <c r="I24" s="30"/>
      <c r="J24" s="22"/>
      <c r="K24" s="27">
        <v>8600</v>
      </c>
      <c r="L24" s="14"/>
      <c r="M24" s="14"/>
      <c r="N24" s="14"/>
      <c r="O24" s="14"/>
      <c r="P24" s="41"/>
      <c r="Q24" s="68">
        <v>8600</v>
      </c>
      <c r="R24" s="499">
        <v>7897</v>
      </c>
      <c r="S24" s="68">
        <v>8600</v>
      </c>
      <c r="T24" s="29" t="s">
        <v>220</v>
      </c>
      <c r="U24" s="101"/>
      <c r="V24" s="82"/>
      <c r="W24" s="14"/>
      <c r="X24" s="40">
        <v>8600</v>
      </c>
      <c r="Y24" s="14"/>
      <c r="Z24" s="14"/>
      <c r="AA24" s="31"/>
      <c r="AB24" s="55">
        <v>8600</v>
      </c>
      <c r="AC24" s="54">
        <v>8600</v>
      </c>
      <c r="AD24" s="373">
        <v>8600</v>
      </c>
      <c r="AE24" s="29" t="s">
        <v>150</v>
      </c>
      <c r="AF24" s="30"/>
      <c r="AG24" s="22"/>
      <c r="AH24" s="40">
        <v>8600</v>
      </c>
      <c r="AI24" s="14"/>
      <c r="AJ24" s="14"/>
      <c r="AK24" s="205"/>
      <c r="AL24" s="56">
        <v>8600</v>
      </c>
      <c r="AM24" s="56">
        <v>8600</v>
      </c>
      <c r="AN24" s="455">
        <v>8600</v>
      </c>
      <c r="AO24" s="445" t="s">
        <v>150</v>
      </c>
      <c r="AP24" s="30"/>
      <c r="AQ24" s="56">
        <v>8600</v>
      </c>
      <c r="AR24" s="455"/>
      <c r="AS24" s="56">
        <v>8600</v>
      </c>
      <c r="AT24" s="56">
        <v>8600</v>
      </c>
      <c r="AU24" s="455">
        <v>8600</v>
      </c>
      <c r="AV24" s="29" t="s">
        <v>150</v>
      </c>
      <c r="AX24" s="77"/>
      <c r="AY24" s="11"/>
      <c r="AZ24" s="51">
        <v>100</v>
      </c>
      <c r="BA24" s="78"/>
      <c r="BB24" s="70"/>
      <c r="BC24" s="70"/>
      <c r="BD24" s="34"/>
      <c r="BE24" s="70"/>
      <c r="BF24" s="381">
        <v>100</v>
      </c>
      <c r="BG24" s="381">
        <v>100</v>
      </c>
      <c r="BH24" s="381">
        <v>100</v>
      </c>
      <c r="BI24" s="381">
        <v>100</v>
      </c>
      <c r="BJ24" s="381">
        <v>100</v>
      </c>
      <c r="BK24" s="381">
        <v>100</v>
      </c>
      <c r="BL24" s="160" t="s">
        <v>150</v>
      </c>
    </row>
    <row r="25" spans="1:64" x14ac:dyDescent="0.35">
      <c r="A25" s="66" t="s">
        <v>43</v>
      </c>
      <c r="B25" s="87"/>
      <c r="C25" s="40"/>
      <c r="D25" s="23"/>
      <c r="E25" s="38"/>
      <c r="F25" s="39"/>
      <c r="G25" s="26"/>
      <c r="H25" s="26"/>
      <c r="I25" s="30"/>
      <c r="J25" s="410"/>
      <c r="K25" s="411"/>
      <c r="L25" s="411"/>
      <c r="M25" s="411"/>
      <c r="N25" s="411"/>
      <c r="O25" s="411"/>
      <c r="P25" s="492"/>
      <c r="Q25" s="496"/>
      <c r="R25" s="497"/>
      <c r="S25" s="498"/>
      <c r="T25" s="408"/>
      <c r="U25" s="101"/>
      <c r="V25" s="418"/>
      <c r="W25" s="419"/>
      <c r="X25" s="419"/>
      <c r="Y25" s="419"/>
      <c r="Z25" s="419"/>
      <c r="AA25" s="465"/>
      <c r="AB25" s="421"/>
      <c r="AC25" s="427"/>
      <c r="AD25" s="428"/>
      <c r="AE25" s="483"/>
      <c r="AF25" s="30"/>
      <c r="AG25" s="418"/>
      <c r="AH25" s="419"/>
      <c r="AI25" s="419"/>
      <c r="AJ25" s="419"/>
      <c r="AK25" s="420"/>
      <c r="AL25" s="418"/>
      <c r="AM25" s="419"/>
      <c r="AN25" s="420"/>
      <c r="AO25" s="425"/>
      <c r="AP25" s="30"/>
      <c r="AQ25" s="436">
        <v>0</v>
      </c>
      <c r="AR25" s="438">
        <v>0</v>
      </c>
      <c r="AS25" s="436">
        <v>0</v>
      </c>
      <c r="AT25" s="437"/>
      <c r="AU25" s="438"/>
      <c r="AV25" s="449"/>
      <c r="AX25" s="259"/>
      <c r="AY25" s="246"/>
      <c r="AZ25" s="100"/>
      <c r="BA25" s="258"/>
      <c r="BB25" s="100"/>
      <c r="BC25" s="100"/>
      <c r="BD25" s="100"/>
      <c r="BE25" s="100"/>
      <c r="BF25" s="487"/>
      <c r="BG25" s="246"/>
      <c r="BH25" s="258"/>
      <c r="BI25" s="487"/>
      <c r="BJ25" s="488"/>
      <c r="BK25" s="489"/>
      <c r="BL25" s="313"/>
    </row>
    <row r="26" spans="1:64" ht="43.5" x14ac:dyDescent="0.35">
      <c r="A26" s="37" t="s">
        <v>44</v>
      </c>
      <c r="B26" s="87"/>
      <c r="C26" s="14"/>
      <c r="D26" s="23"/>
      <c r="E26" s="38"/>
      <c r="F26" s="39"/>
      <c r="G26" s="26"/>
      <c r="H26" s="26"/>
      <c r="I26" s="30"/>
      <c r="J26" s="410"/>
      <c r="K26" s="411"/>
      <c r="L26" s="411"/>
      <c r="M26" s="411"/>
      <c r="N26" s="411"/>
      <c r="O26" s="411"/>
      <c r="P26" s="492"/>
      <c r="Q26" s="493"/>
      <c r="R26" s="494"/>
      <c r="S26" s="495"/>
      <c r="T26" s="408"/>
      <c r="U26" s="101"/>
      <c r="V26" s="418"/>
      <c r="W26" s="419"/>
      <c r="X26" s="419"/>
      <c r="Y26" s="419"/>
      <c r="Z26" s="419"/>
      <c r="AA26" s="465"/>
      <c r="AB26" s="421"/>
      <c r="AC26" s="427"/>
      <c r="AD26" s="428"/>
      <c r="AE26" s="483"/>
      <c r="AF26" s="30"/>
      <c r="AG26" s="42">
        <v>161</v>
      </c>
      <c r="AH26" s="27">
        <v>35</v>
      </c>
      <c r="AI26" s="43">
        <v>161</v>
      </c>
      <c r="AJ26" s="27">
        <v>41</v>
      </c>
      <c r="AK26" s="155">
        <v>61</v>
      </c>
      <c r="AL26" s="62">
        <f>AVERAGE(AG26:AK26)</f>
        <v>91.8</v>
      </c>
      <c r="AM26" s="61">
        <f>MIN(AG26:AK26)</f>
        <v>35</v>
      </c>
      <c r="AN26" s="374">
        <f>MAX(AG26:AK26)</f>
        <v>161</v>
      </c>
      <c r="AO26" s="445" t="s">
        <v>215</v>
      </c>
      <c r="AP26" s="30"/>
      <c r="AQ26" s="436">
        <v>0</v>
      </c>
      <c r="AR26" s="438">
        <v>0</v>
      </c>
      <c r="AS26" s="436">
        <v>0</v>
      </c>
      <c r="AT26" s="437"/>
      <c r="AU26" s="438"/>
      <c r="AV26" s="449"/>
      <c r="AX26" s="259"/>
      <c r="AY26" s="246"/>
      <c r="AZ26" s="100"/>
      <c r="BA26" s="258"/>
      <c r="BB26" s="100"/>
      <c r="BC26" s="100"/>
      <c r="BD26" s="100"/>
      <c r="BE26" s="100"/>
      <c r="BF26" s="487"/>
      <c r="BG26" s="246"/>
      <c r="BH26" s="258"/>
      <c r="BI26" s="487"/>
      <c r="BJ26" s="488"/>
      <c r="BK26" s="489"/>
      <c r="BL26" s="313"/>
    </row>
    <row r="27" spans="1:64" x14ac:dyDescent="0.35">
      <c r="A27" s="37" t="s">
        <v>45</v>
      </c>
      <c r="B27" s="87"/>
      <c r="C27" s="14"/>
      <c r="D27" s="24">
        <v>3948</v>
      </c>
      <c r="E27" s="38"/>
      <c r="F27" s="39"/>
      <c r="G27" s="26"/>
      <c r="H27" s="26"/>
      <c r="I27" s="30"/>
      <c r="J27" s="69">
        <v>6630</v>
      </c>
      <c r="K27" s="27">
        <v>4000</v>
      </c>
      <c r="L27" s="79"/>
      <c r="M27" s="27">
        <v>6629</v>
      </c>
      <c r="N27" s="14"/>
      <c r="O27" s="27">
        <v>6428</v>
      </c>
      <c r="P27" s="41"/>
      <c r="Q27" s="68">
        <f>SUM(M27,K27,J27,O27)/4</f>
        <v>5921.75</v>
      </c>
      <c r="R27" s="106" t="e">
        <f>#REF!</f>
        <v>#REF!</v>
      </c>
      <c r="S27" s="128">
        <f>J27</f>
        <v>6630</v>
      </c>
      <c r="T27" s="29" t="s">
        <v>215</v>
      </c>
      <c r="U27" s="101"/>
      <c r="V27" s="418"/>
      <c r="W27" s="419"/>
      <c r="X27" s="419"/>
      <c r="Y27" s="419"/>
      <c r="Z27" s="419"/>
      <c r="AA27" s="465"/>
      <c r="AB27" s="421"/>
      <c r="AC27" s="427"/>
      <c r="AD27" s="428"/>
      <c r="AE27" s="483"/>
      <c r="AF27" s="30"/>
      <c r="AG27" s="418"/>
      <c r="AH27" s="419"/>
      <c r="AI27" s="419"/>
      <c r="AJ27" s="419"/>
      <c r="AK27" s="420"/>
      <c r="AL27" s="436">
        <v>0</v>
      </c>
      <c r="AM27" s="437"/>
      <c r="AN27" s="438"/>
      <c r="AO27" s="313"/>
      <c r="AP27" s="30"/>
      <c r="AQ27" s="56">
        <v>150</v>
      </c>
      <c r="AR27" s="462">
        <v>0</v>
      </c>
      <c r="AS27" s="56">
        <v>150</v>
      </c>
      <c r="AT27" s="56">
        <v>150</v>
      </c>
      <c r="AU27" s="455">
        <v>150</v>
      </c>
      <c r="AV27" s="29" t="s">
        <v>150</v>
      </c>
      <c r="AX27" s="259"/>
      <c r="AY27" s="246"/>
      <c r="AZ27" s="100"/>
      <c r="BA27" s="258"/>
      <c r="BB27" s="100"/>
      <c r="BC27" s="100"/>
      <c r="BD27" s="100"/>
      <c r="BE27" s="100"/>
      <c r="BF27" s="487"/>
      <c r="BG27" s="246"/>
      <c r="BH27" s="258"/>
      <c r="BI27" s="487"/>
      <c r="BJ27" s="488"/>
      <c r="BK27" s="489"/>
      <c r="BL27" s="313"/>
    </row>
    <row r="28" spans="1:64" x14ac:dyDescent="0.35">
      <c r="A28" s="37" t="s">
        <v>46</v>
      </c>
      <c r="B28" s="31"/>
      <c r="C28" s="14"/>
      <c r="D28" s="85">
        <v>79</v>
      </c>
      <c r="E28" s="38"/>
      <c r="F28" s="39"/>
      <c r="G28" s="26"/>
      <c r="H28" s="26"/>
      <c r="I28" s="30"/>
      <c r="J28" s="69">
        <v>36</v>
      </c>
      <c r="K28" s="27">
        <v>20</v>
      </c>
      <c r="L28" s="27">
        <v>25.5</v>
      </c>
      <c r="M28" s="27">
        <v>36</v>
      </c>
      <c r="N28" s="27">
        <v>10</v>
      </c>
      <c r="O28" s="27">
        <v>30</v>
      </c>
      <c r="P28" s="41" t="s">
        <v>47</v>
      </c>
      <c r="Q28" s="68">
        <f>(K28+M28+L28+N28+O28)/5</f>
        <v>24.3</v>
      </c>
      <c r="R28" s="106">
        <v>10</v>
      </c>
      <c r="S28" s="128">
        <v>80</v>
      </c>
      <c r="T28" s="29" t="s">
        <v>215</v>
      </c>
      <c r="U28" s="101"/>
      <c r="V28" s="418"/>
      <c r="W28" s="419"/>
      <c r="X28" s="419"/>
      <c r="Y28" s="419"/>
      <c r="Z28" s="419"/>
      <c r="AA28" s="465"/>
      <c r="AB28" s="266"/>
      <c r="AC28" s="267"/>
      <c r="AD28" s="485"/>
      <c r="AE28" s="483"/>
      <c r="AF28" s="30"/>
      <c r="AG28" s="418"/>
      <c r="AH28" s="419"/>
      <c r="AI28" s="419"/>
      <c r="AJ28" s="419"/>
      <c r="AK28" s="420"/>
      <c r="AL28" s="436">
        <v>0</v>
      </c>
      <c r="AM28" s="437"/>
      <c r="AN28" s="438"/>
      <c r="AO28" s="425"/>
      <c r="AP28" s="30"/>
      <c r="AQ28" s="441">
        <v>0</v>
      </c>
      <c r="AR28" s="443">
        <v>0</v>
      </c>
      <c r="AS28" s="441">
        <v>0</v>
      </c>
      <c r="AT28" s="442"/>
      <c r="AU28" s="443"/>
      <c r="AV28" s="449"/>
      <c r="AX28" s="81">
        <v>13</v>
      </c>
      <c r="AY28" s="35">
        <v>16</v>
      </c>
      <c r="AZ28" s="21">
        <v>2000</v>
      </c>
      <c r="BA28" s="33"/>
      <c r="BB28" s="34">
        <v>13</v>
      </c>
      <c r="BC28" s="34">
        <v>16</v>
      </c>
      <c r="BD28" s="34">
        <v>8</v>
      </c>
      <c r="BE28" s="34">
        <v>12</v>
      </c>
      <c r="BF28" s="270">
        <f>AVERAGE(BD28,AX28)</f>
        <v>10.5</v>
      </c>
      <c r="BG28" s="28">
        <f>MIN(BD28,BB28,AX28)</f>
        <v>8</v>
      </c>
      <c r="BH28" s="76">
        <f>MAX(BD28,BB28,AX28)</f>
        <v>13</v>
      </c>
      <c r="BI28" s="270">
        <f>AVERAGE(BE28,AY28)</f>
        <v>14</v>
      </c>
      <c r="BJ28" s="28">
        <f>MIN(BE28,BC28,AY28)</f>
        <v>12</v>
      </c>
      <c r="BK28" s="76">
        <f>MAX(BE28,BC28,AY28)</f>
        <v>16</v>
      </c>
      <c r="BL28" s="160"/>
    </row>
    <row r="29" spans="1:64" ht="13" customHeight="1" x14ac:dyDescent="0.35">
      <c r="A29" s="37" t="s">
        <v>48</v>
      </c>
      <c r="B29" s="59">
        <f>84.9*80000/100</f>
        <v>67920</v>
      </c>
      <c r="C29" s="27">
        <v>67900</v>
      </c>
      <c r="D29" s="23"/>
      <c r="E29" s="38"/>
      <c r="F29" s="72">
        <v>1200000</v>
      </c>
      <c r="G29" s="26"/>
      <c r="H29" s="26"/>
      <c r="I29" s="30"/>
      <c r="J29" s="22"/>
      <c r="K29" s="27">
        <v>67900</v>
      </c>
      <c r="L29" s="27">
        <f>L16*98/100</f>
        <v>89108.361999999994</v>
      </c>
      <c r="M29" s="14"/>
      <c r="N29" s="14"/>
      <c r="O29" s="14"/>
      <c r="P29" s="41"/>
      <c r="Q29" s="126">
        <f>AVERAGE(K29:L29,B29)</f>
        <v>74976.120666666669</v>
      </c>
      <c r="R29" s="114">
        <f>K29</f>
        <v>67900</v>
      </c>
      <c r="S29" s="127">
        <f>F29</f>
        <v>1200000</v>
      </c>
      <c r="T29" s="29" t="s">
        <v>221</v>
      </c>
      <c r="U29" s="101"/>
      <c r="V29" s="82"/>
      <c r="W29" s="14"/>
      <c r="X29" s="40">
        <v>67900</v>
      </c>
      <c r="Y29" s="14"/>
      <c r="Z29" s="14"/>
      <c r="AA29" s="31"/>
      <c r="AB29" s="55">
        <v>67900</v>
      </c>
      <c r="AC29" s="54">
        <v>67900</v>
      </c>
      <c r="AD29" s="373">
        <v>67900</v>
      </c>
      <c r="AE29" s="29" t="s">
        <v>150</v>
      </c>
      <c r="AF29" s="30"/>
      <c r="AG29" s="22"/>
      <c r="AH29" s="40">
        <v>67900</v>
      </c>
      <c r="AI29" s="14"/>
      <c r="AJ29" s="14"/>
      <c r="AK29" s="205"/>
      <c r="AL29" s="56">
        <v>67900</v>
      </c>
      <c r="AM29" s="56">
        <v>67900</v>
      </c>
      <c r="AN29" s="455">
        <v>67900</v>
      </c>
      <c r="AO29" s="445" t="s">
        <v>150</v>
      </c>
      <c r="AP29" s="30"/>
      <c r="AQ29" s="56">
        <v>67900</v>
      </c>
      <c r="AR29" s="455"/>
      <c r="AS29" s="56">
        <v>67900</v>
      </c>
      <c r="AT29" s="56">
        <v>67900</v>
      </c>
      <c r="AU29" s="455">
        <v>67900</v>
      </c>
      <c r="AV29" s="29" t="s">
        <v>150</v>
      </c>
      <c r="AX29" s="18"/>
      <c r="AY29" s="20"/>
      <c r="AZ29" s="34"/>
      <c r="BA29" s="33"/>
      <c r="BB29" s="34"/>
      <c r="BC29" s="34"/>
      <c r="BD29" s="34">
        <v>583333</v>
      </c>
      <c r="BE29" s="70">
        <v>393000</v>
      </c>
      <c r="BF29" s="271"/>
      <c r="BG29" s="11"/>
      <c r="BH29" s="78"/>
      <c r="BI29" s="271"/>
      <c r="BJ29" s="50"/>
      <c r="BK29" s="384"/>
      <c r="BL29" s="160" t="s">
        <v>49</v>
      </c>
    </row>
    <row r="30" spans="1:64" x14ac:dyDescent="0.35">
      <c r="A30" s="21" t="s">
        <v>50</v>
      </c>
      <c r="B30" s="87"/>
      <c r="C30" s="26"/>
      <c r="D30" s="23"/>
      <c r="E30" s="38"/>
      <c r="F30" s="26"/>
      <c r="G30" s="26"/>
      <c r="H30" s="26"/>
      <c r="I30" s="30"/>
      <c r="J30" s="410"/>
      <c r="K30" s="411"/>
      <c r="L30" s="411"/>
      <c r="M30" s="411"/>
      <c r="N30" s="411"/>
      <c r="O30" s="411"/>
      <c r="P30" s="492"/>
      <c r="Q30" s="496"/>
      <c r="R30" s="497"/>
      <c r="S30" s="498"/>
      <c r="T30" s="408"/>
      <c r="U30" s="101"/>
      <c r="V30" s="418"/>
      <c r="W30" s="419"/>
      <c r="X30" s="419"/>
      <c r="Y30" s="419"/>
      <c r="Z30" s="419"/>
      <c r="AA30" s="465"/>
      <c r="AB30" s="421"/>
      <c r="AC30" s="427"/>
      <c r="AD30" s="428"/>
      <c r="AE30" s="483"/>
      <c r="AF30" s="30"/>
      <c r="AG30" s="418"/>
      <c r="AH30" s="419"/>
      <c r="AI30" s="419"/>
      <c r="AJ30" s="419"/>
      <c r="AK30" s="420"/>
      <c r="AL30" s="418"/>
      <c r="AM30" s="419"/>
      <c r="AN30" s="420"/>
      <c r="AO30" s="425"/>
      <c r="AP30" s="30"/>
      <c r="AQ30" s="436">
        <v>0</v>
      </c>
      <c r="AR30" s="438">
        <v>0</v>
      </c>
      <c r="AS30" s="436">
        <v>0</v>
      </c>
      <c r="AT30" s="437"/>
      <c r="AU30" s="438"/>
      <c r="AV30" s="449"/>
      <c r="AX30" s="18"/>
      <c r="AY30" s="20"/>
      <c r="AZ30" s="34"/>
      <c r="BA30" s="33"/>
      <c r="BB30" s="34"/>
      <c r="BC30" s="34"/>
      <c r="BD30" s="34"/>
      <c r="BE30" s="70"/>
      <c r="BF30" s="271"/>
      <c r="BG30" s="11"/>
      <c r="BH30" s="78"/>
      <c r="BI30" s="271"/>
      <c r="BJ30" s="50"/>
      <c r="BK30" s="384"/>
      <c r="BL30" s="160"/>
    </row>
    <row r="31" spans="1:64" ht="87" x14ac:dyDescent="0.35">
      <c r="A31" s="21" t="s">
        <v>51</v>
      </c>
      <c r="B31" s="87"/>
      <c r="C31" s="14"/>
      <c r="D31" s="23"/>
      <c r="E31" s="38"/>
      <c r="F31" s="39"/>
      <c r="G31" s="26"/>
      <c r="H31" s="26"/>
      <c r="I31" s="30"/>
      <c r="J31" s="410"/>
      <c r="K31" s="411"/>
      <c r="L31" s="411"/>
      <c r="M31" s="411"/>
      <c r="N31" s="411"/>
      <c r="O31" s="411"/>
      <c r="P31" s="492"/>
      <c r="Q31" s="136"/>
      <c r="R31" s="135"/>
      <c r="S31" s="156"/>
      <c r="T31" s="413" t="s">
        <v>52</v>
      </c>
      <c r="U31" s="101"/>
      <c r="V31" s="204">
        <v>15.2</v>
      </c>
      <c r="W31" s="43">
        <v>156</v>
      </c>
      <c r="X31" s="27">
        <v>52</v>
      </c>
      <c r="Y31" s="27">
        <v>156</v>
      </c>
      <c r="Z31" s="27">
        <v>70</v>
      </c>
      <c r="AA31" s="59">
        <v>92</v>
      </c>
      <c r="AB31" s="62">
        <f>AVERAGE(X31:AA31,V31)</f>
        <v>77.039999999999992</v>
      </c>
      <c r="AC31" s="61">
        <f>MIN(W31:AA31)</f>
        <v>52</v>
      </c>
      <c r="AD31" s="374">
        <f>MAX(W31:AA31)</f>
        <v>156</v>
      </c>
      <c r="AE31" s="482" t="s">
        <v>227</v>
      </c>
      <c r="AF31" s="30"/>
      <c r="AG31" s="418"/>
      <c r="AH31" s="419"/>
      <c r="AI31" s="419"/>
      <c r="AJ31" s="419"/>
      <c r="AK31" s="420"/>
      <c r="AL31" s="436">
        <v>0</v>
      </c>
      <c r="AM31" s="437"/>
      <c r="AN31" s="438"/>
      <c r="AO31" s="425"/>
      <c r="AP31" s="30"/>
      <c r="AQ31" s="436">
        <v>0</v>
      </c>
      <c r="AR31" s="438">
        <v>0</v>
      </c>
      <c r="AS31" s="436">
        <v>0</v>
      </c>
      <c r="AT31" s="437"/>
      <c r="AU31" s="438"/>
      <c r="AV31" s="449"/>
      <c r="AX31" s="259"/>
      <c r="AY31" s="246"/>
      <c r="AZ31" s="100"/>
      <c r="BA31" s="258"/>
      <c r="BB31" s="100"/>
      <c r="BC31" s="100"/>
      <c r="BD31" s="100"/>
      <c r="BE31" s="100"/>
      <c r="BF31" s="487"/>
      <c r="BG31" s="246"/>
      <c r="BH31" s="258"/>
      <c r="BI31" s="487"/>
      <c r="BJ31" s="488"/>
      <c r="BK31" s="489"/>
      <c r="BL31" s="313"/>
    </row>
    <row r="32" spans="1:64" x14ac:dyDescent="0.35">
      <c r="A32" s="66" t="s">
        <v>53</v>
      </c>
      <c r="B32" s="87"/>
      <c r="C32" s="14"/>
      <c r="D32" s="23"/>
      <c r="E32" s="38"/>
      <c r="F32" s="39"/>
      <c r="G32" s="26"/>
      <c r="H32" s="26"/>
      <c r="I32" s="30"/>
      <c r="J32" s="410"/>
      <c r="K32" s="411"/>
      <c r="L32" s="411"/>
      <c r="M32" s="411"/>
      <c r="N32" s="411"/>
      <c r="O32" s="411"/>
      <c r="P32" s="492"/>
      <c r="Q32" s="136"/>
      <c r="R32" s="135"/>
      <c r="S32" s="156"/>
      <c r="T32" s="409"/>
      <c r="U32" s="101"/>
      <c r="V32" s="418"/>
      <c r="W32" s="427"/>
      <c r="X32" s="427"/>
      <c r="Y32" s="427"/>
      <c r="Z32" s="427"/>
      <c r="AA32" s="480"/>
      <c r="AB32" s="421"/>
      <c r="AC32" s="427"/>
      <c r="AD32" s="428"/>
      <c r="AE32" s="483"/>
      <c r="AF32" s="30"/>
      <c r="AG32" s="418"/>
      <c r="AH32" s="419"/>
      <c r="AI32" s="419"/>
      <c r="AJ32" s="419"/>
      <c r="AK32" s="420"/>
      <c r="AL32" s="436">
        <v>0</v>
      </c>
      <c r="AM32" s="437"/>
      <c r="AN32" s="438"/>
      <c r="AO32" s="425"/>
      <c r="AP32" s="30"/>
      <c r="AQ32" s="436">
        <v>0</v>
      </c>
      <c r="AR32" s="438">
        <v>0</v>
      </c>
      <c r="AS32" s="436">
        <v>0</v>
      </c>
      <c r="AT32" s="437"/>
      <c r="AU32" s="438"/>
      <c r="AV32" s="449"/>
      <c r="AX32" s="259"/>
      <c r="AY32" s="246"/>
      <c r="AZ32" s="100"/>
      <c r="BA32" s="258"/>
      <c r="BB32" s="100"/>
      <c r="BC32" s="100"/>
      <c r="BD32" s="100"/>
      <c r="BE32" s="100"/>
      <c r="BF32" s="487"/>
      <c r="BG32" s="246"/>
      <c r="BH32" s="258"/>
      <c r="BI32" s="487"/>
      <c r="BJ32" s="488"/>
      <c r="BK32" s="489"/>
      <c r="BL32" s="313"/>
    </row>
    <row r="33" spans="1:64" x14ac:dyDescent="0.35">
      <c r="A33" s="21" t="s">
        <v>54</v>
      </c>
      <c r="B33" s="87"/>
      <c r="C33" s="14"/>
      <c r="D33" s="23"/>
      <c r="E33" s="24">
        <v>332</v>
      </c>
      <c r="F33" s="39"/>
      <c r="G33" s="26"/>
      <c r="H33" s="26"/>
      <c r="I33" s="30"/>
      <c r="J33" s="22"/>
      <c r="K33" s="14"/>
      <c r="L33" s="43">
        <v>10</v>
      </c>
      <c r="M33" s="14"/>
      <c r="N33" s="14"/>
      <c r="O33" s="14"/>
      <c r="P33" s="37">
        <v>577</v>
      </c>
      <c r="Q33" s="500">
        <f>AVERAGE(P33,E33)</f>
        <v>454.5</v>
      </c>
      <c r="R33" s="501">
        <v>10</v>
      </c>
      <c r="S33" s="502">
        <f>P33</f>
        <v>577</v>
      </c>
      <c r="T33" s="416" t="s">
        <v>222</v>
      </c>
      <c r="U33" s="30"/>
      <c r="V33" s="82"/>
      <c r="W33" s="14"/>
      <c r="X33" s="14"/>
      <c r="Y33" s="14"/>
      <c r="Z33" s="14"/>
      <c r="AA33" s="31"/>
      <c r="AB33" s="53">
        <v>332</v>
      </c>
      <c r="AC33" s="40">
        <v>332</v>
      </c>
      <c r="AD33" s="206">
        <v>332</v>
      </c>
      <c r="AE33" s="29" t="s">
        <v>150</v>
      </c>
      <c r="AF33" s="30"/>
      <c r="AG33" s="22"/>
      <c r="AH33" s="14"/>
      <c r="AI33" s="14"/>
      <c r="AJ33" s="14"/>
      <c r="AK33" s="205"/>
      <c r="AL33" s="53">
        <v>332</v>
      </c>
      <c r="AM33" s="426">
        <v>332</v>
      </c>
      <c r="AN33" s="456">
        <v>332</v>
      </c>
      <c r="AO33" s="445" t="s">
        <v>150</v>
      </c>
      <c r="AP33" s="30"/>
      <c r="AQ33" s="46">
        <v>0</v>
      </c>
      <c r="AR33" s="462">
        <v>0</v>
      </c>
      <c r="AS33" s="53">
        <v>332</v>
      </c>
      <c r="AT33" s="426">
        <v>332</v>
      </c>
      <c r="AU33" s="456">
        <v>332</v>
      </c>
      <c r="AV33" s="29" t="s">
        <v>150</v>
      </c>
      <c r="AX33" s="259"/>
      <c r="AY33" s="246"/>
      <c r="AZ33" s="100"/>
      <c r="BA33" s="258"/>
      <c r="BB33" s="100"/>
      <c r="BC33" s="100"/>
      <c r="BD33" s="100"/>
      <c r="BE33" s="100"/>
      <c r="BF33" s="487"/>
      <c r="BG33" s="246"/>
      <c r="BH33" s="258"/>
      <c r="BI33" s="487"/>
      <c r="BJ33" s="488"/>
      <c r="BK33" s="489"/>
      <c r="BL33" s="313"/>
    </row>
    <row r="34" spans="1:64" x14ac:dyDescent="0.35">
      <c r="A34" s="21" t="s">
        <v>55</v>
      </c>
      <c r="B34" s="87"/>
      <c r="C34" s="14"/>
      <c r="D34" s="23"/>
      <c r="E34" s="85"/>
      <c r="F34" s="39"/>
      <c r="G34" s="26"/>
      <c r="H34" s="26"/>
      <c r="I34" s="30"/>
      <c r="J34" s="410"/>
      <c r="K34" s="411"/>
      <c r="L34" s="411"/>
      <c r="M34" s="411"/>
      <c r="N34" s="411"/>
      <c r="O34" s="411"/>
      <c r="P34" s="492"/>
      <c r="Q34" s="503"/>
      <c r="R34" s="504"/>
      <c r="S34" s="505"/>
      <c r="T34" s="414"/>
      <c r="U34" s="30"/>
      <c r="V34" s="418"/>
      <c r="W34" s="419"/>
      <c r="X34" s="419"/>
      <c r="Y34" s="419"/>
      <c r="Z34" s="419"/>
      <c r="AA34" s="465"/>
      <c r="AB34" s="266"/>
      <c r="AC34" s="267"/>
      <c r="AD34" s="485"/>
      <c r="AE34" s="467"/>
      <c r="AF34" s="30"/>
      <c r="AG34" s="418"/>
      <c r="AH34" s="419"/>
      <c r="AI34" s="419"/>
      <c r="AJ34" s="419"/>
      <c r="AK34" s="420"/>
      <c r="AL34" s="436">
        <v>0</v>
      </c>
      <c r="AM34" s="437"/>
      <c r="AN34" s="438"/>
      <c r="AO34" s="425"/>
      <c r="AP34" s="30"/>
      <c r="AQ34" s="436">
        <v>0</v>
      </c>
      <c r="AR34" s="438">
        <v>0</v>
      </c>
      <c r="AS34" s="436">
        <v>0</v>
      </c>
      <c r="AT34" s="437"/>
      <c r="AU34" s="438"/>
      <c r="AV34" s="449"/>
      <c r="AX34" s="259"/>
      <c r="AY34" s="246"/>
      <c r="AZ34" s="100"/>
      <c r="BA34" s="258"/>
      <c r="BB34" s="100"/>
      <c r="BC34" s="100"/>
      <c r="BD34" s="100"/>
      <c r="BE34" s="100"/>
      <c r="BF34" s="487"/>
      <c r="BG34" s="246"/>
      <c r="BH34" s="258"/>
      <c r="BI34" s="487"/>
      <c r="BJ34" s="488"/>
      <c r="BK34" s="489"/>
      <c r="BL34" s="313"/>
    </row>
    <row r="35" spans="1:64" x14ac:dyDescent="0.35">
      <c r="A35" s="21" t="s">
        <v>72</v>
      </c>
      <c r="B35" s="87"/>
      <c r="C35" s="14"/>
      <c r="D35" s="23"/>
      <c r="E35" s="38"/>
      <c r="F35" s="73">
        <v>2</v>
      </c>
      <c r="G35" s="26"/>
      <c r="H35" s="26"/>
      <c r="I35" s="30"/>
      <c r="J35" s="22"/>
      <c r="K35" s="14"/>
      <c r="L35" s="43">
        <v>1.0999999999999999E-2</v>
      </c>
      <c r="M35" s="14"/>
      <c r="N35" s="14"/>
      <c r="O35" s="14"/>
      <c r="P35" s="41"/>
      <c r="Q35" s="503"/>
      <c r="R35" s="504"/>
      <c r="S35" s="505"/>
      <c r="T35" s="414"/>
      <c r="U35" s="30"/>
      <c r="V35" s="418"/>
      <c r="W35" s="419"/>
      <c r="X35" s="419"/>
      <c r="Y35" s="419"/>
      <c r="Z35" s="419"/>
      <c r="AA35" s="465"/>
      <c r="AB35" s="266"/>
      <c r="AC35" s="267"/>
      <c r="AD35" s="485"/>
      <c r="AE35" s="467"/>
      <c r="AF35" s="30"/>
      <c r="AG35" s="418"/>
      <c r="AH35" s="419"/>
      <c r="AI35" s="419"/>
      <c r="AJ35" s="419"/>
      <c r="AK35" s="420"/>
      <c r="AL35" s="436">
        <v>0</v>
      </c>
      <c r="AM35" s="437"/>
      <c r="AN35" s="438"/>
      <c r="AO35" s="425"/>
      <c r="AP35" s="30"/>
      <c r="AQ35" s="441">
        <v>0</v>
      </c>
      <c r="AR35" s="443">
        <v>0</v>
      </c>
      <c r="AS35" s="441">
        <v>0</v>
      </c>
      <c r="AT35" s="442"/>
      <c r="AU35" s="443"/>
      <c r="AV35" s="449"/>
      <c r="AX35" s="259"/>
      <c r="AY35" s="246"/>
      <c r="AZ35" s="100"/>
      <c r="BA35" s="258"/>
      <c r="BB35" s="100"/>
      <c r="BC35" s="100"/>
      <c r="BD35" s="100">
        <v>2</v>
      </c>
      <c r="BE35" s="100">
        <v>2</v>
      </c>
      <c r="BF35" s="259">
        <v>2</v>
      </c>
      <c r="BG35" s="246"/>
      <c r="BH35" s="258"/>
      <c r="BI35" s="259">
        <v>2</v>
      </c>
      <c r="BJ35" s="246"/>
      <c r="BK35" s="258"/>
      <c r="BL35" s="313"/>
    </row>
    <row r="36" spans="1:64" x14ac:dyDescent="0.35">
      <c r="A36" s="37" t="s">
        <v>56</v>
      </c>
      <c r="B36" s="87"/>
      <c r="C36" s="14"/>
      <c r="D36" s="23"/>
      <c r="E36" s="38"/>
      <c r="F36" s="39"/>
      <c r="G36" s="26"/>
      <c r="H36" s="26"/>
      <c r="I36" s="30"/>
      <c r="J36" s="410"/>
      <c r="K36" s="411"/>
      <c r="L36" s="411"/>
      <c r="M36" s="411"/>
      <c r="N36" s="411"/>
      <c r="O36" s="411"/>
      <c r="P36" s="137"/>
      <c r="Q36" s="503"/>
      <c r="R36" s="504"/>
      <c r="S36" s="505"/>
      <c r="T36" s="414"/>
      <c r="U36" s="30"/>
      <c r="V36" s="418"/>
      <c r="W36" s="419"/>
      <c r="X36" s="419"/>
      <c r="Y36" s="419"/>
      <c r="Z36" s="419"/>
      <c r="AA36" s="465"/>
      <c r="AB36" s="266"/>
      <c r="AC36" s="267"/>
      <c r="AD36" s="485"/>
      <c r="AE36" s="467"/>
      <c r="AF36" s="30"/>
      <c r="AG36" s="418"/>
      <c r="AH36" s="419"/>
      <c r="AI36" s="419"/>
      <c r="AJ36" s="419"/>
      <c r="AK36" s="420"/>
      <c r="AL36" s="436">
        <v>0</v>
      </c>
      <c r="AM36" s="437"/>
      <c r="AN36" s="438"/>
      <c r="AO36" s="425"/>
      <c r="AP36" s="30"/>
      <c r="AQ36" s="441">
        <v>0</v>
      </c>
      <c r="AR36" s="443">
        <v>0</v>
      </c>
      <c r="AS36" s="441">
        <v>0</v>
      </c>
      <c r="AT36" s="442"/>
      <c r="AU36" s="443"/>
      <c r="AV36" s="449"/>
      <c r="AX36" s="259"/>
      <c r="AY36" s="246"/>
      <c r="AZ36" s="100"/>
      <c r="BA36" s="258"/>
      <c r="BB36" s="100"/>
      <c r="BC36" s="100"/>
      <c r="BD36" s="100"/>
      <c r="BE36" s="100"/>
      <c r="BF36" s="259"/>
      <c r="BG36" s="246"/>
      <c r="BH36" s="258"/>
      <c r="BI36" s="259"/>
      <c r="BJ36" s="246"/>
      <c r="BK36" s="258"/>
      <c r="BL36" s="313"/>
    </row>
    <row r="37" spans="1:64" ht="58" x14ac:dyDescent="0.35">
      <c r="A37" s="21" t="s">
        <v>57</v>
      </c>
      <c r="B37" s="87"/>
      <c r="C37" s="14"/>
      <c r="D37" s="24">
        <v>30</v>
      </c>
      <c r="E37" s="24">
        <v>56</v>
      </c>
      <c r="F37" s="25">
        <v>1400</v>
      </c>
      <c r="G37" s="26"/>
      <c r="H37" s="26"/>
      <c r="I37" s="30"/>
      <c r="J37" s="22"/>
      <c r="K37" s="14"/>
      <c r="L37" s="27">
        <v>2523.04</v>
      </c>
      <c r="M37" s="14"/>
      <c r="N37" s="14"/>
      <c r="O37" s="14"/>
      <c r="P37" s="41"/>
      <c r="Q37" s="506" t="e">
        <f>AVERAGE(L37,D37,(E37+F37),#REF!)</f>
        <v>#REF!</v>
      </c>
      <c r="R37" s="501" t="e">
        <f>#REF!</f>
        <v>#REF!</v>
      </c>
      <c r="S37" s="501">
        <f>L37</f>
        <v>2523.04</v>
      </c>
      <c r="T37" s="417" t="s">
        <v>223</v>
      </c>
      <c r="U37" s="30"/>
      <c r="V37" s="82"/>
      <c r="W37" s="14"/>
      <c r="X37" s="14"/>
      <c r="Y37" s="14"/>
      <c r="Z37" s="14"/>
      <c r="AA37" s="31"/>
      <c r="AB37" s="42" t="e">
        <f>AVERAGE(D37,(E37+F37),#REF!)</f>
        <v>#REF!</v>
      </c>
      <c r="AC37" s="43" t="e">
        <f>#REF!</f>
        <v>#REF!</v>
      </c>
      <c r="AD37" s="164">
        <f>F37</f>
        <v>1400</v>
      </c>
      <c r="AE37" s="417" t="s">
        <v>223</v>
      </c>
      <c r="AF37" s="30"/>
      <c r="AG37" s="22"/>
      <c r="AH37" s="14"/>
      <c r="AI37" s="14"/>
      <c r="AJ37" s="14"/>
      <c r="AK37" s="205"/>
      <c r="AL37" s="42">
        <v>505.33</v>
      </c>
      <c r="AM37" s="43">
        <v>29.99</v>
      </c>
      <c r="AN37" s="164">
        <v>1400</v>
      </c>
      <c r="AO37" s="367" t="s">
        <v>223</v>
      </c>
      <c r="AP37" s="30"/>
      <c r="AQ37" s="32">
        <v>0</v>
      </c>
      <c r="AR37" s="463">
        <v>0</v>
      </c>
      <c r="AS37" s="42">
        <v>505.33</v>
      </c>
      <c r="AT37" s="43">
        <v>29.99</v>
      </c>
      <c r="AU37" s="164">
        <v>1400</v>
      </c>
      <c r="AV37" s="450" t="s">
        <v>223</v>
      </c>
      <c r="AX37" s="18"/>
      <c r="AY37" s="20"/>
      <c r="AZ37" s="51">
        <v>100</v>
      </c>
      <c r="BA37" s="33"/>
      <c r="BB37" s="34"/>
      <c r="BC37" s="34"/>
      <c r="BD37" s="51">
        <v>650</v>
      </c>
      <c r="BE37" s="34">
        <v>1400</v>
      </c>
      <c r="BF37" s="81">
        <f>BD37</f>
        <v>650</v>
      </c>
      <c r="BG37" s="51">
        <v>650</v>
      </c>
      <c r="BH37" s="51">
        <v>650</v>
      </c>
      <c r="BI37" s="81">
        <f>BE37</f>
        <v>1400</v>
      </c>
      <c r="BJ37" s="51">
        <v>1400</v>
      </c>
      <c r="BK37" s="51">
        <v>1400</v>
      </c>
      <c r="BL37" s="160" t="s">
        <v>58</v>
      </c>
    </row>
    <row r="38" spans="1:64" ht="15" thickBot="1" x14ac:dyDescent="0.4">
      <c r="A38" s="37" t="s">
        <v>59</v>
      </c>
      <c r="B38" s="522"/>
      <c r="C38" s="616"/>
      <c r="D38" s="26"/>
      <c r="E38" s="26"/>
      <c r="F38" s="26"/>
      <c r="G38" s="26"/>
      <c r="H38" s="26"/>
      <c r="I38" s="30"/>
      <c r="J38" s="410"/>
      <c r="K38" s="411"/>
      <c r="L38" s="411"/>
      <c r="M38" s="411"/>
      <c r="N38" s="411"/>
      <c r="O38" s="411"/>
      <c r="P38" s="492"/>
      <c r="Q38" s="503"/>
      <c r="R38" s="504"/>
      <c r="S38" s="505"/>
      <c r="T38" s="415"/>
      <c r="U38" s="30"/>
      <c r="V38" s="429"/>
      <c r="W38" s="430"/>
      <c r="X38" s="430"/>
      <c r="Y38" s="430"/>
      <c r="Z38" s="430"/>
      <c r="AA38" s="481"/>
      <c r="AB38" s="262"/>
      <c r="AC38" s="260"/>
      <c r="AD38" s="261"/>
      <c r="AE38" s="484"/>
      <c r="AF38" s="30"/>
      <c r="AG38" s="429"/>
      <c r="AH38" s="430"/>
      <c r="AI38" s="430"/>
      <c r="AJ38" s="430"/>
      <c r="AK38" s="431"/>
      <c r="AL38" s="476">
        <v>0</v>
      </c>
      <c r="AM38" s="477"/>
      <c r="AN38" s="478"/>
      <c r="AO38" s="479"/>
      <c r="AP38" s="30"/>
      <c r="AQ38" s="457">
        <v>0</v>
      </c>
      <c r="AR38" s="459">
        <v>0</v>
      </c>
      <c r="AS38" s="457">
        <v>0</v>
      </c>
      <c r="AT38" s="458"/>
      <c r="AU38" s="459"/>
      <c r="AV38" s="451"/>
      <c r="AX38" s="259"/>
      <c r="AY38" s="246"/>
      <c r="AZ38" s="100"/>
      <c r="BA38" s="258"/>
      <c r="BB38" s="100"/>
      <c r="BC38" s="100"/>
      <c r="BD38" s="100"/>
      <c r="BE38" s="100"/>
      <c r="BF38" s="259"/>
      <c r="BG38" s="246"/>
      <c r="BH38" s="258"/>
      <c r="BI38" s="259"/>
      <c r="BJ38" s="246"/>
      <c r="BK38" s="258"/>
      <c r="BL38" s="313"/>
    </row>
    <row r="39" spans="1:64" s="1" customFormat="1" ht="15" thickBot="1" x14ac:dyDescent="0.4">
      <c r="AX39" s="510"/>
      <c r="AY39" s="511"/>
      <c r="AZ39" s="514"/>
      <c r="BA39" s="512"/>
      <c r="BB39" s="514"/>
      <c r="BC39" s="514"/>
      <c r="BD39" s="514"/>
      <c r="BE39" s="514"/>
      <c r="BF39" s="515"/>
      <c r="BG39" s="11"/>
      <c r="BH39" s="78"/>
      <c r="BI39" s="515"/>
      <c r="BJ39" s="516"/>
      <c r="BK39" s="517"/>
      <c r="BL39" s="161"/>
    </row>
    <row r="40" spans="1:64" s="1" customFormat="1" x14ac:dyDescent="0.35">
      <c r="BF40" s="375"/>
      <c r="BG40" s="375"/>
      <c r="BH40" s="375"/>
      <c r="BI40" s="375"/>
      <c r="BJ40" s="375"/>
      <c r="BK40" s="375"/>
    </row>
    <row r="41" spans="1:64" s="1" customFormat="1" x14ac:dyDescent="0.35"/>
    <row r="42" spans="1:64" s="1" customFormat="1" x14ac:dyDescent="0.35"/>
    <row r="43" spans="1:64" s="1" customFormat="1" x14ac:dyDescent="0.35"/>
    <row r="44" spans="1:64" s="1" customFormat="1" x14ac:dyDescent="0.35"/>
    <row r="45" spans="1:64" s="1" customFormat="1" x14ac:dyDescent="0.35"/>
    <row r="46" spans="1:64" s="1" customFormat="1" x14ac:dyDescent="0.35"/>
    <row r="47" spans="1:64" s="1" customFormat="1" x14ac:dyDescent="0.35"/>
    <row r="48" spans="1:64" s="1" customFormat="1" x14ac:dyDescent="0.35"/>
    <row r="49" spans="58:63" s="1" customFormat="1" x14ac:dyDescent="0.35"/>
    <row r="50" spans="58:63" s="1" customFormat="1" x14ac:dyDescent="0.35"/>
    <row r="51" spans="58:63" s="1" customFormat="1" x14ac:dyDescent="0.35"/>
    <row r="52" spans="58:63" s="1" customFormat="1" x14ac:dyDescent="0.35"/>
    <row r="53" spans="58:63" s="1" customFormat="1" x14ac:dyDescent="0.35"/>
    <row r="54" spans="58:63" s="1" customFormat="1" x14ac:dyDescent="0.35"/>
    <row r="55" spans="58:63" s="1" customFormat="1" x14ac:dyDescent="0.35"/>
    <row r="56" spans="58:63" s="1" customFormat="1" x14ac:dyDescent="0.35"/>
    <row r="57" spans="58:63" s="1" customFormat="1" x14ac:dyDescent="0.35"/>
    <row r="58" spans="58:63" s="1" customFormat="1" x14ac:dyDescent="0.35"/>
    <row r="59" spans="58:63" s="1" customFormat="1" x14ac:dyDescent="0.35"/>
    <row r="60" spans="58:63" s="1" customFormat="1" x14ac:dyDescent="0.35"/>
    <row r="61" spans="58:63" s="1" customFormat="1" x14ac:dyDescent="0.35">
      <c r="BF61" s="375"/>
      <c r="BG61" s="375"/>
      <c r="BH61" s="375"/>
      <c r="BI61" s="375"/>
      <c r="BJ61" s="375"/>
      <c r="BK61" s="375"/>
    </row>
    <row r="62" spans="58:63" s="1" customFormat="1" x14ac:dyDescent="0.35">
      <c r="BF62" s="375"/>
      <c r="BG62" s="375"/>
      <c r="BH62" s="375"/>
      <c r="BI62" s="375"/>
      <c r="BJ62" s="375"/>
      <c r="BK62" s="375"/>
    </row>
    <row r="63" spans="58:63" s="1" customFormat="1" x14ac:dyDescent="0.35">
      <c r="BF63" s="375"/>
      <c r="BG63" s="375"/>
      <c r="BH63" s="375"/>
      <c r="BI63" s="375"/>
      <c r="BJ63" s="375"/>
      <c r="BK63" s="375"/>
    </row>
    <row r="64" spans="58:63" s="1" customFormat="1" x14ac:dyDescent="0.35">
      <c r="BF64" s="375"/>
      <c r="BG64" s="375"/>
      <c r="BH64" s="375"/>
      <c r="BI64" s="375"/>
      <c r="BJ64" s="375"/>
      <c r="BK64" s="375"/>
    </row>
    <row r="65" spans="58:63" s="1" customFormat="1" x14ac:dyDescent="0.35">
      <c r="BF65" s="375"/>
      <c r="BG65" s="375"/>
      <c r="BH65" s="375"/>
      <c r="BI65" s="375"/>
      <c r="BJ65" s="375"/>
      <c r="BK65" s="375"/>
    </row>
    <row r="66" spans="58:63" s="1" customFormat="1" x14ac:dyDescent="0.35">
      <c r="BF66" s="375"/>
      <c r="BG66" s="375"/>
      <c r="BH66" s="375"/>
      <c r="BI66" s="375"/>
      <c r="BJ66" s="375"/>
      <c r="BK66" s="375"/>
    </row>
    <row r="67" spans="58:63" s="1" customFormat="1" x14ac:dyDescent="0.35">
      <c r="BF67" s="375"/>
      <c r="BG67" s="375"/>
      <c r="BH67" s="375"/>
      <c r="BI67" s="375"/>
      <c r="BJ67" s="375"/>
      <c r="BK67" s="375"/>
    </row>
    <row r="68" spans="58:63" s="1" customFormat="1" x14ac:dyDescent="0.35">
      <c r="BF68" s="375"/>
      <c r="BG68" s="375"/>
      <c r="BH68" s="375"/>
      <c r="BI68" s="375"/>
      <c r="BJ68" s="375"/>
      <c r="BK68" s="375"/>
    </row>
    <row r="69" spans="58:63" s="1" customFormat="1" x14ac:dyDescent="0.35">
      <c r="BF69" s="375"/>
      <c r="BG69" s="375"/>
      <c r="BH69" s="375"/>
      <c r="BI69" s="375"/>
      <c r="BJ69" s="375"/>
      <c r="BK69" s="375"/>
    </row>
    <row r="70" spans="58:63" s="1" customFormat="1" x14ac:dyDescent="0.35">
      <c r="BF70" s="375"/>
      <c r="BG70" s="375"/>
      <c r="BH70" s="375"/>
      <c r="BI70" s="375"/>
      <c r="BJ70" s="375"/>
      <c r="BK70" s="375"/>
    </row>
    <row r="71" spans="58:63" s="1" customFormat="1" x14ac:dyDescent="0.35">
      <c r="BF71" s="375"/>
      <c r="BG71" s="375"/>
      <c r="BH71" s="375"/>
      <c r="BI71" s="375"/>
      <c r="BJ71" s="375"/>
      <c r="BK71" s="375"/>
    </row>
    <row r="72" spans="58:63" s="1" customFormat="1" x14ac:dyDescent="0.35">
      <c r="BF72" s="375"/>
      <c r="BG72" s="375"/>
      <c r="BH72" s="375"/>
      <c r="BI72" s="375"/>
      <c r="BJ72" s="375"/>
      <c r="BK72" s="375"/>
    </row>
    <row r="73" spans="58:63" s="1" customFormat="1" x14ac:dyDescent="0.35">
      <c r="BF73" s="375"/>
      <c r="BG73" s="375"/>
      <c r="BH73" s="375"/>
      <c r="BI73" s="375"/>
      <c r="BJ73" s="375"/>
      <c r="BK73" s="375"/>
    </row>
    <row r="74" spans="58:63" s="1" customFormat="1" x14ac:dyDescent="0.35">
      <c r="BF74" s="375"/>
      <c r="BG74" s="375"/>
      <c r="BH74" s="375"/>
      <c r="BI74" s="375"/>
      <c r="BJ74" s="375"/>
      <c r="BK74" s="375"/>
    </row>
    <row r="75" spans="58:63" s="1" customFormat="1" x14ac:dyDescent="0.35">
      <c r="BF75" s="375"/>
      <c r="BG75" s="375"/>
      <c r="BH75" s="375"/>
      <c r="BI75" s="375"/>
      <c r="BJ75" s="375"/>
      <c r="BK75" s="375"/>
    </row>
    <row r="76" spans="58:63" s="1" customFormat="1" x14ac:dyDescent="0.35">
      <c r="BF76" s="375"/>
      <c r="BG76" s="375"/>
      <c r="BH76" s="375"/>
      <c r="BI76" s="375"/>
      <c r="BJ76" s="375"/>
      <c r="BK76" s="375"/>
    </row>
    <row r="77" spans="58:63" s="1" customFormat="1" x14ac:dyDescent="0.35">
      <c r="BF77" s="375"/>
      <c r="BG77" s="375"/>
      <c r="BH77" s="375"/>
      <c r="BI77" s="375"/>
      <c r="BJ77" s="375"/>
      <c r="BK77" s="375"/>
    </row>
    <row r="78" spans="58:63" s="1" customFormat="1" x14ac:dyDescent="0.35">
      <c r="BF78" s="375"/>
      <c r="BG78" s="375"/>
      <c r="BH78" s="375"/>
      <c r="BI78" s="375"/>
      <c r="BJ78" s="375"/>
      <c r="BK78" s="375"/>
    </row>
    <row r="79" spans="58:63" s="1" customFormat="1" x14ac:dyDescent="0.35">
      <c r="BF79" s="375"/>
      <c r="BG79" s="375"/>
      <c r="BH79" s="375"/>
      <c r="BI79" s="375"/>
      <c r="BJ79" s="375"/>
      <c r="BK79" s="375"/>
    </row>
    <row r="80" spans="58:63" s="1" customFormat="1" x14ac:dyDescent="0.35">
      <c r="BF80" s="375"/>
      <c r="BG80" s="375"/>
      <c r="BH80" s="375"/>
      <c r="BI80" s="375"/>
      <c r="BJ80" s="375"/>
      <c r="BK80" s="375"/>
    </row>
    <row r="81" spans="58:63" s="1" customFormat="1" x14ac:dyDescent="0.35">
      <c r="BF81" s="375"/>
      <c r="BG81" s="375"/>
      <c r="BH81" s="375"/>
      <c r="BI81" s="375"/>
      <c r="BJ81" s="375"/>
      <c r="BK81" s="375"/>
    </row>
    <row r="82" spans="58:63" s="1" customFormat="1" x14ac:dyDescent="0.35">
      <c r="BF82" s="375"/>
      <c r="BG82" s="375"/>
      <c r="BH82" s="375"/>
      <c r="BI82" s="375"/>
      <c r="BJ82" s="375"/>
      <c r="BK82" s="375"/>
    </row>
    <row r="83" spans="58:63" s="1" customFormat="1" x14ac:dyDescent="0.35">
      <c r="BF83" s="375"/>
      <c r="BG83" s="375"/>
      <c r="BH83" s="375"/>
      <c r="BI83" s="375"/>
      <c r="BJ83" s="375"/>
      <c r="BK83" s="375"/>
    </row>
    <row r="84" spans="58:63" s="1" customFormat="1" x14ac:dyDescent="0.35">
      <c r="BF84" s="375"/>
      <c r="BG84" s="375"/>
      <c r="BH84" s="375"/>
      <c r="BI84" s="375"/>
      <c r="BJ84" s="375"/>
      <c r="BK84" s="375"/>
    </row>
    <row r="85" spans="58:63" s="1" customFormat="1" x14ac:dyDescent="0.35">
      <c r="BF85" s="375"/>
      <c r="BG85" s="375"/>
      <c r="BH85" s="375"/>
      <c r="BI85" s="375"/>
      <c r="BJ85" s="375"/>
      <c r="BK85" s="375"/>
    </row>
    <row r="86" spans="58:63" s="1" customFormat="1" x14ac:dyDescent="0.35">
      <c r="BF86" s="375"/>
      <c r="BG86" s="375"/>
      <c r="BH86" s="375"/>
      <c r="BI86" s="375"/>
      <c r="BJ86" s="375"/>
      <c r="BK86" s="375"/>
    </row>
    <row r="87" spans="58:63" s="1" customFormat="1" x14ac:dyDescent="0.35">
      <c r="BF87" s="375"/>
      <c r="BG87" s="375"/>
      <c r="BH87" s="375"/>
      <c r="BI87" s="375"/>
      <c r="BJ87" s="375"/>
      <c r="BK87" s="375"/>
    </row>
    <row r="88" spans="58:63" s="1" customFormat="1" x14ac:dyDescent="0.35">
      <c r="BF88" s="375"/>
      <c r="BG88" s="375"/>
      <c r="BH88" s="375"/>
      <c r="BI88" s="375"/>
      <c r="BJ88" s="375"/>
      <c r="BK88" s="375"/>
    </row>
    <row r="89" spans="58:63" s="1" customFormat="1" x14ac:dyDescent="0.35">
      <c r="BF89" s="375"/>
      <c r="BG89" s="375"/>
      <c r="BH89" s="375"/>
      <c r="BI89" s="375"/>
      <c r="BJ89" s="375"/>
      <c r="BK89" s="375"/>
    </row>
    <row r="90" spans="58:63" s="1" customFormat="1" x14ac:dyDescent="0.35">
      <c r="BF90" s="375"/>
      <c r="BG90" s="375"/>
      <c r="BH90" s="375"/>
      <c r="BI90" s="375"/>
      <c r="BJ90" s="375"/>
      <c r="BK90" s="375"/>
    </row>
    <row r="91" spans="58:63" s="1" customFormat="1" x14ac:dyDescent="0.35">
      <c r="BF91" s="375"/>
      <c r="BG91" s="375"/>
      <c r="BH91" s="375"/>
      <c r="BI91" s="375"/>
      <c r="BJ91" s="375"/>
      <c r="BK91" s="375"/>
    </row>
    <row r="92" spans="58:63" s="1" customFormat="1" x14ac:dyDescent="0.35">
      <c r="BF92" s="375"/>
      <c r="BG92" s="375"/>
      <c r="BH92" s="375"/>
      <c r="BI92" s="375"/>
      <c r="BJ92" s="375"/>
      <c r="BK92" s="375"/>
    </row>
    <row r="93" spans="58:63" s="1" customFormat="1" x14ac:dyDescent="0.35">
      <c r="BF93" s="375"/>
      <c r="BG93" s="375"/>
      <c r="BH93" s="375"/>
      <c r="BI93" s="375"/>
      <c r="BJ93" s="375"/>
      <c r="BK93" s="375"/>
    </row>
    <row r="94" spans="58:63" s="1" customFormat="1" x14ac:dyDescent="0.35">
      <c r="BF94" s="375"/>
      <c r="BG94" s="375"/>
      <c r="BH94" s="375"/>
      <c r="BI94" s="375"/>
      <c r="BJ94" s="375"/>
      <c r="BK94" s="375"/>
    </row>
    <row r="95" spans="58:63" s="1" customFormat="1" x14ac:dyDescent="0.35">
      <c r="BF95" s="375"/>
      <c r="BG95" s="375"/>
      <c r="BH95" s="375"/>
      <c r="BI95" s="375"/>
      <c r="BJ95" s="375"/>
      <c r="BK95" s="375"/>
    </row>
    <row r="96" spans="58:63" s="1" customFormat="1" x14ac:dyDescent="0.35">
      <c r="BF96" s="375"/>
      <c r="BG96" s="375"/>
      <c r="BH96" s="375"/>
      <c r="BI96" s="375"/>
      <c r="BJ96" s="375"/>
      <c r="BK96" s="375"/>
    </row>
    <row r="97" spans="58:63" s="1" customFormat="1" x14ac:dyDescent="0.35">
      <c r="BF97" s="375"/>
      <c r="BG97" s="375"/>
      <c r="BH97" s="375"/>
      <c r="BI97" s="375"/>
      <c r="BJ97" s="375"/>
      <c r="BK97" s="375"/>
    </row>
    <row r="98" spans="58:63" s="1" customFormat="1" x14ac:dyDescent="0.35">
      <c r="BF98" s="375"/>
      <c r="BG98" s="375"/>
      <c r="BH98" s="375"/>
      <c r="BI98" s="375"/>
      <c r="BJ98" s="375"/>
      <c r="BK98" s="375"/>
    </row>
    <row r="99" spans="58:63" s="1" customFormat="1" x14ac:dyDescent="0.35">
      <c r="BF99" s="375"/>
      <c r="BG99" s="375"/>
      <c r="BH99" s="375"/>
      <c r="BI99" s="375"/>
      <c r="BJ99" s="375"/>
      <c r="BK99" s="375"/>
    </row>
    <row r="100" spans="58:63" s="1" customFormat="1" x14ac:dyDescent="0.35">
      <c r="BF100" s="375"/>
      <c r="BG100" s="375"/>
      <c r="BH100" s="375"/>
      <c r="BI100" s="375"/>
      <c r="BJ100" s="375"/>
      <c r="BK100" s="375"/>
    </row>
    <row r="101" spans="58:63" s="1" customFormat="1" x14ac:dyDescent="0.35">
      <c r="BF101" s="375"/>
      <c r="BG101" s="375"/>
      <c r="BH101" s="375"/>
      <c r="BI101" s="375"/>
      <c r="BJ101" s="375"/>
      <c r="BK101" s="375"/>
    </row>
    <row r="102" spans="58:63" s="1" customFormat="1" x14ac:dyDescent="0.35">
      <c r="BF102" s="375"/>
      <c r="BG102" s="375"/>
      <c r="BH102" s="375"/>
      <c r="BI102" s="375"/>
      <c r="BJ102" s="375"/>
      <c r="BK102" s="375"/>
    </row>
    <row r="103" spans="58:63" s="1" customFormat="1" x14ac:dyDescent="0.35">
      <c r="BF103" s="375"/>
      <c r="BG103" s="375"/>
      <c r="BH103" s="375"/>
      <c r="BI103" s="375"/>
      <c r="BJ103" s="375"/>
      <c r="BK103" s="375"/>
    </row>
    <row r="104" spans="58:63" s="1" customFormat="1" x14ac:dyDescent="0.35">
      <c r="BF104" s="375"/>
      <c r="BG104" s="375"/>
      <c r="BH104" s="375"/>
      <c r="BI104" s="375"/>
      <c r="BJ104" s="375"/>
      <c r="BK104" s="375"/>
    </row>
    <row r="105" spans="58:63" s="1" customFormat="1" x14ac:dyDescent="0.35">
      <c r="BF105" s="375"/>
      <c r="BG105" s="375"/>
      <c r="BH105" s="375"/>
      <c r="BI105" s="375"/>
      <c r="BJ105" s="375"/>
      <c r="BK105" s="375"/>
    </row>
    <row r="106" spans="58:63" s="1" customFormat="1" x14ac:dyDescent="0.35">
      <c r="BF106" s="375"/>
      <c r="BG106" s="375"/>
      <c r="BH106" s="375"/>
      <c r="BI106" s="375"/>
      <c r="BJ106" s="375"/>
      <c r="BK106" s="375"/>
    </row>
    <row r="107" spans="58:63" s="1" customFormat="1" x14ac:dyDescent="0.35">
      <c r="BF107" s="375"/>
      <c r="BG107" s="375"/>
      <c r="BH107" s="375"/>
      <c r="BI107" s="375"/>
      <c r="BJ107" s="375"/>
      <c r="BK107" s="375"/>
    </row>
    <row r="108" spans="58:63" s="1" customFormat="1" x14ac:dyDescent="0.35">
      <c r="BF108" s="375"/>
      <c r="BG108" s="375"/>
      <c r="BH108" s="375"/>
      <c r="BI108" s="375"/>
      <c r="BJ108" s="375"/>
      <c r="BK108" s="375"/>
    </row>
    <row r="109" spans="58:63" s="1" customFormat="1" x14ac:dyDescent="0.35">
      <c r="BF109" s="375"/>
      <c r="BG109" s="375"/>
      <c r="BH109" s="375"/>
      <c r="BI109" s="375"/>
      <c r="BJ109" s="375"/>
      <c r="BK109" s="375"/>
    </row>
    <row r="110" spans="58:63" s="1" customFormat="1" x14ac:dyDescent="0.35">
      <c r="BF110" s="375"/>
      <c r="BG110" s="375"/>
      <c r="BH110" s="375"/>
      <c r="BI110" s="375"/>
      <c r="BJ110" s="375"/>
      <c r="BK110" s="375"/>
    </row>
    <row r="111" spans="58:63" s="1" customFormat="1" x14ac:dyDescent="0.35">
      <c r="BF111" s="375"/>
      <c r="BG111" s="375"/>
      <c r="BH111" s="375"/>
      <c r="BI111" s="375"/>
      <c r="BJ111" s="375"/>
      <c r="BK111" s="375"/>
    </row>
    <row r="112" spans="58:63" s="1" customFormat="1" x14ac:dyDescent="0.35">
      <c r="BF112" s="375"/>
      <c r="BG112" s="375"/>
      <c r="BH112" s="375"/>
      <c r="BI112" s="375"/>
      <c r="BJ112" s="375"/>
      <c r="BK112" s="375"/>
    </row>
    <row r="113" spans="58:63" s="1" customFormat="1" x14ac:dyDescent="0.35">
      <c r="BF113" s="375"/>
      <c r="BG113" s="375"/>
      <c r="BH113" s="375"/>
      <c r="BI113" s="375"/>
      <c r="BJ113" s="375"/>
      <c r="BK113" s="375"/>
    </row>
    <row r="114" spans="58:63" s="1" customFormat="1" x14ac:dyDescent="0.35">
      <c r="BF114" s="375"/>
      <c r="BG114" s="375"/>
      <c r="BH114" s="375"/>
      <c r="BI114" s="375"/>
      <c r="BJ114" s="375"/>
      <c r="BK114" s="375"/>
    </row>
    <row r="115" spans="58:63" s="1" customFormat="1" x14ac:dyDescent="0.35">
      <c r="BF115" s="375"/>
      <c r="BG115" s="375"/>
      <c r="BH115" s="375"/>
      <c r="BI115" s="375"/>
      <c r="BJ115" s="375"/>
      <c r="BK115" s="375"/>
    </row>
    <row r="116" spans="58:63" s="1" customFormat="1" x14ac:dyDescent="0.35">
      <c r="BF116" s="375"/>
      <c r="BG116" s="375"/>
      <c r="BH116" s="375"/>
      <c r="BI116" s="375"/>
      <c r="BJ116" s="375"/>
      <c r="BK116" s="375"/>
    </row>
    <row r="117" spans="58:63" s="1" customFormat="1" x14ac:dyDescent="0.35">
      <c r="BF117" s="375"/>
      <c r="BG117" s="375"/>
      <c r="BH117" s="375"/>
      <c r="BI117" s="375"/>
      <c r="BJ117" s="375"/>
      <c r="BK117" s="375"/>
    </row>
    <row r="118" spans="58:63" s="1" customFormat="1" x14ac:dyDescent="0.35">
      <c r="BF118" s="375"/>
      <c r="BG118" s="375"/>
      <c r="BH118" s="375"/>
      <c r="BI118" s="375"/>
      <c r="BJ118" s="375"/>
      <c r="BK118" s="375"/>
    </row>
    <row r="119" spans="58:63" s="1" customFormat="1" x14ac:dyDescent="0.35">
      <c r="BF119" s="375"/>
      <c r="BG119" s="375"/>
      <c r="BH119" s="375"/>
      <c r="BI119" s="375"/>
      <c r="BJ119" s="375"/>
      <c r="BK119" s="375"/>
    </row>
    <row r="120" spans="58:63" s="1" customFormat="1" x14ac:dyDescent="0.35">
      <c r="BF120" s="375"/>
      <c r="BG120" s="375"/>
      <c r="BH120" s="375"/>
      <c r="BI120" s="375"/>
      <c r="BJ120" s="375"/>
      <c r="BK120" s="375"/>
    </row>
    <row r="121" spans="58:63" s="1" customFormat="1" x14ac:dyDescent="0.35">
      <c r="BF121" s="375"/>
      <c r="BG121" s="375"/>
      <c r="BH121" s="375"/>
      <c r="BI121" s="375"/>
      <c r="BJ121" s="375"/>
      <c r="BK121" s="375"/>
    </row>
    <row r="122" spans="58:63" s="1" customFormat="1" x14ac:dyDescent="0.35">
      <c r="BF122" s="375"/>
      <c r="BG122" s="375"/>
      <c r="BH122" s="375"/>
      <c r="BI122" s="375"/>
      <c r="BJ122" s="375"/>
      <c r="BK122" s="375"/>
    </row>
    <row r="123" spans="58:63" s="1" customFormat="1" x14ac:dyDescent="0.35">
      <c r="BF123" s="375"/>
      <c r="BG123" s="375"/>
      <c r="BH123" s="375"/>
      <c r="BI123" s="375"/>
      <c r="BJ123" s="375"/>
      <c r="BK123" s="375"/>
    </row>
    <row r="124" spans="58:63" s="1" customFormat="1" x14ac:dyDescent="0.35">
      <c r="BF124" s="375"/>
      <c r="BG124" s="375"/>
      <c r="BH124" s="375"/>
      <c r="BI124" s="375"/>
      <c r="BJ124" s="375"/>
      <c r="BK124" s="375"/>
    </row>
    <row r="125" spans="58:63" s="1" customFormat="1" x14ac:dyDescent="0.35">
      <c r="BF125" s="375"/>
      <c r="BG125" s="375"/>
      <c r="BH125" s="375"/>
      <c r="BI125" s="375"/>
      <c r="BJ125" s="375"/>
      <c r="BK125" s="375"/>
    </row>
    <row r="126" spans="58:63" s="1" customFormat="1" x14ac:dyDescent="0.35">
      <c r="BF126" s="375"/>
      <c r="BG126" s="375"/>
      <c r="BH126" s="375"/>
      <c r="BI126" s="375"/>
      <c r="BJ126" s="375"/>
      <c r="BK126" s="375"/>
    </row>
    <row r="127" spans="58:63" s="1" customFormat="1" x14ac:dyDescent="0.35">
      <c r="BF127" s="375"/>
      <c r="BG127" s="375"/>
      <c r="BH127" s="375"/>
      <c r="BI127" s="375"/>
      <c r="BJ127" s="375"/>
      <c r="BK127" s="375"/>
    </row>
    <row r="128" spans="58:63" s="1" customFormat="1" x14ac:dyDescent="0.35">
      <c r="BF128" s="375"/>
      <c r="BG128" s="375"/>
      <c r="BH128" s="375"/>
      <c r="BI128" s="375"/>
      <c r="BJ128" s="375"/>
      <c r="BK128" s="375"/>
    </row>
    <row r="129" spans="58:63" s="1" customFormat="1" x14ac:dyDescent="0.35">
      <c r="BF129" s="375"/>
      <c r="BG129" s="375"/>
      <c r="BH129" s="375"/>
      <c r="BI129" s="375"/>
      <c r="BJ129" s="375"/>
      <c r="BK129" s="375"/>
    </row>
    <row r="130" spans="58:63" s="1" customFormat="1" x14ac:dyDescent="0.35">
      <c r="BF130" s="375"/>
      <c r="BG130" s="375"/>
      <c r="BH130" s="375"/>
      <c r="BI130" s="375"/>
      <c r="BJ130" s="375"/>
      <c r="BK130" s="375"/>
    </row>
    <row r="131" spans="58:63" s="1" customFormat="1" x14ac:dyDescent="0.35">
      <c r="BF131" s="375"/>
      <c r="BG131" s="375"/>
      <c r="BH131" s="375"/>
      <c r="BI131" s="375"/>
      <c r="BJ131" s="375"/>
      <c r="BK131" s="375"/>
    </row>
    <row r="132" spans="58:63" s="1" customFormat="1" x14ac:dyDescent="0.35">
      <c r="BF132" s="375"/>
      <c r="BG132" s="375"/>
      <c r="BH132" s="375"/>
      <c r="BI132" s="375"/>
      <c r="BJ132" s="375"/>
      <c r="BK132" s="375"/>
    </row>
    <row r="133" spans="58:63" s="1" customFormat="1" x14ac:dyDescent="0.35">
      <c r="BF133" s="375"/>
      <c r="BG133" s="375"/>
      <c r="BH133" s="375"/>
      <c r="BI133" s="375"/>
      <c r="BJ133" s="375"/>
      <c r="BK133" s="375"/>
    </row>
    <row r="134" spans="58:63" s="1" customFormat="1" x14ac:dyDescent="0.35">
      <c r="BF134" s="375"/>
      <c r="BG134" s="375"/>
      <c r="BH134" s="375"/>
      <c r="BI134" s="375"/>
      <c r="BJ134" s="375"/>
      <c r="BK134" s="375"/>
    </row>
    <row r="135" spans="58:63" s="1" customFormat="1" x14ac:dyDescent="0.35">
      <c r="BF135" s="375"/>
      <c r="BG135" s="375"/>
      <c r="BH135" s="375"/>
      <c r="BI135" s="375"/>
      <c r="BJ135" s="375"/>
      <c r="BK135" s="375"/>
    </row>
    <row r="136" spans="58:63" s="1" customFormat="1" x14ac:dyDescent="0.35">
      <c r="BF136" s="375"/>
      <c r="BG136" s="375"/>
      <c r="BH136" s="375"/>
      <c r="BI136" s="375"/>
      <c r="BJ136" s="375"/>
      <c r="BK136" s="375"/>
    </row>
    <row r="137" spans="58:63" s="1" customFormat="1" x14ac:dyDescent="0.35">
      <c r="BF137" s="375"/>
      <c r="BG137" s="375"/>
      <c r="BH137" s="375"/>
      <c r="BI137" s="375"/>
      <c r="BJ137" s="375"/>
      <c r="BK137" s="375"/>
    </row>
    <row r="138" spans="58:63" s="1" customFormat="1" x14ac:dyDescent="0.35">
      <c r="BF138" s="375"/>
      <c r="BG138" s="375"/>
      <c r="BH138" s="375"/>
      <c r="BI138" s="375"/>
      <c r="BJ138" s="375"/>
      <c r="BK138" s="375"/>
    </row>
    <row r="139" spans="58:63" s="1" customFormat="1" x14ac:dyDescent="0.35">
      <c r="BF139" s="375"/>
      <c r="BG139" s="375"/>
      <c r="BH139" s="375"/>
      <c r="BI139" s="375"/>
      <c r="BJ139" s="375"/>
      <c r="BK139" s="375"/>
    </row>
    <row r="140" spans="58:63" s="1" customFormat="1" x14ac:dyDescent="0.35">
      <c r="BF140" s="375"/>
      <c r="BG140" s="375"/>
      <c r="BH140" s="375"/>
      <c r="BI140" s="375"/>
      <c r="BJ140" s="375"/>
      <c r="BK140" s="375"/>
    </row>
    <row r="141" spans="58:63" s="1" customFormat="1" x14ac:dyDescent="0.35">
      <c r="BF141" s="375"/>
      <c r="BG141" s="375"/>
      <c r="BH141" s="375"/>
      <c r="BI141" s="375"/>
      <c r="BJ141" s="375"/>
      <c r="BK141" s="375"/>
    </row>
    <row r="142" spans="58:63" s="1" customFormat="1" x14ac:dyDescent="0.35">
      <c r="BF142" s="375"/>
      <c r="BG142" s="375"/>
      <c r="BH142" s="375"/>
      <c r="BI142" s="375"/>
      <c r="BJ142" s="375"/>
      <c r="BK142" s="375"/>
    </row>
    <row r="143" spans="58:63" s="1" customFormat="1" x14ac:dyDescent="0.35">
      <c r="BF143" s="375"/>
      <c r="BG143" s="375"/>
      <c r="BH143" s="375"/>
      <c r="BI143" s="375"/>
      <c r="BJ143" s="375"/>
      <c r="BK143" s="375"/>
    </row>
    <row r="144" spans="58:63" s="1" customFormat="1" x14ac:dyDescent="0.35">
      <c r="BF144" s="375"/>
      <c r="BG144" s="375"/>
      <c r="BH144" s="375"/>
      <c r="BI144" s="375"/>
      <c r="BJ144" s="375"/>
      <c r="BK144" s="375"/>
    </row>
    <row r="145" spans="58:63" s="1" customFormat="1" x14ac:dyDescent="0.35">
      <c r="BF145" s="375"/>
      <c r="BG145" s="375"/>
      <c r="BH145" s="375"/>
      <c r="BI145" s="375"/>
      <c r="BJ145" s="375"/>
      <c r="BK145" s="375"/>
    </row>
    <row r="146" spans="58:63" s="1" customFormat="1" x14ac:dyDescent="0.35">
      <c r="BF146" s="375"/>
      <c r="BG146" s="375"/>
      <c r="BH146" s="375"/>
      <c r="BI146" s="375"/>
      <c r="BJ146" s="375"/>
      <c r="BK146" s="375"/>
    </row>
    <row r="147" spans="58:63" s="1" customFormat="1" x14ac:dyDescent="0.35">
      <c r="BF147" s="375"/>
      <c r="BG147" s="375"/>
      <c r="BH147" s="375"/>
      <c r="BI147" s="375"/>
      <c r="BJ147" s="375"/>
      <c r="BK147" s="375"/>
    </row>
    <row r="148" spans="58:63" s="1" customFormat="1" x14ac:dyDescent="0.35">
      <c r="BF148" s="375"/>
      <c r="BG148" s="375"/>
      <c r="BH148" s="375"/>
      <c r="BI148" s="375"/>
      <c r="BJ148" s="375"/>
      <c r="BK148" s="375"/>
    </row>
    <row r="149" spans="58:63" s="1" customFormat="1" x14ac:dyDescent="0.35">
      <c r="BF149" s="375"/>
      <c r="BG149" s="375"/>
      <c r="BH149" s="375"/>
      <c r="BI149" s="375"/>
      <c r="BJ149" s="375"/>
      <c r="BK149" s="375"/>
    </row>
    <row r="150" spans="58:63" s="1" customFormat="1" x14ac:dyDescent="0.35">
      <c r="BF150" s="375"/>
      <c r="BG150" s="375"/>
      <c r="BH150" s="375"/>
      <c r="BI150" s="375"/>
      <c r="BJ150" s="375"/>
      <c r="BK150" s="375"/>
    </row>
    <row r="151" spans="58:63" s="1" customFormat="1" x14ac:dyDescent="0.35">
      <c r="BF151" s="375"/>
      <c r="BG151" s="375"/>
      <c r="BH151" s="375"/>
      <c r="BI151" s="375"/>
      <c r="BJ151" s="375"/>
      <c r="BK151" s="375"/>
    </row>
    <row r="152" spans="58:63" s="1" customFormat="1" x14ac:dyDescent="0.35">
      <c r="BF152" s="375"/>
      <c r="BG152" s="375"/>
      <c r="BH152" s="375"/>
      <c r="BI152" s="375"/>
      <c r="BJ152" s="375"/>
      <c r="BK152" s="375"/>
    </row>
    <row r="153" spans="58:63" s="1" customFormat="1" x14ac:dyDescent="0.35">
      <c r="BF153" s="375"/>
      <c r="BG153" s="375"/>
      <c r="BH153" s="375"/>
      <c r="BI153" s="375"/>
      <c r="BJ153" s="375"/>
      <c r="BK153" s="375"/>
    </row>
    <row r="154" spans="58:63" s="1" customFormat="1" x14ac:dyDescent="0.35">
      <c r="BF154" s="375"/>
      <c r="BG154" s="375"/>
      <c r="BH154" s="375"/>
      <c r="BI154" s="375"/>
      <c r="BJ154" s="375"/>
      <c r="BK154" s="375"/>
    </row>
    <row r="155" spans="58:63" s="1" customFormat="1" x14ac:dyDescent="0.35">
      <c r="BF155" s="375"/>
      <c r="BG155" s="375"/>
      <c r="BH155" s="375"/>
      <c r="BI155" s="375"/>
      <c r="BJ155" s="375"/>
      <c r="BK155" s="375"/>
    </row>
    <row r="156" spans="58:63" s="1" customFormat="1" x14ac:dyDescent="0.35">
      <c r="BF156" s="375"/>
      <c r="BG156" s="375"/>
      <c r="BH156" s="375"/>
      <c r="BI156" s="375"/>
      <c r="BJ156" s="375"/>
      <c r="BK156" s="375"/>
    </row>
    <row r="157" spans="58:63" s="1" customFormat="1" x14ac:dyDescent="0.35">
      <c r="BF157" s="375"/>
      <c r="BG157" s="375"/>
      <c r="BH157" s="375"/>
      <c r="BI157" s="375"/>
      <c r="BJ157" s="375"/>
      <c r="BK157" s="375"/>
    </row>
    <row r="158" spans="58:63" s="1" customFormat="1" x14ac:dyDescent="0.35">
      <c r="BF158" s="375"/>
      <c r="BG158" s="375"/>
      <c r="BH158" s="375"/>
      <c r="BI158" s="375"/>
      <c r="BJ158" s="375"/>
      <c r="BK158" s="375"/>
    </row>
    <row r="159" spans="58:63" s="1" customFormat="1" x14ac:dyDescent="0.35">
      <c r="BF159" s="375"/>
      <c r="BG159" s="375"/>
      <c r="BH159" s="375"/>
      <c r="BI159" s="375"/>
      <c r="BJ159" s="375"/>
      <c r="BK159" s="375"/>
    </row>
    <row r="160" spans="58:63" s="1" customFormat="1" x14ac:dyDescent="0.35">
      <c r="BF160" s="375"/>
      <c r="BG160" s="375"/>
      <c r="BH160" s="375"/>
      <c r="BI160" s="375"/>
      <c r="BJ160" s="375"/>
      <c r="BK160" s="375"/>
    </row>
    <row r="161" spans="58:63" s="1" customFormat="1" x14ac:dyDescent="0.35">
      <c r="BF161" s="375"/>
      <c r="BG161" s="375"/>
      <c r="BH161" s="375"/>
      <c r="BI161" s="375"/>
      <c r="BJ161" s="375"/>
      <c r="BK161" s="375"/>
    </row>
    <row r="162" spans="58:63" s="1" customFormat="1" x14ac:dyDescent="0.35">
      <c r="BF162" s="375"/>
      <c r="BG162" s="375"/>
      <c r="BH162" s="375"/>
      <c r="BI162" s="375"/>
      <c r="BJ162" s="375"/>
      <c r="BK162" s="375"/>
    </row>
    <row r="163" spans="58:63" s="1" customFormat="1" x14ac:dyDescent="0.35">
      <c r="BF163" s="375"/>
      <c r="BG163" s="375"/>
      <c r="BH163" s="375"/>
      <c r="BI163" s="375"/>
      <c r="BJ163" s="375"/>
      <c r="BK163" s="375"/>
    </row>
    <row r="164" spans="58:63" s="1" customFormat="1" x14ac:dyDescent="0.35">
      <c r="BF164" s="375"/>
      <c r="BG164" s="375"/>
      <c r="BH164" s="375"/>
      <c r="BI164" s="375"/>
      <c r="BJ164" s="375"/>
      <c r="BK164" s="375"/>
    </row>
    <row r="165" spans="58:63" s="1" customFormat="1" x14ac:dyDescent="0.35">
      <c r="BF165" s="375"/>
      <c r="BG165" s="375"/>
      <c r="BH165" s="375"/>
      <c r="BI165" s="375"/>
      <c r="BJ165" s="375"/>
      <c r="BK165" s="375"/>
    </row>
    <row r="166" spans="58:63" s="1" customFormat="1" x14ac:dyDescent="0.35">
      <c r="BF166" s="375"/>
      <c r="BG166" s="375"/>
      <c r="BH166" s="375"/>
      <c r="BI166" s="375"/>
      <c r="BJ166" s="375"/>
      <c r="BK166" s="375"/>
    </row>
    <row r="167" spans="58:63" s="1" customFormat="1" x14ac:dyDescent="0.35">
      <c r="BF167" s="375"/>
      <c r="BG167" s="375"/>
      <c r="BH167" s="375"/>
      <c r="BI167" s="375"/>
      <c r="BJ167" s="375"/>
      <c r="BK167" s="375"/>
    </row>
    <row r="168" spans="58:63" s="1" customFormat="1" x14ac:dyDescent="0.35">
      <c r="BF168" s="375"/>
      <c r="BG168" s="375"/>
      <c r="BH168" s="375"/>
      <c r="BI168" s="375"/>
      <c r="BJ168" s="375"/>
      <c r="BK168" s="375"/>
    </row>
    <row r="169" spans="58:63" s="1" customFormat="1" x14ac:dyDescent="0.35">
      <c r="BF169" s="375"/>
      <c r="BG169" s="375"/>
      <c r="BH169" s="375"/>
      <c r="BI169" s="375"/>
      <c r="BJ169" s="375"/>
      <c r="BK169" s="375"/>
    </row>
    <row r="170" spans="58:63" s="1" customFormat="1" x14ac:dyDescent="0.35">
      <c r="BF170" s="375"/>
      <c r="BG170" s="375"/>
      <c r="BH170" s="375"/>
      <c r="BI170" s="375"/>
      <c r="BJ170" s="375"/>
      <c r="BK170" s="375"/>
    </row>
    <row r="171" spans="58:63" s="1" customFormat="1" x14ac:dyDescent="0.35">
      <c r="BF171" s="375"/>
      <c r="BG171" s="375"/>
      <c r="BH171" s="375"/>
      <c r="BI171" s="375"/>
      <c r="BJ171" s="375"/>
      <c r="BK171" s="375"/>
    </row>
    <row r="172" spans="58:63" s="1" customFormat="1" x14ac:dyDescent="0.35">
      <c r="BF172" s="375"/>
      <c r="BG172" s="375"/>
      <c r="BH172" s="375"/>
      <c r="BI172" s="375"/>
      <c r="BJ172" s="375"/>
      <c r="BK172" s="375"/>
    </row>
    <row r="173" spans="58:63" s="1" customFormat="1" x14ac:dyDescent="0.35">
      <c r="BF173" s="375"/>
      <c r="BG173" s="375"/>
      <c r="BH173" s="375"/>
      <c r="BI173" s="375"/>
      <c r="BJ173" s="375"/>
      <c r="BK173" s="375"/>
    </row>
    <row r="174" spans="58:63" s="1" customFormat="1" x14ac:dyDescent="0.35">
      <c r="BF174" s="375"/>
      <c r="BG174" s="375"/>
      <c r="BH174" s="375"/>
      <c r="BI174" s="375"/>
      <c r="BJ174" s="375"/>
      <c r="BK174" s="375"/>
    </row>
    <row r="175" spans="58:63" s="1" customFormat="1" x14ac:dyDescent="0.35">
      <c r="BF175" s="375"/>
      <c r="BG175" s="375"/>
      <c r="BH175" s="375"/>
      <c r="BI175" s="375"/>
      <c r="BJ175" s="375"/>
      <c r="BK175" s="375"/>
    </row>
    <row r="176" spans="58:63" s="1" customFormat="1" x14ac:dyDescent="0.35">
      <c r="BF176" s="375"/>
      <c r="BG176" s="375"/>
      <c r="BH176" s="375"/>
      <c r="BI176" s="375"/>
      <c r="BJ176" s="375"/>
      <c r="BK176" s="375"/>
    </row>
    <row r="177" spans="58:63" s="1" customFormat="1" x14ac:dyDescent="0.35">
      <c r="BF177" s="375"/>
      <c r="BG177" s="375"/>
      <c r="BH177" s="375"/>
      <c r="BI177" s="375"/>
      <c r="BJ177" s="375"/>
      <c r="BK177" s="375"/>
    </row>
    <row r="178" spans="58:63" s="1" customFormat="1" x14ac:dyDescent="0.35">
      <c r="BF178" s="375"/>
      <c r="BG178" s="375"/>
      <c r="BH178" s="375"/>
      <c r="BI178" s="375"/>
      <c r="BJ178" s="375"/>
      <c r="BK178" s="375"/>
    </row>
    <row r="179" spans="58:63" s="1" customFormat="1" x14ac:dyDescent="0.35">
      <c r="BF179" s="375"/>
      <c r="BG179" s="375"/>
      <c r="BH179" s="375"/>
      <c r="BI179" s="375"/>
      <c r="BJ179" s="375"/>
      <c r="BK179" s="375"/>
    </row>
    <row r="180" spans="58:63" s="1" customFormat="1" x14ac:dyDescent="0.35">
      <c r="BF180" s="375"/>
      <c r="BG180" s="375"/>
      <c r="BH180" s="375"/>
      <c r="BI180" s="375"/>
      <c r="BJ180" s="375"/>
      <c r="BK180" s="375"/>
    </row>
    <row r="181" spans="58:63" s="1" customFormat="1" x14ac:dyDescent="0.35">
      <c r="BF181" s="375"/>
      <c r="BG181" s="375"/>
      <c r="BH181" s="375"/>
      <c r="BI181" s="375"/>
      <c r="BJ181" s="375"/>
      <c r="BK181" s="375"/>
    </row>
    <row r="182" spans="58:63" s="1" customFormat="1" x14ac:dyDescent="0.35">
      <c r="BF182" s="375"/>
      <c r="BG182" s="375"/>
      <c r="BH182" s="375"/>
      <c r="BI182" s="375"/>
      <c r="BJ182" s="375"/>
      <c r="BK182" s="375"/>
    </row>
    <row r="183" spans="58:63" s="1" customFormat="1" x14ac:dyDescent="0.35">
      <c r="BF183" s="375"/>
      <c r="BG183" s="375"/>
      <c r="BH183" s="375"/>
      <c r="BI183" s="375"/>
      <c r="BJ183" s="375"/>
      <c r="BK183" s="375"/>
    </row>
    <row r="184" spans="58:63" s="1" customFormat="1" x14ac:dyDescent="0.35">
      <c r="BF184" s="375"/>
      <c r="BG184" s="375"/>
      <c r="BH184" s="375"/>
      <c r="BI184" s="375"/>
      <c r="BJ184" s="375"/>
      <c r="BK184" s="375"/>
    </row>
    <row r="185" spans="58:63" s="1" customFormat="1" x14ac:dyDescent="0.35">
      <c r="BF185" s="375"/>
      <c r="BG185" s="375"/>
      <c r="BH185" s="375"/>
      <c r="BI185" s="375"/>
      <c r="BJ185" s="375"/>
      <c r="BK185" s="375"/>
    </row>
    <row r="186" spans="58:63" s="1" customFormat="1" x14ac:dyDescent="0.35">
      <c r="BF186" s="375"/>
      <c r="BG186" s="375"/>
      <c r="BH186" s="375"/>
      <c r="BI186" s="375"/>
      <c r="BJ186" s="375"/>
      <c r="BK186" s="375"/>
    </row>
    <row r="187" spans="58:63" s="1" customFormat="1" x14ac:dyDescent="0.35">
      <c r="BF187" s="375"/>
      <c r="BG187" s="375"/>
      <c r="BH187" s="375"/>
      <c r="BI187" s="375"/>
      <c r="BJ187" s="375"/>
      <c r="BK187" s="375"/>
    </row>
    <row r="188" spans="58:63" s="1" customFormat="1" x14ac:dyDescent="0.35">
      <c r="BF188" s="375"/>
      <c r="BG188" s="375"/>
      <c r="BH188" s="375"/>
      <c r="BI188" s="375"/>
      <c r="BJ188" s="375"/>
      <c r="BK188" s="375"/>
    </row>
    <row r="189" spans="58:63" s="1" customFormat="1" x14ac:dyDescent="0.35">
      <c r="BF189" s="375"/>
      <c r="BG189" s="375"/>
      <c r="BH189" s="375"/>
      <c r="BI189" s="375"/>
      <c r="BJ189" s="375"/>
      <c r="BK189" s="375"/>
    </row>
    <row r="190" spans="58:63" s="1" customFormat="1" x14ac:dyDescent="0.35">
      <c r="BF190" s="375"/>
      <c r="BG190" s="375"/>
      <c r="BH190" s="375"/>
      <c r="BI190" s="375"/>
      <c r="BJ190" s="375"/>
      <c r="BK190" s="375"/>
    </row>
    <row r="191" spans="58:63" s="1" customFormat="1" x14ac:dyDescent="0.35">
      <c r="BF191" s="375"/>
      <c r="BG191" s="375"/>
      <c r="BH191" s="375"/>
      <c r="BI191" s="375"/>
      <c r="BJ191" s="375"/>
      <c r="BK191" s="375"/>
    </row>
    <row r="192" spans="58:63" s="1" customFormat="1" x14ac:dyDescent="0.35">
      <c r="BF192" s="375"/>
      <c r="BG192" s="375"/>
      <c r="BH192" s="375"/>
      <c r="BI192" s="375"/>
      <c r="BJ192" s="375"/>
      <c r="BK192" s="375"/>
    </row>
    <row r="193" spans="58:63" s="1" customFormat="1" x14ac:dyDescent="0.35">
      <c r="BF193" s="375"/>
      <c r="BG193" s="375"/>
      <c r="BH193" s="375"/>
      <c r="BI193" s="375"/>
      <c r="BJ193" s="375"/>
      <c r="BK193" s="375"/>
    </row>
    <row r="194" spans="58:63" s="1" customFormat="1" x14ac:dyDescent="0.35">
      <c r="BF194" s="375"/>
      <c r="BG194" s="375"/>
      <c r="BH194" s="375"/>
      <c r="BI194" s="375"/>
      <c r="BJ194" s="375"/>
      <c r="BK194" s="375"/>
    </row>
    <row r="195" spans="58:63" s="1" customFormat="1" x14ac:dyDescent="0.35">
      <c r="BF195" s="375"/>
      <c r="BG195" s="375"/>
      <c r="BH195" s="375"/>
      <c r="BI195" s="375"/>
      <c r="BJ195" s="375"/>
      <c r="BK195" s="375"/>
    </row>
    <row r="196" spans="58:63" s="1" customFormat="1" x14ac:dyDescent="0.35">
      <c r="BF196" s="375"/>
      <c r="BG196" s="375"/>
      <c r="BH196" s="375"/>
      <c r="BI196" s="375"/>
      <c r="BJ196" s="375"/>
      <c r="BK196" s="375"/>
    </row>
    <row r="197" spans="58:63" s="1" customFormat="1" x14ac:dyDescent="0.35">
      <c r="BF197" s="375"/>
      <c r="BG197" s="375"/>
      <c r="BH197" s="375"/>
      <c r="BI197" s="375"/>
      <c r="BJ197" s="375"/>
      <c r="BK197" s="375"/>
    </row>
    <row r="198" spans="58:63" s="1" customFormat="1" x14ac:dyDescent="0.35">
      <c r="BF198" s="375"/>
      <c r="BG198" s="375"/>
      <c r="BH198" s="375"/>
      <c r="BI198" s="375"/>
      <c r="BJ198" s="375"/>
      <c r="BK198" s="375"/>
    </row>
    <row r="199" spans="58:63" s="1" customFormat="1" x14ac:dyDescent="0.35">
      <c r="BF199" s="375"/>
      <c r="BG199" s="375"/>
      <c r="BH199" s="375"/>
      <c r="BI199" s="375"/>
      <c r="BJ199" s="375"/>
      <c r="BK199" s="375"/>
    </row>
    <row r="200" spans="58:63" s="1" customFormat="1" x14ac:dyDescent="0.35">
      <c r="BF200" s="375"/>
      <c r="BG200" s="375"/>
      <c r="BH200" s="375"/>
      <c r="BI200" s="375"/>
      <c r="BJ200" s="375"/>
      <c r="BK200" s="375"/>
    </row>
    <row r="201" spans="58:63" s="1" customFormat="1" x14ac:dyDescent="0.35">
      <c r="BF201" s="375"/>
      <c r="BG201" s="375"/>
      <c r="BH201" s="375"/>
      <c r="BI201" s="375"/>
      <c r="BJ201" s="375"/>
      <c r="BK201" s="375"/>
    </row>
    <row r="202" spans="58:63" s="1" customFormat="1" x14ac:dyDescent="0.35">
      <c r="BF202" s="375"/>
      <c r="BG202" s="375"/>
      <c r="BH202" s="375"/>
      <c r="BI202" s="375"/>
      <c r="BJ202" s="375"/>
      <c r="BK202" s="375"/>
    </row>
    <row r="203" spans="58:63" s="1" customFormat="1" x14ac:dyDescent="0.35">
      <c r="BF203" s="375"/>
      <c r="BG203" s="375"/>
      <c r="BH203" s="375"/>
      <c r="BI203" s="375"/>
      <c r="BJ203" s="375"/>
      <c r="BK203" s="375"/>
    </row>
    <row r="204" spans="58:63" s="1" customFormat="1" x14ac:dyDescent="0.35">
      <c r="BF204" s="375"/>
      <c r="BG204" s="375"/>
      <c r="BH204" s="375"/>
      <c r="BI204" s="375"/>
      <c r="BJ204" s="375"/>
      <c r="BK204" s="375"/>
    </row>
    <row r="205" spans="58:63" s="1" customFormat="1" x14ac:dyDescent="0.35">
      <c r="BF205" s="375"/>
      <c r="BG205" s="375"/>
      <c r="BH205" s="375"/>
      <c r="BI205" s="375"/>
      <c r="BJ205" s="375"/>
      <c r="BK205" s="375"/>
    </row>
    <row r="206" spans="58:63" s="1" customFormat="1" x14ac:dyDescent="0.35">
      <c r="BF206" s="375"/>
      <c r="BG206" s="375"/>
      <c r="BH206" s="375"/>
      <c r="BI206" s="375"/>
      <c r="BJ206" s="375"/>
      <c r="BK206" s="375"/>
    </row>
    <row r="207" spans="58:63" s="1" customFormat="1" x14ac:dyDescent="0.35">
      <c r="BF207" s="375"/>
      <c r="BG207" s="375"/>
      <c r="BH207" s="375"/>
      <c r="BI207" s="375"/>
      <c r="BJ207" s="375"/>
      <c r="BK207" s="375"/>
    </row>
    <row r="208" spans="58:63" s="1" customFormat="1" x14ac:dyDescent="0.35">
      <c r="BF208" s="375"/>
      <c r="BG208" s="375"/>
      <c r="BH208" s="375"/>
      <c r="BI208" s="375"/>
      <c r="BJ208" s="375"/>
      <c r="BK208" s="375"/>
    </row>
    <row r="209" spans="58:63" s="1" customFormat="1" x14ac:dyDescent="0.35">
      <c r="BF209" s="375"/>
      <c r="BG209" s="375"/>
      <c r="BH209" s="375"/>
      <c r="BI209" s="375"/>
      <c r="BJ209" s="375"/>
      <c r="BK209" s="375"/>
    </row>
    <row r="210" spans="58:63" s="1" customFormat="1" x14ac:dyDescent="0.35">
      <c r="BF210" s="375"/>
      <c r="BG210" s="375"/>
      <c r="BH210" s="375"/>
      <c r="BI210" s="375"/>
      <c r="BJ210" s="375"/>
      <c r="BK210" s="375"/>
    </row>
    <row r="211" spans="58:63" s="1" customFormat="1" x14ac:dyDescent="0.35">
      <c r="BF211" s="375"/>
      <c r="BG211" s="375"/>
      <c r="BH211" s="375"/>
      <c r="BI211" s="375"/>
      <c r="BJ211" s="375"/>
      <c r="BK211" s="375"/>
    </row>
    <row r="212" spans="58:63" s="1" customFormat="1" x14ac:dyDescent="0.35">
      <c r="BF212" s="375"/>
      <c r="BG212" s="375"/>
      <c r="BH212" s="375"/>
      <c r="BI212" s="375"/>
      <c r="BJ212" s="375"/>
      <c r="BK212" s="375"/>
    </row>
    <row r="213" spans="58:63" s="1" customFormat="1" x14ac:dyDescent="0.35">
      <c r="BF213" s="375"/>
      <c r="BG213" s="375"/>
      <c r="BH213" s="375"/>
      <c r="BI213" s="375"/>
      <c r="BJ213" s="375"/>
      <c r="BK213" s="375"/>
    </row>
    <row r="214" spans="58:63" s="1" customFormat="1" x14ac:dyDescent="0.35">
      <c r="BF214" s="375"/>
      <c r="BG214" s="375"/>
      <c r="BH214" s="375"/>
      <c r="BI214" s="375"/>
      <c r="BJ214" s="375"/>
      <c r="BK214" s="375"/>
    </row>
    <row r="215" spans="58:63" s="1" customFormat="1" x14ac:dyDescent="0.35">
      <c r="BF215" s="375"/>
      <c r="BG215" s="375"/>
      <c r="BH215" s="375"/>
      <c r="BI215" s="375"/>
      <c r="BJ215" s="375"/>
      <c r="BK215" s="375"/>
    </row>
    <row r="216" spans="58:63" s="1" customFormat="1" x14ac:dyDescent="0.35">
      <c r="BF216" s="375"/>
      <c r="BG216" s="375"/>
      <c r="BH216" s="375"/>
      <c r="BI216" s="375"/>
      <c r="BJ216" s="375"/>
      <c r="BK216" s="375"/>
    </row>
    <row r="217" spans="58:63" s="1" customFormat="1" x14ac:dyDescent="0.35">
      <c r="BF217" s="375"/>
      <c r="BG217" s="375"/>
      <c r="BH217" s="375"/>
      <c r="BI217" s="375"/>
      <c r="BJ217" s="375"/>
      <c r="BK217" s="375"/>
    </row>
    <row r="218" spans="58:63" s="1" customFormat="1" x14ac:dyDescent="0.35">
      <c r="BF218" s="375"/>
      <c r="BG218" s="375"/>
      <c r="BH218" s="375"/>
      <c r="BI218" s="375"/>
      <c r="BJ218" s="375"/>
      <c r="BK218" s="375"/>
    </row>
    <row r="219" spans="58:63" s="1" customFormat="1" x14ac:dyDescent="0.35">
      <c r="BF219" s="375"/>
      <c r="BG219" s="375"/>
      <c r="BH219" s="375"/>
      <c r="BI219" s="375"/>
      <c r="BJ219" s="375"/>
      <c r="BK219" s="375"/>
    </row>
    <row r="220" spans="58:63" s="1" customFormat="1" x14ac:dyDescent="0.35">
      <c r="BF220" s="375"/>
      <c r="BG220" s="375"/>
      <c r="BH220" s="375"/>
      <c r="BI220" s="375"/>
      <c r="BJ220" s="375"/>
      <c r="BK220" s="375"/>
    </row>
    <row r="221" spans="58:63" s="1" customFormat="1" x14ac:dyDescent="0.35">
      <c r="BF221" s="375"/>
      <c r="BG221" s="375"/>
      <c r="BH221" s="375"/>
      <c r="BI221" s="375"/>
      <c r="BJ221" s="375"/>
      <c r="BK221" s="375"/>
    </row>
    <row r="222" spans="58:63" s="1" customFormat="1" x14ac:dyDescent="0.35">
      <c r="BF222" s="375"/>
      <c r="BG222" s="375"/>
      <c r="BH222" s="375"/>
      <c r="BI222" s="375"/>
      <c r="BJ222" s="375"/>
      <c r="BK222" s="375"/>
    </row>
    <row r="223" spans="58:63" s="1" customFormat="1" x14ac:dyDescent="0.35">
      <c r="BF223" s="375"/>
      <c r="BG223" s="375"/>
      <c r="BH223" s="375"/>
      <c r="BI223" s="375"/>
      <c r="BJ223" s="375"/>
      <c r="BK223" s="375"/>
    </row>
    <row r="224" spans="58:63" s="1" customFormat="1" x14ac:dyDescent="0.35">
      <c r="BF224" s="375"/>
      <c r="BG224" s="375"/>
      <c r="BH224" s="375"/>
      <c r="BI224" s="375"/>
      <c r="BJ224" s="375"/>
      <c r="BK224" s="375"/>
    </row>
    <row r="225" spans="58:63" s="1" customFormat="1" x14ac:dyDescent="0.35">
      <c r="BF225" s="375"/>
      <c r="BG225" s="375"/>
      <c r="BH225" s="375"/>
      <c r="BI225" s="375"/>
      <c r="BJ225" s="375"/>
      <c r="BK225" s="375"/>
    </row>
    <row r="226" spans="58:63" s="1" customFormat="1" x14ac:dyDescent="0.35">
      <c r="BF226" s="375"/>
      <c r="BG226" s="375"/>
      <c r="BH226" s="375"/>
      <c r="BI226" s="375"/>
      <c r="BJ226" s="375"/>
      <c r="BK226" s="375"/>
    </row>
    <row r="227" spans="58:63" s="1" customFormat="1" x14ac:dyDescent="0.35">
      <c r="BF227" s="375"/>
      <c r="BG227" s="375"/>
      <c r="BH227" s="375"/>
      <c r="BI227" s="375"/>
      <c r="BJ227" s="375"/>
      <c r="BK227" s="375"/>
    </row>
    <row r="228" spans="58:63" s="1" customFormat="1" x14ac:dyDescent="0.35">
      <c r="BF228" s="375"/>
      <c r="BG228" s="375"/>
      <c r="BH228" s="375"/>
      <c r="BI228" s="375"/>
      <c r="BJ228" s="375"/>
      <c r="BK228" s="375"/>
    </row>
    <row r="229" spans="58:63" s="1" customFormat="1" x14ac:dyDescent="0.35">
      <c r="BF229" s="375"/>
      <c r="BG229" s="375"/>
      <c r="BH229" s="375"/>
      <c r="BI229" s="375"/>
      <c r="BJ229" s="375"/>
      <c r="BK229" s="375"/>
    </row>
    <row r="230" spans="58:63" s="1" customFormat="1" x14ac:dyDescent="0.35">
      <c r="BF230" s="375"/>
      <c r="BG230" s="375"/>
      <c r="BH230" s="375"/>
      <c r="BI230" s="375"/>
      <c r="BJ230" s="375"/>
      <c r="BK230" s="375"/>
    </row>
    <row r="231" spans="58:63" s="1" customFormat="1" x14ac:dyDescent="0.35">
      <c r="BF231" s="375"/>
      <c r="BG231" s="375"/>
      <c r="BH231" s="375"/>
      <c r="BI231" s="375"/>
      <c r="BJ231" s="375"/>
      <c r="BK231" s="375"/>
    </row>
    <row r="232" spans="58:63" s="1" customFormat="1" x14ac:dyDescent="0.35">
      <c r="BF232" s="375"/>
      <c r="BG232" s="375"/>
      <c r="BH232" s="375"/>
      <c r="BI232" s="375"/>
      <c r="BJ232" s="375"/>
      <c r="BK232" s="375"/>
    </row>
    <row r="233" spans="58:63" s="1" customFormat="1" x14ac:dyDescent="0.35">
      <c r="BF233" s="375"/>
      <c r="BG233" s="375"/>
      <c r="BH233" s="375"/>
      <c r="BI233" s="375"/>
      <c r="BJ233" s="375"/>
      <c r="BK233" s="375"/>
    </row>
    <row r="234" spans="58:63" s="1" customFormat="1" x14ac:dyDescent="0.35">
      <c r="BF234" s="375"/>
      <c r="BG234" s="375"/>
      <c r="BH234" s="375"/>
      <c r="BI234" s="375"/>
      <c r="BJ234" s="375"/>
      <c r="BK234" s="375"/>
    </row>
    <row r="235" spans="58:63" s="1" customFormat="1" x14ac:dyDescent="0.35">
      <c r="BF235" s="375"/>
      <c r="BG235" s="375"/>
      <c r="BH235" s="375"/>
      <c r="BI235" s="375"/>
      <c r="BJ235" s="375"/>
      <c r="BK235" s="375"/>
    </row>
    <row r="236" spans="58:63" s="1" customFormat="1" x14ac:dyDescent="0.35">
      <c r="BF236" s="375"/>
      <c r="BG236" s="375"/>
      <c r="BH236" s="375"/>
      <c r="BI236" s="375"/>
      <c r="BJ236" s="375"/>
      <c r="BK236" s="375"/>
    </row>
    <row r="237" spans="58:63" s="1" customFormat="1" x14ac:dyDescent="0.35">
      <c r="BF237" s="375"/>
      <c r="BG237" s="375"/>
      <c r="BH237" s="375"/>
      <c r="BI237" s="375"/>
      <c r="BJ237" s="375"/>
      <c r="BK237" s="375"/>
    </row>
    <row r="238" spans="58:63" s="1" customFormat="1" x14ac:dyDescent="0.35">
      <c r="BF238" s="375"/>
      <c r="BG238" s="375"/>
      <c r="BH238" s="375"/>
      <c r="BI238" s="375"/>
      <c r="BJ238" s="375"/>
      <c r="BK238" s="375"/>
    </row>
    <row r="239" spans="58:63" s="1" customFormat="1" x14ac:dyDescent="0.35">
      <c r="BF239" s="375"/>
      <c r="BG239" s="375"/>
      <c r="BH239" s="375"/>
      <c r="BI239" s="375"/>
      <c r="BJ239" s="375"/>
      <c r="BK239" s="375"/>
    </row>
    <row r="240" spans="58:63" s="1" customFormat="1" x14ac:dyDescent="0.35">
      <c r="BF240" s="375"/>
      <c r="BG240" s="375"/>
      <c r="BH240" s="375"/>
      <c r="BI240" s="375"/>
      <c r="BJ240" s="375"/>
      <c r="BK240" s="375"/>
    </row>
    <row r="241" spans="58:63" s="1" customFormat="1" x14ac:dyDescent="0.35">
      <c r="BF241" s="375"/>
      <c r="BG241" s="375"/>
      <c r="BH241" s="375"/>
      <c r="BI241" s="375"/>
      <c r="BJ241" s="375"/>
      <c r="BK241" s="375"/>
    </row>
    <row r="242" spans="58:63" s="1" customFormat="1" x14ac:dyDescent="0.35">
      <c r="BF242" s="375"/>
      <c r="BG242" s="375"/>
      <c r="BH242" s="375"/>
      <c r="BI242" s="375"/>
      <c r="BJ242" s="375"/>
      <c r="BK242" s="375"/>
    </row>
    <row r="243" spans="58:63" s="1" customFormat="1" x14ac:dyDescent="0.35">
      <c r="BF243" s="375"/>
      <c r="BG243" s="375"/>
      <c r="BH243" s="375"/>
      <c r="BI243" s="375"/>
      <c r="BJ243" s="375"/>
      <c r="BK243" s="375"/>
    </row>
    <row r="244" spans="58:63" s="1" customFormat="1" x14ac:dyDescent="0.35">
      <c r="BF244" s="375"/>
      <c r="BG244" s="375"/>
      <c r="BH244" s="375"/>
      <c r="BI244" s="375"/>
      <c r="BJ244" s="375"/>
      <c r="BK244" s="375"/>
    </row>
    <row r="245" spans="58:63" s="1" customFormat="1" x14ac:dyDescent="0.35">
      <c r="BF245" s="375"/>
      <c r="BG245" s="375"/>
      <c r="BH245" s="375"/>
      <c r="BI245" s="375"/>
      <c r="BJ245" s="375"/>
      <c r="BK245" s="375"/>
    </row>
    <row r="246" spans="58:63" s="1" customFormat="1" x14ac:dyDescent="0.35">
      <c r="BF246" s="375"/>
      <c r="BG246" s="375"/>
      <c r="BH246" s="375"/>
      <c r="BI246" s="375"/>
      <c r="BJ246" s="375"/>
      <c r="BK246" s="375"/>
    </row>
    <row r="247" spans="58:63" s="1" customFormat="1" x14ac:dyDescent="0.35">
      <c r="BF247" s="375"/>
      <c r="BG247" s="375"/>
      <c r="BH247" s="375"/>
      <c r="BI247" s="375"/>
      <c r="BJ247" s="375"/>
      <c r="BK247" s="375"/>
    </row>
    <row r="248" spans="58:63" s="1" customFormat="1" x14ac:dyDescent="0.35">
      <c r="BF248" s="375"/>
      <c r="BG248" s="375"/>
      <c r="BH248" s="375"/>
      <c r="BI248" s="375"/>
      <c r="BJ248" s="375"/>
      <c r="BK248" s="375"/>
    </row>
    <row r="249" spans="58:63" s="1" customFormat="1" x14ac:dyDescent="0.35">
      <c r="BF249" s="375"/>
      <c r="BG249" s="375"/>
      <c r="BH249" s="375"/>
      <c r="BI249" s="375"/>
      <c r="BJ249" s="375"/>
      <c r="BK249" s="375"/>
    </row>
    <row r="250" spans="58:63" s="1" customFormat="1" x14ac:dyDescent="0.35">
      <c r="BF250" s="375"/>
      <c r="BG250" s="375"/>
      <c r="BH250" s="375"/>
      <c r="BI250" s="375"/>
      <c r="BJ250" s="375"/>
      <c r="BK250" s="375"/>
    </row>
    <row r="251" spans="58:63" s="1" customFormat="1" x14ac:dyDescent="0.35">
      <c r="BF251" s="375"/>
      <c r="BG251" s="375"/>
      <c r="BH251" s="375"/>
      <c r="BI251" s="375"/>
      <c r="BJ251" s="375"/>
      <c r="BK251" s="375"/>
    </row>
    <row r="252" spans="58:63" s="1" customFormat="1" x14ac:dyDescent="0.35">
      <c r="BF252" s="375"/>
      <c r="BG252" s="375"/>
      <c r="BH252" s="375"/>
      <c r="BI252" s="375"/>
      <c r="BJ252" s="375"/>
      <c r="BK252" s="375"/>
    </row>
    <row r="253" spans="58:63" s="1" customFormat="1" x14ac:dyDescent="0.35">
      <c r="BF253" s="375"/>
      <c r="BG253" s="375"/>
      <c r="BH253" s="375"/>
      <c r="BI253" s="375"/>
      <c r="BJ253" s="375"/>
      <c r="BK253" s="375"/>
    </row>
    <row r="254" spans="58:63" s="1" customFormat="1" x14ac:dyDescent="0.35">
      <c r="BF254" s="375"/>
      <c r="BG254" s="375"/>
      <c r="BH254" s="375"/>
      <c r="BI254" s="375"/>
      <c r="BJ254" s="375"/>
      <c r="BK254" s="375"/>
    </row>
    <row r="255" spans="58:63" s="1" customFormat="1" x14ac:dyDescent="0.35">
      <c r="BF255" s="375"/>
      <c r="BG255" s="375"/>
      <c r="BH255" s="375"/>
      <c r="BI255" s="375"/>
      <c r="BJ255" s="375"/>
      <c r="BK255" s="375"/>
    </row>
    <row r="256" spans="58:63" s="1" customFormat="1" x14ac:dyDescent="0.35">
      <c r="BF256" s="375"/>
      <c r="BG256" s="375"/>
      <c r="BH256" s="375"/>
      <c r="BI256" s="375"/>
      <c r="BJ256" s="375"/>
      <c r="BK256" s="375"/>
    </row>
    <row r="257" spans="58:63" s="1" customFormat="1" x14ac:dyDescent="0.35">
      <c r="BF257" s="375"/>
      <c r="BG257" s="375"/>
      <c r="BH257" s="375"/>
      <c r="BI257" s="375"/>
      <c r="BJ257" s="375"/>
      <c r="BK257" s="375"/>
    </row>
    <row r="258" spans="58:63" s="1" customFormat="1" x14ac:dyDescent="0.35">
      <c r="BF258" s="375"/>
      <c r="BG258" s="375"/>
      <c r="BH258" s="375"/>
      <c r="BI258" s="375"/>
      <c r="BJ258" s="375"/>
      <c r="BK258" s="375"/>
    </row>
    <row r="259" spans="58:63" s="1" customFormat="1" x14ac:dyDescent="0.35">
      <c r="BF259" s="375"/>
      <c r="BG259" s="375"/>
      <c r="BH259" s="375"/>
      <c r="BI259" s="375"/>
      <c r="BJ259" s="375"/>
      <c r="BK259" s="375"/>
    </row>
    <row r="260" spans="58:63" s="1" customFormat="1" x14ac:dyDescent="0.35">
      <c r="BF260" s="375"/>
      <c r="BG260" s="375"/>
      <c r="BH260" s="375"/>
      <c r="BI260" s="375"/>
      <c r="BJ260" s="375"/>
      <c r="BK260" s="375"/>
    </row>
    <row r="261" spans="58:63" s="1" customFormat="1" x14ac:dyDescent="0.35">
      <c r="BF261" s="375"/>
      <c r="BG261" s="375"/>
      <c r="BH261" s="375"/>
      <c r="BI261" s="375"/>
      <c r="BJ261" s="375"/>
      <c r="BK261" s="375"/>
    </row>
    <row r="262" spans="58:63" s="1" customFormat="1" x14ac:dyDescent="0.35">
      <c r="BF262" s="375"/>
      <c r="BG262" s="375"/>
      <c r="BH262" s="375"/>
      <c r="BI262" s="375"/>
      <c r="BJ262" s="375"/>
      <c r="BK262" s="375"/>
    </row>
    <row r="263" spans="58:63" s="1" customFormat="1" x14ac:dyDescent="0.35">
      <c r="BF263" s="375"/>
      <c r="BG263" s="375"/>
      <c r="BH263" s="375"/>
      <c r="BI263" s="375"/>
      <c r="BJ263" s="375"/>
      <c r="BK263" s="375"/>
    </row>
    <row r="264" spans="58:63" s="1" customFormat="1" x14ac:dyDescent="0.35">
      <c r="BF264" s="375"/>
      <c r="BG264" s="375"/>
      <c r="BH264" s="375"/>
      <c r="BI264" s="375"/>
      <c r="BJ264" s="375"/>
      <c r="BK264" s="375"/>
    </row>
    <row r="265" spans="58:63" s="1" customFormat="1" x14ac:dyDescent="0.35">
      <c r="BF265" s="375"/>
      <c r="BG265" s="375"/>
      <c r="BH265" s="375"/>
      <c r="BI265" s="375"/>
      <c r="BJ265" s="375"/>
      <c r="BK265" s="375"/>
    </row>
    <row r="266" spans="58:63" s="1" customFormat="1" x14ac:dyDescent="0.35">
      <c r="BF266" s="375"/>
      <c r="BG266" s="375"/>
      <c r="BH266" s="375"/>
      <c r="BI266" s="375"/>
      <c r="BJ266" s="375"/>
      <c r="BK266" s="375"/>
    </row>
    <row r="267" spans="58:63" s="1" customFormat="1" x14ac:dyDescent="0.35">
      <c r="BF267" s="375"/>
      <c r="BG267" s="375"/>
      <c r="BH267" s="375"/>
      <c r="BI267" s="375"/>
      <c r="BJ267" s="375"/>
      <c r="BK267" s="375"/>
    </row>
    <row r="268" spans="58:63" s="1" customFormat="1" x14ac:dyDescent="0.35">
      <c r="BF268" s="375"/>
      <c r="BG268" s="375"/>
      <c r="BH268" s="375"/>
      <c r="BI268" s="375"/>
      <c r="BJ268" s="375"/>
      <c r="BK268" s="375"/>
    </row>
    <row r="269" spans="58:63" s="1" customFormat="1" x14ac:dyDescent="0.35">
      <c r="BF269" s="375"/>
      <c r="BG269" s="375"/>
      <c r="BH269" s="375"/>
      <c r="BI269" s="375"/>
      <c r="BJ269" s="375"/>
      <c r="BK269" s="375"/>
    </row>
    <row r="270" spans="58:63" s="1" customFormat="1" x14ac:dyDescent="0.35">
      <c r="BF270" s="375"/>
      <c r="BG270" s="375"/>
      <c r="BH270" s="375"/>
      <c r="BI270" s="375"/>
      <c r="BJ270" s="375"/>
      <c r="BK270" s="375"/>
    </row>
    <row r="271" spans="58:63" s="1" customFormat="1" x14ac:dyDescent="0.35">
      <c r="BF271" s="375"/>
      <c r="BG271" s="375"/>
      <c r="BH271" s="375"/>
      <c r="BI271" s="375"/>
      <c r="BJ271" s="375"/>
      <c r="BK271" s="375"/>
    </row>
    <row r="272" spans="58:63" s="1" customFormat="1" x14ac:dyDescent="0.35">
      <c r="BF272" s="375"/>
      <c r="BG272" s="375"/>
      <c r="BH272" s="375"/>
      <c r="BI272" s="375"/>
      <c r="BJ272" s="375"/>
      <c r="BK272" s="375"/>
    </row>
    <row r="273" spans="58:63" s="1" customFormat="1" x14ac:dyDescent="0.35">
      <c r="BF273" s="375"/>
      <c r="BG273" s="375"/>
      <c r="BH273" s="375"/>
      <c r="BI273" s="375"/>
      <c r="BJ273" s="375"/>
      <c r="BK273" s="375"/>
    </row>
    <row r="274" spans="58:63" s="1" customFormat="1" x14ac:dyDescent="0.35">
      <c r="BF274" s="375"/>
      <c r="BG274" s="375"/>
      <c r="BH274" s="375"/>
      <c r="BI274" s="375"/>
      <c r="BJ274" s="375"/>
      <c r="BK274" s="375"/>
    </row>
    <row r="275" spans="58:63" s="1" customFormat="1" x14ac:dyDescent="0.35">
      <c r="BF275" s="375"/>
      <c r="BG275" s="375"/>
      <c r="BH275" s="375"/>
      <c r="BI275" s="375"/>
      <c r="BJ275" s="375"/>
      <c r="BK275" s="375"/>
    </row>
    <row r="276" spans="58:63" s="1" customFormat="1" x14ac:dyDescent="0.35">
      <c r="BF276" s="375"/>
      <c r="BG276" s="375"/>
      <c r="BH276" s="375"/>
      <c r="BI276" s="375"/>
      <c r="BJ276" s="375"/>
      <c r="BK276" s="375"/>
    </row>
    <row r="277" spans="58:63" s="1" customFormat="1" x14ac:dyDescent="0.35">
      <c r="BF277" s="375"/>
      <c r="BG277" s="375"/>
      <c r="BH277" s="375"/>
      <c r="BI277" s="375"/>
      <c r="BJ277" s="375"/>
      <c r="BK277" s="375"/>
    </row>
    <row r="278" spans="58:63" s="1" customFormat="1" x14ac:dyDescent="0.35">
      <c r="BF278" s="375"/>
      <c r="BG278" s="375"/>
      <c r="BH278" s="375"/>
      <c r="BI278" s="375"/>
      <c r="BJ278" s="375"/>
      <c r="BK278" s="375"/>
    </row>
    <row r="279" spans="58:63" s="1" customFormat="1" x14ac:dyDescent="0.35">
      <c r="BF279" s="375"/>
      <c r="BG279" s="375"/>
      <c r="BH279" s="375"/>
      <c r="BI279" s="375"/>
      <c r="BJ279" s="375"/>
      <c r="BK279" s="375"/>
    </row>
    <row r="280" spans="58:63" s="1" customFormat="1" x14ac:dyDescent="0.35">
      <c r="BF280" s="375"/>
      <c r="BG280" s="375"/>
      <c r="BH280" s="375"/>
      <c r="BI280" s="375"/>
      <c r="BJ280" s="375"/>
      <c r="BK280" s="375"/>
    </row>
    <row r="281" spans="58:63" s="1" customFormat="1" x14ac:dyDescent="0.35">
      <c r="BF281" s="375"/>
      <c r="BG281" s="375"/>
      <c r="BH281" s="375"/>
      <c r="BI281" s="375"/>
      <c r="BJ281" s="375"/>
      <c r="BK281" s="375"/>
    </row>
    <row r="282" spans="58:63" s="1" customFormat="1" x14ac:dyDescent="0.35">
      <c r="BF282" s="375"/>
      <c r="BG282" s="375"/>
      <c r="BH282" s="375"/>
      <c r="BI282" s="375"/>
      <c r="BJ282" s="375"/>
      <c r="BK282" s="375"/>
    </row>
    <row r="283" spans="58:63" s="1" customFormat="1" x14ac:dyDescent="0.35">
      <c r="BF283" s="375"/>
      <c r="BG283" s="375"/>
      <c r="BH283" s="375"/>
      <c r="BI283" s="375"/>
      <c r="BJ283" s="375"/>
      <c r="BK283" s="375"/>
    </row>
    <row r="284" spans="58:63" s="1" customFormat="1" x14ac:dyDescent="0.35">
      <c r="BF284" s="375"/>
      <c r="BG284" s="375"/>
      <c r="BH284" s="375"/>
      <c r="BI284" s="375"/>
      <c r="BJ284" s="375"/>
      <c r="BK284" s="375"/>
    </row>
    <row r="285" spans="58:63" s="1" customFormat="1" x14ac:dyDescent="0.35">
      <c r="BF285" s="375"/>
      <c r="BG285" s="375"/>
      <c r="BH285" s="375"/>
      <c r="BI285" s="375"/>
      <c r="BJ285" s="375"/>
      <c r="BK285" s="375"/>
    </row>
    <row r="286" spans="58:63" s="1" customFormat="1" x14ac:dyDescent="0.35">
      <c r="BF286" s="375"/>
      <c r="BG286" s="375"/>
      <c r="BH286" s="375"/>
      <c r="BI286" s="375"/>
      <c r="BJ286" s="375"/>
      <c r="BK286" s="375"/>
    </row>
    <row r="287" spans="58:63" s="1" customFormat="1" x14ac:dyDescent="0.35">
      <c r="BF287" s="375"/>
      <c r="BG287" s="375"/>
      <c r="BH287" s="375"/>
      <c r="BI287" s="375"/>
      <c r="BJ287" s="375"/>
      <c r="BK287" s="375"/>
    </row>
    <row r="288" spans="58:63" s="1" customFormat="1" x14ac:dyDescent="0.35">
      <c r="BF288" s="375"/>
      <c r="BG288" s="375"/>
      <c r="BH288" s="375"/>
      <c r="BI288" s="375"/>
      <c r="BJ288" s="375"/>
      <c r="BK288" s="375"/>
    </row>
    <row r="289" spans="22:63" s="1" customFormat="1" x14ac:dyDescent="0.35">
      <c r="BF289" s="375"/>
      <c r="BG289" s="375"/>
      <c r="BH289" s="375"/>
      <c r="BI289" s="375"/>
      <c r="BJ289" s="375"/>
      <c r="BK289" s="375"/>
    </row>
    <row r="290" spans="22:63" s="1" customFormat="1" x14ac:dyDescent="0.35">
      <c r="BF290" s="375"/>
      <c r="BG290" s="375"/>
      <c r="BH290" s="375"/>
      <c r="BI290" s="375"/>
      <c r="BJ290" s="375"/>
      <c r="BK290" s="375"/>
    </row>
    <row r="291" spans="22:63" s="1" customFormat="1" x14ac:dyDescent="0.35">
      <c r="BF291" s="375"/>
      <c r="BG291" s="375"/>
      <c r="BH291" s="375"/>
      <c r="BI291" s="375"/>
      <c r="BJ291" s="375"/>
      <c r="BK291" s="375"/>
    </row>
    <row r="292" spans="22:63" s="1" customFormat="1" x14ac:dyDescent="0.35">
      <c r="BF292" s="375"/>
      <c r="BG292" s="375"/>
      <c r="BH292" s="375"/>
      <c r="BI292" s="375"/>
      <c r="BJ292" s="375"/>
      <c r="BK292" s="375"/>
    </row>
    <row r="293" spans="22:63" s="1" customFormat="1" x14ac:dyDescent="0.35">
      <c r="BF293" s="375"/>
      <c r="BG293" s="375"/>
      <c r="BH293" s="375"/>
      <c r="BI293" s="375"/>
      <c r="BJ293" s="375"/>
      <c r="BK293" s="375"/>
    </row>
    <row r="294" spans="22:63" s="1" customFormat="1" x14ac:dyDescent="0.35">
      <c r="BF294" s="375"/>
      <c r="BG294" s="375"/>
      <c r="BH294" s="375"/>
      <c r="BI294" s="375"/>
      <c r="BJ294" s="375"/>
      <c r="BK294" s="375"/>
    </row>
    <row r="295" spans="22:63" s="1" customFormat="1" x14ac:dyDescent="0.35">
      <c r="BF295" s="375"/>
      <c r="BG295" s="375"/>
      <c r="BH295" s="375"/>
      <c r="BI295" s="375"/>
      <c r="BJ295" s="375"/>
      <c r="BK295" s="375"/>
    </row>
    <row r="296" spans="22:63" s="1" customFormat="1" x14ac:dyDescent="0.35">
      <c r="BF296" s="375"/>
      <c r="BG296" s="375"/>
      <c r="BH296" s="375"/>
      <c r="BI296" s="375"/>
      <c r="BJ296" s="375"/>
      <c r="BK296" s="375"/>
    </row>
    <row r="297" spans="22:63" s="1" customFormat="1" x14ac:dyDescent="0.35">
      <c r="BF297" s="375"/>
      <c r="BG297" s="375"/>
      <c r="BH297" s="375"/>
      <c r="BI297" s="375"/>
      <c r="BJ297" s="375"/>
      <c r="BK297" s="375"/>
    </row>
    <row r="298" spans="22:63" x14ac:dyDescent="0.35">
      <c r="V298"/>
    </row>
    <row r="299" spans="22:63" x14ac:dyDescent="0.35">
      <c r="V299"/>
    </row>
  </sheetData>
  <mergeCells count="28">
    <mergeCell ref="E2:F2"/>
    <mergeCell ref="V1:AA1"/>
    <mergeCell ref="AT1:AT2"/>
    <mergeCell ref="BB1:BC1"/>
    <mergeCell ref="BD1:BE1"/>
    <mergeCell ref="G2:H2"/>
    <mergeCell ref="AG1:AK1"/>
    <mergeCell ref="AX1:AY1"/>
    <mergeCell ref="AS1:AS2"/>
    <mergeCell ref="R1:R2"/>
    <mergeCell ref="S1:S2"/>
    <mergeCell ref="Q1:Q2"/>
    <mergeCell ref="AC1:AC2"/>
    <mergeCell ref="BA1:BA2"/>
    <mergeCell ref="AZ1:AZ2"/>
    <mergeCell ref="AU1:AU2"/>
    <mergeCell ref="BF1:BF2"/>
    <mergeCell ref="BG1:BG2"/>
    <mergeCell ref="BH1:BH2"/>
    <mergeCell ref="BJ1:BJ2"/>
    <mergeCell ref="BK1:BK2"/>
    <mergeCell ref="BI1:BI2"/>
    <mergeCell ref="J1:P1"/>
    <mergeCell ref="AD1:AD2"/>
    <mergeCell ref="AM1:AM2"/>
    <mergeCell ref="AN1:AN2"/>
    <mergeCell ref="AB1:AB2"/>
    <mergeCell ref="AL1:AL2"/>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0892-8E5E-468B-8844-991F3D6AA61E}">
  <sheetPr>
    <tabColor theme="7" tint="0.59999389629810485"/>
  </sheetPr>
  <dimension ref="A1:BS113"/>
  <sheetViews>
    <sheetView topLeftCell="A17" zoomScale="55" zoomScaleNormal="55" workbookViewId="0">
      <selection sqref="A1:XFD39"/>
    </sheetView>
  </sheetViews>
  <sheetFormatPr baseColWidth="10" defaultRowHeight="14.5" x14ac:dyDescent="0.35"/>
  <cols>
    <col min="2" max="2" width="14.26953125" bestFit="1" customWidth="1"/>
    <col min="3" max="3" width="9.36328125" bestFit="1" customWidth="1"/>
    <col min="4" max="4" width="18" bestFit="1" customWidth="1"/>
    <col min="5" max="6" width="18" customWidth="1"/>
    <col min="7" max="7" width="18.6328125" bestFit="1" customWidth="1"/>
    <col min="8" max="9" width="18.6328125" customWidth="1"/>
    <col min="10" max="10" width="14.54296875" bestFit="1" customWidth="1"/>
    <col min="11" max="12" width="14.54296875" customWidth="1"/>
    <col min="13" max="13" width="25.54296875" style="12" customWidth="1"/>
    <col min="16" max="16" width="13.6328125" bestFit="1" customWidth="1"/>
    <col min="17" max="17" width="18" bestFit="1" customWidth="1"/>
    <col min="18" max="18" width="13.1796875" bestFit="1" customWidth="1"/>
    <col min="19" max="19" width="20" bestFit="1" customWidth="1"/>
    <col min="20" max="20" width="18.6328125" bestFit="1" customWidth="1"/>
    <col min="23" max="24" width="13.6328125" bestFit="1" customWidth="1"/>
    <col min="25" max="25" width="21.81640625" bestFit="1" customWidth="1"/>
    <col min="26" max="26" width="16.08984375" bestFit="1" customWidth="1"/>
    <col min="29" max="29" width="20.7265625" bestFit="1" customWidth="1"/>
    <col min="30" max="30" width="25.1796875" bestFit="1" customWidth="1"/>
    <col min="31" max="31" width="23.26953125" bestFit="1" customWidth="1"/>
    <col min="36" max="36" width="22.7265625" customWidth="1"/>
    <col min="37" max="37" width="13.1796875" bestFit="1" customWidth="1"/>
    <col min="38" max="38" width="12" bestFit="1" customWidth="1"/>
    <col min="39" max="39" width="25.54296875" customWidth="1"/>
    <col min="40" max="40" width="17.7265625" customWidth="1"/>
  </cols>
  <sheetData>
    <row r="1" spans="1:71" ht="106.5" customHeight="1" thickBot="1" x14ac:dyDescent="0.4">
      <c r="B1" s="644" t="s">
        <v>133</v>
      </c>
      <c r="C1" s="646" t="s">
        <v>134</v>
      </c>
      <c r="D1" s="682" t="s">
        <v>238</v>
      </c>
      <c r="E1" s="644" t="s">
        <v>133</v>
      </c>
      <c r="F1" s="646" t="s">
        <v>134</v>
      </c>
      <c r="G1" s="682" t="s">
        <v>239</v>
      </c>
      <c r="H1" s="644" t="s">
        <v>133</v>
      </c>
      <c r="I1" s="646" t="s">
        <v>134</v>
      </c>
      <c r="J1" s="682" t="s">
        <v>240</v>
      </c>
      <c r="K1" s="644" t="s">
        <v>133</v>
      </c>
      <c r="L1" s="646" t="s">
        <v>134</v>
      </c>
      <c r="M1" s="524" t="s">
        <v>131</v>
      </c>
      <c r="N1" s="1"/>
      <c r="O1" s="10" t="s">
        <v>62</v>
      </c>
      <c r="P1" s="691" t="s">
        <v>198</v>
      </c>
      <c r="Q1" s="691"/>
      <c r="R1" s="691"/>
      <c r="S1" s="691"/>
      <c r="T1" s="691"/>
      <c r="U1" s="691" t="s">
        <v>165</v>
      </c>
      <c r="V1" s="691"/>
      <c r="W1" s="688" t="s">
        <v>166</v>
      </c>
      <c r="X1" s="688"/>
      <c r="Y1" s="688" t="s">
        <v>199</v>
      </c>
      <c r="Z1" s="688"/>
      <c r="AA1" s="692" t="s">
        <v>162</v>
      </c>
      <c r="AB1" s="693"/>
      <c r="AC1" t="s">
        <v>169</v>
      </c>
      <c r="AD1" s="694" t="s">
        <v>190</v>
      </c>
      <c r="AE1" s="694"/>
      <c r="AF1" s="685" t="s">
        <v>77</v>
      </c>
      <c r="AG1" s="686"/>
      <c r="AH1" s="686"/>
      <c r="AI1" s="687"/>
      <c r="AJ1" s="688" t="s">
        <v>78</v>
      </c>
      <c r="AK1" s="688"/>
      <c r="AL1" s="688"/>
      <c r="AM1" s="13" t="s">
        <v>79</v>
      </c>
      <c r="AN1" s="13" t="s">
        <v>80</v>
      </c>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row>
    <row r="2" spans="1:71" ht="21" customHeight="1" x14ac:dyDescent="0.35">
      <c r="B2" s="680"/>
      <c r="C2" s="681"/>
      <c r="D2" s="683"/>
      <c r="E2" s="645"/>
      <c r="F2" s="647"/>
      <c r="G2" s="684"/>
      <c r="H2" s="645"/>
      <c r="I2" s="647"/>
      <c r="J2" s="684"/>
      <c r="K2" s="645"/>
      <c r="L2" s="647"/>
      <c r="M2" s="525" t="s">
        <v>250</v>
      </c>
      <c r="N2" s="1"/>
      <c r="O2" s="20"/>
      <c r="P2" s="109" t="s">
        <v>81</v>
      </c>
      <c r="Q2" s="109" t="s">
        <v>82</v>
      </c>
      <c r="R2" s="109" t="s">
        <v>83</v>
      </c>
      <c r="S2" s="109" t="s">
        <v>237</v>
      </c>
      <c r="T2" s="110" t="s">
        <v>85</v>
      </c>
      <c r="U2" s="109" t="s">
        <v>86</v>
      </c>
      <c r="V2" s="109" t="s">
        <v>87</v>
      </c>
      <c r="W2" s="109" t="s">
        <v>86</v>
      </c>
      <c r="X2" s="109" t="s">
        <v>87</v>
      </c>
      <c r="Y2" s="109" t="s">
        <v>88</v>
      </c>
      <c r="Z2" s="109" t="s">
        <v>89</v>
      </c>
      <c r="AA2" s="109" t="s">
        <v>90</v>
      </c>
      <c r="AB2" s="109" t="s">
        <v>91</v>
      </c>
      <c r="AC2" s="109" t="s">
        <v>92</v>
      </c>
      <c r="AD2" s="109" t="s">
        <v>93</v>
      </c>
      <c r="AE2" s="109" t="s">
        <v>94</v>
      </c>
      <c r="AF2" s="109" t="s">
        <v>91</v>
      </c>
      <c r="AG2" s="109" t="s">
        <v>90</v>
      </c>
      <c r="AH2" s="109" t="s">
        <v>95</v>
      </c>
      <c r="AI2" s="109"/>
      <c r="AJ2" s="20" t="s">
        <v>96</v>
      </c>
      <c r="AK2" s="20" t="s">
        <v>97</v>
      </c>
      <c r="AL2" s="20" t="s">
        <v>98</v>
      </c>
      <c r="AM2" s="20" t="s">
        <v>99</v>
      </c>
      <c r="AN2" s="20" t="s">
        <v>100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row>
    <row r="3" spans="1:71" ht="72.5" x14ac:dyDescent="0.35">
      <c r="A3" s="21" t="s">
        <v>21</v>
      </c>
      <c r="B3" s="361">
        <f>MIN(W3,AA3,AD3,AK3,AN3,AG3,U3,P3)</f>
        <v>371.70000000000005</v>
      </c>
      <c r="C3" s="61">
        <f>MAX(W3,AA3,AD3,AK3,AN3,AG3,U3,P3)</f>
        <v>3651</v>
      </c>
      <c r="D3" s="603">
        <v>1400</v>
      </c>
      <c r="E3" s="61">
        <f>MIN(AL3,AG3,AD3,AA3,W3,U3,S3)</f>
        <v>371.70000000000005</v>
      </c>
      <c r="F3" s="374">
        <f>MAX(AL3,AG3,AD3,AA3,W3,U3,S3)</f>
        <v>3856</v>
      </c>
      <c r="G3" s="543">
        <v>500</v>
      </c>
      <c r="H3" s="74">
        <f>MIN(AF3,AE3,AB3,Z3,X3,V3,Q3)</f>
        <v>446.9</v>
      </c>
      <c r="I3" s="544">
        <f>MAX(AF3,AE3,AB3,Z3,X3,V3,Q3)</f>
        <v>2063</v>
      </c>
      <c r="J3" s="45">
        <v>1600</v>
      </c>
      <c r="K3" s="83">
        <v>1600</v>
      </c>
      <c r="L3" s="546">
        <v>1600</v>
      </c>
      <c r="M3" s="526" t="s">
        <v>251</v>
      </c>
      <c r="N3" s="1"/>
      <c r="O3" s="91" t="s">
        <v>21</v>
      </c>
      <c r="P3" s="26">
        <v>700</v>
      </c>
      <c r="Q3" s="26">
        <v>500</v>
      </c>
      <c r="R3" s="26">
        <v>1600</v>
      </c>
      <c r="S3" s="26">
        <v>1400</v>
      </c>
      <c r="T3" s="111" t="s">
        <v>101</v>
      </c>
      <c r="U3" s="14"/>
      <c r="V3" s="14"/>
      <c r="W3" s="60">
        <f>1000*(123.9*0.3/100)</f>
        <v>371.70000000000005</v>
      </c>
      <c r="X3" s="60">
        <f>1000*(446.9*0.001)</f>
        <v>446.9</v>
      </c>
      <c r="Y3" s="14"/>
      <c r="Z3" s="14"/>
      <c r="AA3" s="27">
        <v>1372</v>
      </c>
      <c r="AB3" s="60">
        <v>2063</v>
      </c>
      <c r="AC3" s="14"/>
      <c r="AD3" s="27">
        <v>759.38</v>
      </c>
      <c r="AE3" s="27">
        <v>1061</v>
      </c>
      <c r="AF3" s="20"/>
      <c r="AG3" s="20"/>
      <c r="AH3" s="20">
        <v>1311.8571428571429</v>
      </c>
      <c r="AI3" s="20"/>
      <c r="AJ3" s="20">
        <v>4965</v>
      </c>
      <c r="AK3" s="20">
        <v>3651</v>
      </c>
      <c r="AL3" s="20">
        <v>3856</v>
      </c>
      <c r="AM3" s="20">
        <v>13200</v>
      </c>
      <c r="AN3" s="20"/>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65" customHeight="1" x14ac:dyDescent="0.35">
      <c r="A4" s="37" t="s">
        <v>22</v>
      </c>
      <c r="B4" s="361">
        <v>0</v>
      </c>
      <c r="C4" s="61">
        <f>MAX(W4,AA4,AD4,AK4,AN4,AG4,U4,P4)</f>
        <v>1</v>
      </c>
      <c r="D4" s="604">
        <v>0</v>
      </c>
      <c r="E4" s="61">
        <v>0</v>
      </c>
      <c r="F4" s="374">
        <f>MAX(AL4,AG4,AD4,AA4,W4,U4,S4)</f>
        <v>1</v>
      </c>
      <c r="G4" s="68">
        <v>6</v>
      </c>
      <c r="H4" s="61">
        <f>MIN(AF4,AE4,AB4,Z4,X4,V4,Q4)</f>
        <v>6</v>
      </c>
      <c r="I4" s="374">
        <f>MAX(AF4,AE4,AB4,Z4,X4,V4,Q4)</f>
        <v>7</v>
      </c>
      <c r="J4" s="126">
        <v>1</v>
      </c>
      <c r="K4" s="114">
        <v>1</v>
      </c>
      <c r="L4" s="127">
        <v>1</v>
      </c>
      <c r="M4" s="527" t="s">
        <v>252</v>
      </c>
      <c r="N4" s="1"/>
      <c r="O4" s="28" t="s">
        <v>22</v>
      </c>
      <c r="P4" s="26">
        <v>0</v>
      </c>
      <c r="Q4" s="26">
        <v>6</v>
      </c>
      <c r="R4" s="26">
        <v>1</v>
      </c>
      <c r="S4" s="26">
        <v>0</v>
      </c>
      <c r="T4" s="111" t="s">
        <v>102</v>
      </c>
      <c r="U4" s="14"/>
      <c r="V4" s="14"/>
      <c r="W4" s="14"/>
      <c r="X4" s="14"/>
      <c r="Y4" s="14"/>
      <c r="Z4" s="14"/>
      <c r="AA4" s="27">
        <v>1</v>
      </c>
      <c r="AB4" s="27">
        <v>7</v>
      </c>
      <c r="AC4" s="14"/>
      <c r="AD4" s="14"/>
      <c r="AE4" s="14"/>
      <c r="AF4" s="20"/>
      <c r="AG4" s="20"/>
      <c r="AH4" s="20">
        <v>6</v>
      </c>
      <c r="AI4" s="20"/>
      <c r="AJ4" s="20"/>
      <c r="AK4" s="20"/>
      <c r="AL4" s="20"/>
      <c r="AM4" s="20"/>
      <c r="AN4" s="20"/>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21.5" customHeight="1" x14ac:dyDescent="0.35">
      <c r="A5" s="37" t="s">
        <v>23</v>
      </c>
      <c r="B5" s="595">
        <v>0</v>
      </c>
      <c r="C5" s="437">
        <v>0</v>
      </c>
      <c r="D5" s="605">
        <v>0</v>
      </c>
      <c r="E5" s="437">
        <v>0</v>
      </c>
      <c r="F5" s="438">
        <v>0</v>
      </c>
      <c r="G5" s="436">
        <v>0</v>
      </c>
      <c r="H5" s="437">
        <v>0</v>
      </c>
      <c r="I5" s="438">
        <v>0</v>
      </c>
      <c r="J5" s="436">
        <v>0</v>
      </c>
      <c r="K5" s="437"/>
      <c r="L5" s="438"/>
      <c r="M5" s="528"/>
      <c r="N5" s="1"/>
      <c r="O5" s="91" t="s">
        <v>67</v>
      </c>
      <c r="P5" s="26">
        <v>525</v>
      </c>
      <c r="Q5" s="26">
        <v>525</v>
      </c>
      <c r="R5" s="26">
        <v>580</v>
      </c>
      <c r="S5" s="26">
        <v>470</v>
      </c>
      <c r="T5" s="111" t="s">
        <v>103</v>
      </c>
      <c r="U5" s="27">
        <v>470</v>
      </c>
      <c r="V5" s="27">
        <v>525</v>
      </c>
      <c r="W5" s="14"/>
      <c r="X5" s="14"/>
      <c r="Y5" s="14"/>
      <c r="Z5" s="14"/>
      <c r="AA5" s="60">
        <v>683</v>
      </c>
      <c r="AB5" s="60">
        <v>372</v>
      </c>
      <c r="AC5" s="14"/>
      <c r="AD5" s="60">
        <v>2002.51</v>
      </c>
      <c r="AE5" s="60">
        <v>8140.56</v>
      </c>
      <c r="AF5" s="20"/>
      <c r="AG5" s="20"/>
      <c r="AH5" s="20">
        <f>AVERAGE(239,525)</f>
        <v>382</v>
      </c>
      <c r="AI5" s="20"/>
      <c r="AJ5" s="20"/>
      <c r="AK5" s="20"/>
      <c r="AL5" s="20"/>
      <c r="AM5" s="20"/>
      <c r="AN5" s="20"/>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ht="48" customHeight="1" x14ac:dyDescent="0.35">
      <c r="A6" s="21" t="s">
        <v>67</v>
      </c>
      <c r="B6" s="361">
        <f>MIN(W5,AA5,AD5,AK5,AN5,AG5,U5,P5)</f>
        <v>470</v>
      </c>
      <c r="C6" s="61">
        <f>MAX(W5,AA5,AK5,AN5,AG5,U5,P5)</f>
        <v>683</v>
      </c>
      <c r="D6" s="604">
        <v>470</v>
      </c>
      <c r="E6" s="61">
        <f>MIN(AL5,AG5,AD5,AA5,W5,U5,S5)</f>
        <v>470</v>
      </c>
      <c r="F6" s="374">
        <f>MAX(AL5,AG5,AA5,W5,U5,S5)</f>
        <v>683</v>
      </c>
      <c r="G6" s="68">
        <v>525</v>
      </c>
      <c r="H6" s="61">
        <f>MIN(AF5,AE5,AB5,Z5,X5,V5,Q5)</f>
        <v>372</v>
      </c>
      <c r="I6" s="374">
        <f>MAX(AF5,AB5,Z5,X5,V5,Q5)</f>
        <v>525</v>
      </c>
      <c r="J6" s="68">
        <v>580</v>
      </c>
      <c r="K6" s="106">
        <v>580</v>
      </c>
      <c r="L6" s="128">
        <v>580</v>
      </c>
      <c r="M6" s="527" t="s">
        <v>253</v>
      </c>
      <c r="N6" s="1"/>
      <c r="O6" s="28" t="s">
        <v>24</v>
      </c>
      <c r="P6" s="26">
        <v>369000</v>
      </c>
      <c r="Q6" s="26">
        <v>243000</v>
      </c>
      <c r="R6" s="26">
        <v>413000</v>
      </c>
      <c r="S6" s="26">
        <v>355000</v>
      </c>
      <c r="T6" s="111" t="s">
        <v>104</v>
      </c>
      <c r="U6" s="14"/>
      <c r="V6" s="14"/>
      <c r="W6" s="14"/>
      <c r="X6" s="14"/>
      <c r="Y6" s="14"/>
      <c r="Z6" s="14"/>
      <c r="AA6" s="14"/>
      <c r="AB6" s="14"/>
      <c r="AC6" s="14"/>
      <c r="AD6" s="14">
        <v>0</v>
      </c>
      <c r="AE6" s="14" t="s">
        <v>105</v>
      </c>
      <c r="AF6" s="20"/>
      <c r="AG6" s="20"/>
      <c r="AH6" s="20"/>
      <c r="AI6" s="20"/>
      <c r="AJ6" s="20">
        <v>487879</v>
      </c>
      <c r="AK6" s="20">
        <v>818261</v>
      </c>
      <c r="AL6" s="20">
        <v>380000</v>
      </c>
      <c r="AM6" s="20">
        <v>365440</v>
      </c>
      <c r="AN6" s="20"/>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ht="23" customHeight="1" x14ac:dyDescent="0.35">
      <c r="A7" s="21" t="s">
        <v>68</v>
      </c>
      <c r="B7" s="595"/>
      <c r="C7" s="437"/>
      <c r="D7" s="605"/>
      <c r="E7" s="437"/>
      <c r="F7" s="438"/>
      <c r="G7" s="436">
        <v>0</v>
      </c>
      <c r="H7" s="437"/>
      <c r="I7" s="438"/>
      <c r="J7" s="436"/>
      <c r="K7" s="437"/>
      <c r="L7" s="438"/>
      <c r="M7" s="528"/>
      <c r="N7" s="1"/>
      <c r="O7" s="91" t="s">
        <v>69</v>
      </c>
      <c r="P7" s="26">
        <v>5000</v>
      </c>
      <c r="Q7" s="26">
        <v>3000</v>
      </c>
      <c r="R7" s="26">
        <v>950</v>
      </c>
      <c r="S7" s="26">
        <v>1400</v>
      </c>
      <c r="T7" s="111" t="s">
        <v>106</v>
      </c>
      <c r="U7" s="27">
        <v>2900</v>
      </c>
      <c r="V7" s="112">
        <v>8000</v>
      </c>
      <c r="W7" s="27">
        <f>1000*(123.9*3.1/100)</f>
        <v>3840.9000000000005</v>
      </c>
      <c r="X7" s="27">
        <f>1000*(446.9*0.6/100)</f>
        <v>2681.4</v>
      </c>
      <c r="Y7" s="27">
        <v>4082</v>
      </c>
      <c r="Z7" s="27">
        <v>4700</v>
      </c>
      <c r="AA7" s="27">
        <v>2497</v>
      </c>
      <c r="AB7" s="112">
        <v>9371</v>
      </c>
      <c r="AC7" s="27">
        <v>2000</v>
      </c>
      <c r="AD7" s="43">
        <v>9620.82</v>
      </c>
      <c r="AE7" s="27">
        <v>3143.3</v>
      </c>
      <c r="AF7" s="20"/>
      <c r="AG7" s="20"/>
      <c r="AH7" s="20">
        <v>5794.8846153846152</v>
      </c>
      <c r="AI7" s="20"/>
      <c r="AJ7" s="20"/>
      <c r="AK7" s="20"/>
      <c r="AL7" s="20"/>
      <c r="AM7" s="20">
        <v>3320</v>
      </c>
      <c r="AN7" s="20"/>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ht="16" customHeight="1" x14ac:dyDescent="0.35">
      <c r="A8" s="52" t="s">
        <v>24</v>
      </c>
      <c r="B8" s="596">
        <v>369000</v>
      </c>
      <c r="C8" s="105">
        <v>369000</v>
      </c>
      <c r="D8" s="606">
        <v>355000</v>
      </c>
      <c r="E8" s="105">
        <v>355000</v>
      </c>
      <c r="F8" s="167">
        <v>355000</v>
      </c>
      <c r="G8" s="56">
        <v>243000</v>
      </c>
      <c r="H8" s="105">
        <v>243000</v>
      </c>
      <c r="I8" s="167">
        <v>243000</v>
      </c>
      <c r="J8" s="56">
        <v>413000</v>
      </c>
      <c r="K8" s="105">
        <v>413000</v>
      </c>
      <c r="L8" s="167">
        <v>413000</v>
      </c>
      <c r="M8" s="526" t="s">
        <v>254</v>
      </c>
      <c r="N8" s="1"/>
      <c r="O8" s="107" t="s">
        <v>27</v>
      </c>
      <c r="P8" s="26">
        <v>6</v>
      </c>
      <c r="Q8" s="26">
        <v>17</v>
      </c>
      <c r="R8" s="26">
        <v>6</v>
      </c>
      <c r="S8" s="26">
        <v>2</v>
      </c>
      <c r="T8" s="111" t="s">
        <v>107</v>
      </c>
      <c r="U8" s="14"/>
      <c r="V8" s="14"/>
      <c r="W8" s="14"/>
      <c r="X8" s="14"/>
      <c r="Y8" s="14"/>
      <c r="Z8" s="27">
        <v>13</v>
      </c>
      <c r="AA8" s="27">
        <v>0</v>
      </c>
      <c r="AB8" s="27">
        <v>16</v>
      </c>
      <c r="AC8" s="60">
        <v>33</v>
      </c>
      <c r="AD8" s="27">
        <v>0</v>
      </c>
      <c r="AE8" s="14">
        <v>0</v>
      </c>
      <c r="AF8" s="20"/>
      <c r="AG8" s="20"/>
      <c r="AH8" s="20"/>
      <c r="AI8" s="20"/>
      <c r="AJ8" s="20"/>
      <c r="AK8" s="20"/>
      <c r="AL8" s="20"/>
      <c r="AM8" s="20"/>
      <c r="AN8" s="20">
        <v>12</v>
      </c>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ht="41" customHeight="1" x14ac:dyDescent="0.35">
      <c r="A9" s="21" t="s">
        <v>69</v>
      </c>
      <c r="B9" s="361">
        <f>MIN(W7,AA7,AD7,AK7,AN7,AG7,U7,P7)</f>
        <v>2497</v>
      </c>
      <c r="C9" s="61">
        <f>MAX(W7,AA7,AD7,AK7,AN7,AG7,U7,P7)</f>
        <v>9620.82</v>
      </c>
      <c r="D9" s="604">
        <v>1400</v>
      </c>
      <c r="E9" s="61">
        <f>MIN(AL7,AG7,AD7,AA7,W7,U7,S7)</f>
        <v>1400</v>
      </c>
      <c r="F9" s="374">
        <f>MAX(AL7,AG7,AA7,W7,U7,S7)</f>
        <v>3840.9000000000005</v>
      </c>
      <c r="G9" s="68">
        <v>8000</v>
      </c>
      <c r="H9" s="61">
        <f>MIN(AF7,AE7,AB7,Z7,X7,V7,Q7)</f>
        <v>2681.4</v>
      </c>
      <c r="I9" s="374">
        <f>MAX(AF7,AE7,AB7,Z7,X7,V7,Q7)</f>
        <v>9371</v>
      </c>
      <c r="J9" s="56">
        <v>950</v>
      </c>
      <c r="K9" s="105">
        <v>950</v>
      </c>
      <c r="L9" s="167">
        <v>950</v>
      </c>
      <c r="M9" s="527" t="s">
        <v>258</v>
      </c>
      <c r="N9" s="1"/>
      <c r="O9" s="28" t="s">
        <v>108</v>
      </c>
      <c r="P9" s="26">
        <v>8100</v>
      </c>
      <c r="Q9" s="26">
        <v>8100</v>
      </c>
      <c r="R9" s="26">
        <v>8400</v>
      </c>
      <c r="S9" s="26">
        <v>7700</v>
      </c>
      <c r="T9" s="111" t="s">
        <v>109</v>
      </c>
      <c r="U9" s="14"/>
      <c r="V9" s="14"/>
      <c r="W9" s="14"/>
      <c r="X9" s="14"/>
      <c r="Y9" s="14"/>
      <c r="Z9" s="14"/>
      <c r="AA9" s="14"/>
      <c r="AB9" s="14"/>
      <c r="AC9" s="14"/>
      <c r="AD9" s="14"/>
      <c r="AE9" s="14"/>
      <c r="AF9" s="20"/>
      <c r="AG9" s="20"/>
      <c r="AH9" s="20"/>
      <c r="AI9" s="20"/>
      <c r="AJ9" s="20">
        <v>10255</v>
      </c>
      <c r="AK9" s="20">
        <v>7549</v>
      </c>
      <c r="AL9" s="20">
        <v>4013</v>
      </c>
      <c r="AM9" s="20">
        <v>9580</v>
      </c>
      <c r="AN9" s="20"/>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ht="52.5" customHeight="1" x14ac:dyDescent="0.35">
      <c r="A10" s="66" t="s">
        <v>27</v>
      </c>
      <c r="B10" s="361">
        <v>6</v>
      </c>
      <c r="C10" s="61">
        <f>MAX(W8,AA8,AD8,AK8,AN8,AG8,U8,P8)</f>
        <v>12</v>
      </c>
      <c r="D10" s="604">
        <v>2</v>
      </c>
      <c r="E10" s="61">
        <v>2</v>
      </c>
      <c r="F10" s="374">
        <f>MAX(AL8,AG8,AD8,AA8,W8,U8,S8)</f>
        <v>2</v>
      </c>
      <c r="G10" s="68">
        <v>17</v>
      </c>
      <c r="H10" s="61">
        <v>17</v>
      </c>
      <c r="I10" s="374">
        <f>MAX(AF8,AE8,AB8,Z8,X8,V8,Q8)</f>
        <v>17</v>
      </c>
      <c r="J10" s="68">
        <v>6</v>
      </c>
      <c r="K10" s="106">
        <v>6</v>
      </c>
      <c r="L10" s="128">
        <v>6</v>
      </c>
      <c r="M10" s="526" t="s">
        <v>255</v>
      </c>
      <c r="N10" s="1"/>
      <c r="O10" s="28" t="s">
        <v>32</v>
      </c>
      <c r="P10" s="26">
        <v>20100</v>
      </c>
      <c r="Q10" s="26">
        <v>20100</v>
      </c>
      <c r="R10" s="26">
        <v>20800</v>
      </c>
      <c r="S10" s="26">
        <v>18000</v>
      </c>
      <c r="T10" s="111" t="s">
        <v>110</v>
      </c>
      <c r="U10" s="14"/>
      <c r="V10" s="14"/>
      <c r="W10" s="14"/>
      <c r="X10" s="14"/>
      <c r="Y10" s="14"/>
      <c r="Z10" s="14"/>
      <c r="AA10" s="14"/>
      <c r="AB10" s="14"/>
      <c r="AC10" s="112">
        <v>140000</v>
      </c>
      <c r="AD10" s="112">
        <v>182423</v>
      </c>
      <c r="AE10" s="112">
        <v>149760</v>
      </c>
      <c r="AF10" s="20"/>
      <c r="AG10" s="20"/>
      <c r="AH10" s="20"/>
      <c r="AI10" s="20"/>
      <c r="AJ10" s="14" t="s">
        <v>111</v>
      </c>
      <c r="AK10" s="14">
        <v>138973</v>
      </c>
      <c r="AL10" s="14">
        <v>91897</v>
      </c>
      <c r="AM10" s="14" t="s">
        <v>112</v>
      </c>
      <c r="AN10" s="20"/>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x14ac:dyDescent="0.35">
      <c r="A11" s="21" t="s">
        <v>28</v>
      </c>
      <c r="B11" s="595"/>
      <c r="C11" s="437">
        <v>0</v>
      </c>
      <c r="D11" s="605">
        <v>0</v>
      </c>
      <c r="E11" s="437"/>
      <c r="F11" s="438">
        <v>0</v>
      </c>
      <c r="G11" s="436">
        <v>0</v>
      </c>
      <c r="H11" s="437"/>
      <c r="I11" s="438"/>
      <c r="J11" s="436">
        <v>0</v>
      </c>
      <c r="K11" s="437"/>
      <c r="L11" s="438"/>
      <c r="M11" s="528"/>
      <c r="N11" s="1"/>
      <c r="O11" s="11" t="s">
        <v>34</v>
      </c>
      <c r="P11" s="26"/>
      <c r="Q11" s="26"/>
      <c r="R11" s="26"/>
      <c r="S11" s="26"/>
      <c r="T11" s="111"/>
      <c r="U11" s="14"/>
      <c r="V11" s="14"/>
      <c r="W11" s="14"/>
      <c r="X11" s="14"/>
      <c r="Y11" s="14"/>
      <c r="Z11" s="14"/>
      <c r="AA11" s="14"/>
      <c r="AB11" s="14"/>
      <c r="AC11" s="112"/>
      <c r="AD11" s="112"/>
      <c r="AE11" s="112"/>
      <c r="AF11" s="20" t="s">
        <v>113</v>
      </c>
      <c r="AG11" s="20"/>
      <c r="AH11" s="20"/>
      <c r="AI11" s="20"/>
      <c r="AJ11" s="20"/>
      <c r="AL11" s="20"/>
      <c r="AM11" s="20"/>
      <c r="AN11" s="20"/>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x14ac:dyDescent="0.35">
      <c r="A12" s="21" t="s">
        <v>70</v>
      </c>
      <c r="B12" s="595"/>
      <c r="C12" s="437">
        <v>0</v>
      </c>
      <c r="D12" s="605">
        <v>0</v>
      </c>
      <c r="E12" s="437"/>
      <c r="F12" s="535"/>
      <c r="G12" s="436">
        <v>0</v>
      </c>
      <c r="H12" s="437"/>
      <c r="I12" s="438"/>
      <c r="J12" s="436">
        <v>0</v>
      </c>
      <c r="K12" s="437"/>
      <c r="L12" s="438"/>
      <c r="M12" s="528"/>
      <c r="N12" s="1"/>
      <c r="O12" s="91" t="s">
        <v>37</v>
      </c>
      <c r="P12" s="26">
        <v>790</v>
      </c>
      <c r="Q12" s="26">
        <v>790</v>
      </c>
      <c r="R12" s="26">
        <v>800</v>
      </c>
      <c r="S12" s="26">
        <v>780</v>
      </c>
      <c r="T12" s="111" t="s">
        <v>114</v>
      </c>
      <c r="U12" s="27">
        <v>780</v>
      </c>
      <c r="V12" s="27">
        <v>790</v>
      </c>
      <c r="W12" s="14"/>
      <c r="X12" s="14"/>
      <c r="Y12" s="14"/>
      <c r="Z12" s="14"/>
      <c r="AA12" s="112">
        <v>57</v>
      </c>
      <c r="AB12" s="112">
        <v>57</v>
      </c>
      <c r="AC12" s="14"/>
      <c r="AD12" s="27">
        <v>969.23800000000006</v>
      </c>
      <c r="AE12" s="60">
        <v>1028.3</v>
      </c>
      <c r="AF12" s="20"/>
      <c r="AG12" s="20"/>
      <c r="AH12" s="20"/>
      <c r="AI12" s="20"/>
      <c r="AJ12" s="20"/>
      <c r="AK12" s="20"/>
      <c r="AL12" s="20"/>
      <c r="AM12" s="20"/>
      <c r="AN12" s="20"/>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x14ac:dyDescent="0.35">
      <c r="A13" s="37" t="s">
        <v>29</v>
      </c>
      <c r="B13" s="596">
        <v>8100</v>
      </c>
      <c r="C13" s="105">
        <v>8100</v>
      </c>
      <c r="D13" s="606">
        <v>7700</v>
      </c>
      <c r="E13" s="105">
        <v>7700</v>
      </c>
      <c r="F13" s="167">
        <v>7700</v>
      </c>
      <c r="G13" s="56">
        <v>8100</v>
      </c>
      <c r="H13" s="105">
        <v>8100</v>
      </c>
      <c r="I13" s="167">
        <v>8100</v>
      </c>
      <c r="J13" s="56">
        <v>8400</v>
      </c>
      <c r="K13" s="105">
        <v>8400</v>
      </c>
      <c r="L13" s="167">
        <v>8400</v>
      </c>
      <c r="M13" s="526" t="s">
        <v>254</v>
      </c>
      <c r="N13" s="1"/>
      <c r="O13" s="91" t="s">
        <v>71</v>
      </c>
      <c r="P13" s="26">
        <v>109</v>
      </c>
      <c r="Q13" s="26">
        <v>109</v>
      </c>
      <c r="R13" s="26">
        <v>119</v>
      </c>
      <c r="S13" s="26">
        <v>99</v>
      </c>
      <c r="T13" s="111" t="s">
        <v>115</v>
      </c>
      <c r="U13" s="27">
        <v>99</v>
      </c>
      <c r="V13" s="27">
        <v>109</v>
      </c>
      <c r="W13" s="14"/>
      <c r="X13" s="14"/>
      <c r="Y13" s="14"/>
      <c r="Z13" s="14"/>
      <c r="AA13" s="112">
        <v>335</v>
      </c>
      <c r="AB13" s="112">
        <v>335</v>
      </c>
      <c r="AC13" s="14"/>
      <c r="AD13" s="14"/>
      <c r="AE13" s="14"/>
      <c r="AF13" s="20"/>
      <c r="AG13" s="20"/>
      <c r="AH13" s="20"/>
      <c r="AI13" s="20"/>
      <c r="AJ13" s="20"/>
      <c r="AK13" s="20"/>
      <c r="AL13" s="20"/>
      <c r="AM13" s="20"/>
      <c r="AN13" s="20"/>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x14ac:dyDescent="0.35">
      <c r="A14" s="37" t="s">
        <v>30</v>
      </c>
      <c r="B14" s="597"/>
      <c r="C14" s="508"/>
      <c r="D14" s="607">
        <v>0</v>
      </c>
      <c r="E14" s="508"/>
      <c r="F14" s="537"/>
      <c r="G14" s="536">
        <v>0</v>
      </c>
      <c r="H14" s="508"/>
      <c r="I14" s="537"/>
      <c r="J14" s="536">
        <v>0</v>
      </c>
      <c r="K14" s="508"/>
      <c r="L14" s="537"/>
      <c r="M14" s="528"/>
      <c r="N14" s="1"/>
      <c r="O14" s="107" t="s">
        <v>38</v>
      </c>
      <c r="P14" s="26">
        <v>28</v>
      </c>
      <c r="Q14" s="26">
        <v>180</v>
      </c>
      <c r="R14" s="26">
        <v>51</v>
      </c>
      <c r="S14" s="26">
        <v>12</v>
      </c>
      <c r="T14" s="111" t="s">
        <v>116</v>
      </c>
      <c r="U14" s="14"/>
      <c r="V14" s="14"/>
      <c r="W14" s="14"/>
      <c r="X14" s="14"/>
      <c r="Y14" s="14"/>
      <c r="Z14" s="60">
        <v>200</v>
      </c>
      <c r="AA14" s="60"/>
      <c r="AB14" s="27">
        <v>148</v>
      </c>
      <c r="AC14" s="27">
        <v>186</v>
      </c>
      <c r="AD14" s="60">
        <v>6.0000000000000001E-3</v>
      </c>
      <c r="AE14" s="60">
        <v>4.3489999999999996E-3</v>
      </c>
      <c r="AF14" s="20"/>
      <c r="AG14" s="20"/>
      <c r="AH14" s="20">
        <v>169.16666666666666</v>
      </c>
      <c r="AI14" s="20"/>
      <c r="AJ14" s="20"/>
      <c r="AK14" s="20"/>
      <c r="AL14" s="20"/>
      <c r="AM14" s="20"/>
      <c r="AN14" s="20">
        <v>186</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x14ac:dyDescent="0.35">
      <c r="A15" s="21" t="s">
        <v>31</v>
      </c>
      <c r="B15" s="597"/>
      <c r="C15" s="508"/>
      <c r="D15" s="607">
        <v>0</v>
      </c>
      <c r="E15" s="508"/>
      <c r="F15" s="537"/>
      <c r="G15" s="536">
        <v>0</v>
      </c>
      <c r="H15" s="508"/>
      <c r="I15" s="537"/>
      <c r="J15" s="536">
        <v>0</v>
      </c>
      <c r="K15" s="508"/>
      <c r="L15" s="537"/>
      <c r="M15" s="528"/>
      <c r="N15" s="1"/>
      <c r="O15" s="91" t="s">
        <v>39</v>
      </c>
      <c r="P15" s="26">
        <v>340</v>
      </c>
      <c r="Q15" s="26">
        <v>240</v>
      </c>
      <c r="R15" s="26">
        <v>440</v>
      </c>
      <c r="S15" s="26">
        <v>430</v>
      </c>
      <c r="T15" s="111" t="s">
        <v>117</v>
      </c>
      <c r="U15" s="27">
        <v>403.5</v>
      </c>
      <c r="V15" s="27">
        <v>240</v>
      </c>
      <c r="W15" s="14"/>
      <c r="X15" s="14"/>
      <c r="Y15" s="27">
        <v>377</v>
      </c>
      <c r="Z15" s="27">
        <v>377</v>
      </c>
      <c r="AA15" s="27">
        <v>427</v>
      </c>
      <c r="AB15" s="27">
        <v>427</v>
      </c>
      <c r="AC15" s="14"/>
      <c r="AD15" s="112">
        <v>1489.59</v>
      </c>
      <c r="AE15" s="112">
        <v>4849.7</v>
      </c>
      <c r="AF15" s="20"/>
      <c r="AG15" s="20"/>
      <c r="AH15" s="20">
        <v>200</v>
      </c>
      <c r="AI15" s="20"/>
      <c r="AJ15" s="20"/>
      <c r="AK15" s="20"/>
      <c r="AL15" s="20"/>
      <c r="AM15" s="20"/>
      <c r="AN15" s="20"/>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row>
    <row r="16" spans="1:71" ht="27.5" customHeight="1" x14ac:dyDescent="0.35">
      <c r="A16" s="523" t="s">
        <v>32</v>
      </c>
      <c r="B16" s="598">
        <f>MIN(W10,AA10,AD10,AK10,AN10,AG10,U10)</f>
        <v>138973</v>
      </c>
      <c r="C16" s="509">
        <f>MAX(W10,AA10,AD10,AK10,AN10,AG10,U10,P10)</f>
        <v>182423</v>
      </c>
      <c r="D16" s="608">
        <v>128581.8</v>
      </c>
      <c r="E16" s="509">
        <f>MIN(AL10,AG10,AD10,AA10,W10,U10)</f>
        <v>91897</v>
      </c>
      <c r="F16" s="538">
        <f>MAX(AL10,AG10,AD10,AA10,W10,U10,S10)</f>
        <v>182423</v>
      </c>
      <c r="G16" s="241">
        <v>299578.92853999999</v>
      </c>
      <c r="H16" s="509">
        <f>MIN(AF10,AE10,AB10,Z10,X10,V10)</f>
        <v>149760</v>
      </c>
      <c r="I16" s="538">
        <v>299578.92853999999</v>
      </c>
      <c r="J16" s="241">
        <v>125510.2</v>
      </c>
      <c r="K16" s="509">
        <v>125510.2</v>
      </c>
      <c r="L16" s="538">
        <v>125510.2</v>
      </c>
      <c r="M16" s="529" t="s">
        <v>260</v>
      </c>
      <c r="N16" s="1"/>
      <c r="O16" s="28" t="s">
        <v>42</v>
      </c>
      <c r="P16" s="26">
        <v>4600</v>
      </c>
      <c r="Q16" s="26">
        <v>4600</v>
      </c>
      <c r="R16" s="26">
        <v>4600</v>
      </c>
      <c r="S16" s="26">
        <v>4600</v>
      </c>
      <c r="T16" s="111" t="s">
        <v>118</v>
      </c>
      <c r="U16" s="14"/>
      <c r="V16" s="14"/>
      <c r="W16" s="14"/>
      <c r="X16" s="14"/>
      <c r="Y16" s="14"/>
      <c r="Z16" s="14"/>
      <c r="AA16" s="14"/>
      <c r="AB16" s="14"/>
      <c r="AC16" s="14"/>
      <c r="AD16" s="14"/>
      <c r="AE16" s="14"/>
      <c r="AF16" s="20"/>
      <c r="AG16" s="20"/>
      <c r="AH16" s="20"/>
      <c r="AI16" s="20"/>
      <c r="AJ16" s="20">
        <v>1818</v>
      </c>
      <c r="AK16" s="20">
        <v>0</v>
      </c>
      <c r="AL16" s="20">
        <v>233</v>
      </c>
      <c r="AM16" s="20"/>
      <c r="AN16" s="20"/>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row>
    <row r="17" spans="1:71" ht="16" customHeight="1" x14ac:dyDescent="0.35">
      <c r="A17" s="37" t="s">
        <v>34</v>
      </c>
      <c r="B17" s="321">
        <f>MIN(W11,AA11,AD11,AK11,AN11,AG11,U11,P11)</f>
        <v>0</v>
      </c>
      <c r="C17" s="243">
        <f>MAX(W11,AA11,AD11,AK11,AN11,AG11,U11,P11)</f>
        <v>0</v>
      </c>
      <c r="D17" s="609">
        <v>0</v>
      </c>
      <c r="E17" s="243">
        <f>MIN(AL11,AG11,AD11,AA11,W11,U11,S11)</f>
        <v>0</v>
      </c>
      <c r="F17" s="540">
        <f>MAX(AL11,AG11,AD11,AA11,W11,U11,S11)</f>
        <v>0</v>
      </c>
      <c r="G17" s="539">
        <v>0</v>
      </c>
      <c r="H17" s="243">
        <f>MIN(AF11,AE11,AB11,Z11,X11,V11,Q11)</f>
        <v>0</v>
      </c>
      <c r="I17" s="545">
        <v>6720</v>
      </c>
      <c r="J17" s="539">
        <v>0</v>
      </c>
      <c r="K17" s="108">
        <v>0</v>
      </c>
      <c r="L17" s="541">
        <v>0</v>
      </c>
      <c r="M17" s="529"/>
      <c r="N17" s="1"/>
      <c r="O17" s="107" t="s">
        <v>43</v>
      </c>
      <c r="P17" s="26">
        <v>9</v>
      </c>
      <c r="Q17" s="26">
        <v>35</v>
      </c>
      <c r="R17" s="26">
        <v>4</v>
      </c>
      <c r="S17" s="26">
        <v>0</v>
      </c>
      <c r="T17" s="111" t="s">
        <v>119</v>
      </c>
      <c r="U17" s="14"/>
      <c r="V17" s="14"/>
      <c r="W17" s="14"/>
      <c r="X17" s="14"/>
      <c r="Y17" s="14"/>
      <c r="Z17" s="14"/>
      <c r="AA17" s="27">
        <v>3</v>
      </c>
      <c r="AB17" s="27">
        <v>33</v>
      </c>
      <c r="AC17" s="14"/>
      <c r="AD17" s="27">
        <v>0</v>
      </c>
      <c r="AE17" s="27">
        <v>0</v>
      </c>
      <c r="AF17" s="20"/>
      <c r="AG17" s="20"/>
      <c r="AH17" s="20">
        <v>32.666666666666664</v>
      </c>
      <c r="AI17" s="20"/>
      <c r="AJ17" s="20"/>
      <c r="AK17" s="20"/>
      <c r="AL17" s="20"/>
      <c r="AM17" s="20"/>
      <c r="AN17" s="20"/>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row>
    <row r="18" spans="1:71" x14ac:dyDescent="0.35">
      <c r="A18" s="21" t="s">
        <v>36</v>
      </c>
      <c r="B18" s="595">
        <v>0</v>
      </c>
      <c r="C18" s="437">
        <v>0</v>
      </c>
      <c r="D18" s="605">
        <v>0</v>
      </c>
      <c r="E18" s="437">
        <v>0</v>
      </c>
      <c r="F18" s="438">
        <v>0</v>
      </c>
      <c r="G18" s="436">
        <v>0</v>
      </c>
      <c r="H18" s="437">
        <v>0</v>
      </c>
      <c r="I18" s="438">
        <v>0</v>
      </c>
      <c r="J18" s="436">
        <v>0</v>
      </c>
      <c r="K18" s="437"/>
      <c r="L18" s="438"/>
      <c r="M18" s="530"/>
      <c r="N18" s="1"/>
      <c r="O18" s="107" t="s">
        <v>120</v>
      </c>
      <c r="P18" s="14">
        <f>SUM(P8,P14,P17,P20)</f>
        <v>44</v>
      </c>
      <c r="Q18" s="14">
        <f t="shared" ref="Q18:AC18" si="0">SUM(Q8,Q14,Q17,Q20)</f>
        <v>239</v>
      </c>
      <c r="R18" s="14">
        <f t="shared" si="0"/>
        <v>62</v>
      </c>
      <c r="S18" s="14">
        <f t="shared" si="0"/>
        <v>14</v>
      </c>
      <c r="T18" s="14">
        <f t="shared" si="0"/>
        <v>0</v>
      </c>
      <c r="U18" s="689">
        <v>99</v>
      </c>
      <c r="V18" s="690"/>
      <c r="W18" s="14">
        <f t="shared" si="0"/>
        <v>0</v>
      </c>
      <c r="X18" s="14">
        <f t="shared" si="0"/>
        <v>0</v>
      </c>
      <c r="Y18" s="14">
        <f t="shared" si="0"/>
        <v>0</v>
      </c>
      <c r="Z18" s="14">
        <f t="shared" si="0"/>
        <v>213</v>
      </c>
      <c r="AA18" s="14">
        <f t="shared" si="0"/>
        <v>4</v>
      </c>
      <c r="AB18" s="14">
        <f t="shared" si="0"/>
        <v>204</v>
      </c>
      <c r="AC18" s="14">
        <f t="shared" si="0"/>
        <v>219</v>
      </c>
      <c r="AD18" s="14">
        <f>SUM(AD8,AD14,AD17,AD20)</f>
        <v>6.0000000000000001E-3</v>
      </c>
      <c r="AE18" s="14">
        <f>SUM(AE8,AE14,AE17,AE20)</f>
        <v>4.3489999999999996E-3</v>
      </c>
      <c r="AF18" s="20"/>
      <c r="AG18" s="20"/>
      <c r="AI18" s="20"/>
      <c r="AJ18" s="20"/>
      <c r="AK18" s="20"/>
      <c r="AL18" s="20"/>
      <c r="AM18" s="20"/>
      <c r="AN18" s="20"/>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row>
    <row r="19" spans="1:71" ht="60" customHeight="1" x14ac:dyDescent="0.35">
      <c r="A19" s="21" t="s">
        <v>37</v>
      </c>
      <c r="B19" s="598">
        <f>MIN(W12,AA12,AD12,AK12,AN12,AG12,U12,P12)</f>
        <v>57</v>
      </c>
      <c r="C19" s="509">
        <f>MAX(W12,AA12,AD12,AK12,AN12,AG12,U12,P12)</f>
        <v>969.23800000000006</v>
      </c>
      <c r="D19" s="604">
        <v>780</v>
      </c>
      <c r="E19" s="509">
        <f>MIN(AL12,AG12,AD12,AA12,W12,U12,S12)</f>
        <v>57</v>
      </c>
      <c r="F19" s="538">
        <f>MAX(AL12,AG12,AD12,AA12,W12,U12,S12)</f>
        <v>969.23800000000006</v>
      </c>
      <c r="G19" s="68">
        <v>790</v>
      </c>
      <c r="H19" s="509">
        <f>MIN(AF12,AE12,AB12,Z12,X12,V12,Q12)</f>
        <v>57</v>
      </c>
      <c r="I19" s="538">
        <f>MAX(AF12,AE12,AB12,Z12,X12,V12,Q12)</f>
        <v>1028.3</v>
      </c>
      <c r="J19" s="68">
        <v>800</v>
      </c>
      <c r="K19" s="106">
        <v>800</v>
      </c>
      <c r="L19" s="128">
        <v>800</v>
      </c>
      <c r="M19" s="527" t="s">
        <v>257</v>
      </c>
      <c r="N19" s="1"/>
      <c r="O19" s="28" t="s">
        <v>48</v>
      </c>
      <c r="P19" s="26">
        <v>132000</v>
      </c>
      <c r="Q19" s="26">
        <v>119500</v>
      </c>
      <c r="R19" s="26">
        <v>107000</v>
      </c>
      <c r="S19" s="26">
        <v>113000</v>
      </c>
      <c r="T19" s="111" t="s">
        <v>121</v>
      </c>
      <c r="U19" s="14"/>
      <c r="V19" s="14"/>
      <c r="W19" s="27">
        <f>1000*(123.9*0.977)</f>
        <v>121050.3</v>
      </c>
      <c r="X19" s="112">
        <f>1000*(446.9*0.993)</f>
        <v>443771.69999999995</v>
      </c>
      <c r="Y19" s="14"/>
      <c r="Z19" s="14"/>
      <c r="AA19" s="27">
        <v>119985</v>
      </c>
      <c r="AB19" s="112">
        <v>333500</v>
      </c>
      <c r="AC19" s="14"/>
      <c r="AD19" s="26"/>
      <c r="AE19" s="14"/>
      <c r="AF19" s="20"/>
      <c r="AG19" s="20"/>
      <c r="AH19" s="20">
        <v>106765</v>
      </c>
      <c r="AI19" s="20"/>
      <c r="AJ19" s="20"/>
      <c r="AK19" s="20"/>
      <c r="AL19" s="20"/>
      <c r="AM19" s="20"/>
      <c r="AN19" s="20"/>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row>
    <row r="20" spans="1:71" ht="16.5" customHeight="1" x14ac:dyDescent="0.35">
      <c r="A20" s="21" t="s">
        <v>71</v>
      </c>
      <c r="B20" s="598">
        <f>MIN(W13,AA13,AD13,AK13,AN13,AG13,U13,P13)</f>
        <v>99</v>
      </c>
      <c r="C20" s="61">
        <f>MAX(W13,AA13,AD13,AK13,AN13,AG13,U13,P13)</f>
        <v>335</v>
      </c>
      <c r="D20" s="604">
        <v>99</v>
      </c>
      <c r="E20" s="509">
        <f>MIN(AL13,AG13,AD13,AA13,W13,U13,S13)</f>
        <v>99</v>
      </c>
      <c r="F20" s="538">
        <f>MAX(AL13,AG13,AD13,AA13,W13,U13,S13)</f>
        <v>335</v>
      </c>
      <c r="G20" s="68">
        <v>109</v>
      </c>
      <c r="H20" s="509">
        <f>MIN(AF13,AE13,AB13,Z13,X13,V13,Q13)</f>
        <v>109</v>
      </c>
      <c r="I20" s="538">
        <f>MAX(AF13,AE13,AB13,Z13,X13,V13,Q13)</f>
        <v>335</v>
      </c>
      <c r="J20" s="68">
        <v>119</v>
      </c>
      <c r="K20" s="106">
        <v>119</v>
      </c>
      <c r="L20" s="128">
        <v>119</v>
      </c>
      <c r="M20" s="527" t="s">
        <v>257</v>
      </c>
      <c r="N20" s="1"/>
      <c r="O20" s="107" t="s">
        <v>53</v>
      </c>
      <c r="P20" s="26">
        <v>1</v>
      </c>
      <c r="Q20" s="26">
        <v>7</v>
      </c>
      <c r="R20" s="26">
        <v>1</v>
      </c>
      <c r="S20" s="26">
        <v>0</v>
      </c>
      <c r="T20" s="111" t="s">
        <v>122</v>
      </c>
      <c r="U20" s="14"/>
      <c r="V20" s="14"/>
      <c r="W20" s="14"/>
      <c r="X20" s="14"/>
      <c r="Y20" s="14"/>
      <c r="Z20" s="14"/>
      <c r="AA20" s="27">
        <v>1</v>
      </c>
      <c r="AB20" s="27">
        <v>7</v>
      </c>
      <c r="AC20" s="14"/>
      <c r="AD20" s="14"/>
      <c r="AE20" s="14"/>
      <c r="AF20" s="20"/>
      <c r="AG20" s="20"/>
      <c r="AH20" s="20">
        <v>8.5</v>
      </c>
      <c r="AI20" s="20"/>
      <c r="AJ20" s="20"/>
      <c r="AK20" s="20"/>
      <c r="AL20" s="20"/>
      <c r="AM20" s="20"/>
      <c r="AN20" s="20"/>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row>
    <row r="21" spans="1:71" ht="29" x14ac:dyDescent="0.35">
      <c r="A21" s="66" t="s">
        <v>38</v>
      </c>
      <c r="B21" s="598">
        <f>MIN(W14,AA14,AD14,AK14,AN14,AG14,U14,P14)</f>
        <v>6.0000000000000001E-3</v>
      </c>
      <c r="C21" s="61">
        <f>MAX(W14,AA14,AD14,AK14,AN14,AG14,U14,P14)</f>
        <v>186</v>
      </c>
      <c r="D21" s="604">
        <v>12</v>
      </c>
      <c r="E21" s="509">
        <f>MIN(AL14,AG14,AD14,AA14,W14,U14,S14)</f>
        <v>6.0000000000000001E-3</v>
      </c>
      <c r="F21" s="538">
        <f>MAX(AL14,AG14,AD14,AA14,W14,U14,S14)</f>
        <v>12</v>
      </c>
      <c r="G21" s="68">
        <v>186</v>
      </c>
      <c r="H21" s="509">
        <f>MIN(AF14,AE14,AB14,Z14,X14,V14,Q14)</f>
        <v>4.3489999999999996E-3</v>
      </c>
      <c r="I21" s="538">
        <f>MAX(AF14,AE14,AB14,Z14,X14,V14,Q14)</f>
        <v>200</v>
      </c>
      <c r="J21" s="68">
        <v>51</v>
      </c>
      <c r="K21" s="106">
        <v>51</v>
      </c>
      <c r="L21" s="128">
        <v>51</v>
      </c>
      <c r="M21" s="526" t="s">
        <v>255</v>
      </c>
      <c r="N21" s="1"/>
      <c r="O21" s="107" t="s">
        <v>72</v>
      </c>
      <c r="P21" s="26"/>
      <c r="Q21" s="26"/>
      <c r="R21" s="26"/>
      <c r="S21" s="26"/>
      <c r="T21" s="111"/>
      <c r="U21" s="14"/>
      <c r="V21" s="14"/>
      <c r="W21" s="14"/>
      <c r="X21" s="14"/>
      <c r="Y21" s="14"/>
      <c r="Z21" s="14"/>
      <c r="AA21" s="113">
        <v>90</v>
      </c>
      <c r="AB21" s="113">
        <v>7000</v>
      </c>
      <c r="AC21" s="14"/>
      <c r="AD21" s="14"/>
      <c r="AE21" s="14"/>
      <c r="AF21" s="20">
        <v>7000</v>
      </c>
      <c r="AG21" s="20">
        <v>90</v>
      </c>
      <c r="AH21" s="20"/>
      <c r="AI21" s="20"/>
      <c r="AJ21" s="20"/>
      <c r="AK21" s="20"/>
      <c r="AL21" s="20"/>
      <c r="AM21" s="20"/>
      <c r="AN21" s="20"/>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row>
    <row r="22" spans="1:71" ht="29" x14ac:dyDescent="0.35">
      <c r="A22" s="21" t="s">
        <v>39</v>
      </c>
      <c r="B22" s="598">
        <f>MIN(W15,AA15,AD15,AK15,AN15,AG15,U15,P15)</f>
        <v>340</v>
      </c>
      <c r="C22" s="61">
        <f>MAX(W15,AA15,AD15,AK15,AN15,AG15,U15,P15)</f>
        <v>1489.59</v>
      </c>
      <c r="D22" s="604">
        <v>430</v>
      </c>
      <c r="E22" s="509">
        <f>MIN(AL15,AG15,AD15,AA15,W15,U15,S15)</f>
        <v>403.5</v>
      </c>
      <c r="F22" s="538">
        <f>MAX(AL15,AG15,AD15,AA15,W15,U15,S15)</f>
        <v>1489.59</v>
      </c>
      <c r="G22" s="68">
        <v>240</v>
      </c>
      <c r="H22" s="509">
        <f>MIN(AF15,AE15,AB15,Z15,X15,V15,Q15)</f>
        <v>240</v>
      </c>
      <c r="I22" s="538">
        <f>MAX(AF15,AE15,AB15,Z15,X15,V15,Q15)</f>
        <v>4849.7</v>
      </c>
      <c r="J22" s="68">
        <v>440</v>
      </c>
      <c r="K22" s="106">
        <v>440</v>
      </c>
      <c r="L22" s="128">
        <v>440</v>
      </c>
      <c r="M22" s="526" t="s">
        <v>255</v>
      </c>
      <c r="N22" s="1"/>
      <c r="O22" s="107" t="s">
        <v>56</v>
      </c>
      <c r="P22" s="26"/>
      <c r="Q22" s="26"/>
      <c r="R22" s="26"/>
      <c r="S22" s="26"/>
      <c r="T22" s="111"/>
      <c r="U22" s="14"/>
      <c r="V22" s="14"/>
      <c r="W22" s="14"/>
      <c r="X22" s="14"/>
      <c r="Y22" s="14"/>
      <c r="Z22" s="14"/>
      <c r="AA22" s="113"/>
      <c r="AB22" s="113"/>
      <c r="AC22" s="14"/>
      <c r="AD22" s="14"/>
      <c r="AE22" s="14"/>
      <c r="AF22" s="20"/>
      <c r="AG22" s="20" t="s">
        <v>52</v>
      </c>
      <c r="AH22" s="20">
        <v>1.2</v>
      </c>
      <c r="AI22" s="20"/>
      <c r="AJ22" s="20"/>
      <c r="AK22" s="20"/>
      <c r="AL22" s="20"/>
      <c r="AM22" s="20"/>
      <c r="AN22" s="20"/>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row>
    <row r="23" spans="1:71" x14ac:dyDescent="0.35">
      <c r="A23" s="21" t="s">
        <v>41</v>
      </c>
      <c r="B23" s="595">
        <v>0</v>
      </c>
      <c r="C23" s="437">
        <v>0</v>
      </c>
      <c r="D23" s="605">
        <v>0</v>
      </c>
      <c r="E23" s="437">
        <v>0</v>
      </c>
      <c r="F23" s="438">
        <v>0</v>
      </c>
      <c r="G23" s="436">
        <v>0</v>
      </c>
      <c r="H23" s="437">
        <v>0</v>
      </c>
      <c r="I23" s="438">
        <v>0</v>
      </c>
      <c r="J23" s="436">
        <v>0</v>
      </c>
      <c r="K23" s="437"/>
      <c r="L23" s="438"/>
      <c r="M23" s="528"/>
      <c r="N23" s="1"/>
      <c r="O23" s="91" t="s">
        <v>57</v>
      </c>
      <c r="P23" s="26">
        <v>5500</v>
      </c>
      <c r="Q23" s="26">
        <v>5500</v>
      </c>
      <c r="R23" s="26">
        <v>5500</v>
      </c>
      <c r="S23" s="26">
        <v>5500</v>
      </c>
      <c r="T23" s="111" t="s">
        <v>123</v>
      </c>
      <c r="U23" s="27">
        <v>5500</v>
      </c>
      <c r="V23" s="27">
        <v>5500</v>
      </c>
      <c r="W23" s="14"/>
      <c r="X23" s="14"/>
      <c r="Y23" s="14"/>
      <c r="Z23" s="14"/>
      <c r="AA23" s="27">
        <v>5450</v>
      </c>
      <c r="AB23" s="27">
        <v>5450</v>
      </c>
      <c r="AC23" s="14"/>
      <c r="AD23" s="112">
        <v>329.678</v>
      </c>
      <c r="AE23" s="60">
        <v>1243.5999999999999</v>
      </c>
      <c r="AF23" s="20"/>
      <c r="AG23" s="20"/>
      <c r="AH23" s="20">
        <v>5500</v>
      </c>
      <c r="AI23" s="20"/>
      <c r="AJ23" s="20"/>
      <c r="AK23" s="20"/>
      <c r="AL23" s="20"/>
      <c r="AM23" s="20"/>
      <c r="AN23" s="20"/>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row>
    <row r="24" spans="1:71" ht="30" customHeight="1" x14ac:dyDescent="0.35">
      <c r="A24" s="52" t="s">
        <v>42</v>
      </c>
      <c r="B24" s="596">
        <v>4600</v>
      </c>
      <c r="C24" s="105">
        <v>4600</v>
      </c>
      <c r="D24" s="606">
        <v>4600</v>
      </c>
      <c r="E24" s="509">
        <v>233</v>
      </c>
      <c r="F24" s="538">
        <v>4600</v>
      </c>
      <c r="G24" s="56">
        <v>4600</v>
      </c>
      <c r="H24" s="509">
        <f>MIN(AF16,AE16,AB16,Z16,X16,V16,Q16)</f>
        <v>4600</v>
      </c>
      <c r="I24" s="538">
        <f>MAX(AF16,AE16,AB16,Z16,X16,V16,Q16)</f>
        <v>4600</v>
      </c>
      <c r="J24" s="56">
        <v>4600</v>
      </c>
      <c r="K24" s="105">
        <v>4600</v>
      </c>
      <c r="L24" s="167">
        <v>4600</v>
      </c>
      <c r="M24" s="526" t="s">
        <v>254</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row>
    <row r="25" spans="1:71" ht="29" x14ac:dyDescent="0.35">
      <c r="A25" s="66" t="s">
        <v>43</v>
      </c>
      <c r="B25" s="598">
        <f>MIN(W17,AA17,AD17,AK17,AN17,AG17,U17,P17)</f>
        <v>0</v>
      </c>
      <c r="C25" s="61">
        <f>MAX(W17,AA17,AD17,AK17,AN17,AG17,U17,P17)</f>
        <v>9</v>
      </c>
      <c r="D25" s="604">
        <v>0</v>
      </c>
      <c r="E25" s="509">
        <f>MIN(AL17,AG17,AD17,AA17,W17,U17,S17)</f>
        <v>0</v>
      </c>
      <c r="F25" s="538">
        <f>MAX(AL17,AG17,AD17,AA17,W17,U17,S17)</f>
        <v>3</v>
      </c>
      <c r="G25" s="68">
        <v>35</v>
      </c>
      <c r="H25" s="509">
        <f>MIN(AF17,AE17,AB17,Z17,X17,V17,Q17)</f>
        <v>0</v>
      </c>
      <c r="I25" s="538">
        <f>MAX(AF17,AE17,AB17,Z17,X17,V17,Q17)</f>
        <v>35</v>
      </c>
      <c r="J25" s="68">
        <v>4</v>
      </c>
      <c r="K25" s="106">
        <v>4</v>
      </c>
      <c r="L25" s="128">
        <v>4</v>
      </c>
      <c r="M25" s="526" t="s">
        <v>255</v>
      </c>
      <c r="N25" s="1"/>
      <c r="O25" s="1"/>
      <c r="P25" s="678" t="s">
        <v>235</v>
      </c>
      <c r="Q25" s="679"/>
      <c r="R25" s="9" t="s">
        <v>236</v>
      </c>
      <c r="S25" s="125" t="s">
        <v>124</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row>
    <row r="26" spans="1:71" x14ac:dyDescent="0.35">
      <c r="A26" s="37" t="s">
        <v>44</v>
      </c>
      <c r="B26" s="595"/>
      <c r="C26" s="437"/>
      <c r="D26" s="605"/>
      <c r="E26" s="437"/>
      <c r="F26" s="438"/>
      <c r="G26" s="436"/>
      <c r="H26" s="437"/>
      <c r="I26" s="438"/>
      <c r="J26" s="436"/>
      <c r="K26" s="437"/>
      <c r="L26" s="438"/>
      <c r="M26" s="483"/>
      <c r="N26" s="1"/>
      <c r="O26" s="1"/>
      <c r="P26" s="109" t="s">
        <v>81</v>
      </c>
      <c r="Q26" s="109" t="s">
        <v>84</v>
      </c>
      <c r="R26" s="109" t="s">
        <v>82</v>
      </c>
      <c r="S26" s="109" t="s">
        <v>83</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row>
    <row r="27" spans="1:71" x14ac:dyDescent="0.35">
      <c r="A27" s="37" t="s">
        <v>45</v>
      </c>
      <c r="B27" s="595"/>
      <c r="C27" s="437"/>
      <c r="D27" s="605"/>
      <c r="E27" s="437"/>
      <c r="F27" s="438"/>
      <c r="G27" s="436"/>
      <c r="H27" s="437"/>
      <c r="I27" s="438"/>
      <c r="J27" s="436"/>
      <c r="K27" s="437"/>
      <c r="L27" s="438"/>
      <c r="M27" s="483"/>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row>
    <row r="28" spans="1:71" x14ac:dyDescent="0.35">
      <c r="A28" s="37" t="s">
        <v>46</v>
      </c>
      <c r="B28" s="595"/>
      <c r="C28" s="437"/>
      <c r="D28" s="605"/>
      <c r="E28" s="437"/>
      <c r="F28" s="438"/>
      <c r="G28" s="436"/>
      <c r="H28" s="437"/>
      <c r="I28" s="438"/>
      <c r="J28" s="436"/>
      <c r="K28" s="437"/>
      <c r="L28" s="438"/>
      <c r="M28" s="53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row>
    <row r="29" spans="1:71" x14ac:dyDescent="0.35">
      <c r="A29" s="37" t="s">
        <v>48</v>
      </c>
      <c r="B29" s="595"/>
      <c r="C29" s="437"/>
      <c r="D29" s="605"/>
      <c r="E29" s="437"/>
      <c r="F29" s="438"/>
      <c r="G29" s="436"/>
      <c r="H29" s="437"/>
      <c r="I29" s="438"/>
      <c r="J29" s="436"/>
      <c r="K29" s="437"/>
      <c r="L29" s="438"/>
      <c r="M29" s="528"/>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row>
    <row r="30" spans="1:71" x14ac:dyDescent="0.35">
      <c r="A30" s="21" t="s">
        <v>50</v>
      </c>
      <c r="B30" s="595"/>
      <c r="C30" s="437"/>
      <c r="D30" s="605">
        <v>0</v>
      </c>
      <c r="E30" s="437">
        <v>0</v>
      </c>
      <c r="F30" s="438">
        <v>0</v>
      </c>
      <c r="G30" s="436">
        <v>0</v>
      </c>
      <c r="H30" s="437">
        <v>0</v>
      </c>
      <c r="I30" s="438">
        <v>0</v>
      </c>
      <c r="J30" s="436">
        <v>0</v>
      </c>
      <c r="K30" s="437">
        <v>0</v>
      </c>
      <c r="L30" s="438"/>
      <c r="M30" s="528"/>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row>
    <row r="31" spans="1:71" x14ac:dyDescent="0.35">
      <c r="A31" s="21" t="s">
        <v>51</v>
      </c>
      <c r="B31" s="595"/>
      <c r="C31" s="437"/>
      <c r="D31" s="605">
        <v>0</v>
      </c>
      <c r="E31" s="437">
        <v>0</v>
      </c>
      <c r="F31" s="438">
        <v>0</v>
      </c>
      <c r="G31" s="436">
        <v>0</v>
      </c>
      <c r="H31" s="437">
        <v>0</v>
      </c>
      <c r="I31" s="438">
        <v>0</v>
      </c>
      <c r="J31" s="436">
        <v>0</v>
      </c>
      <c r="K31" s="437">
        <v>0</v>
      </c>
      <c r="L31" s="438"/>
      <c r="M31" s="528"/>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row>
    <row r="32" spans="1:71" ht="29" x14ac:dyDescent="0.35">
      <c r="A32" s="66" t="s">
        <v>53</v>
      </c>
      <c r="B32" s="598">
        <f>MIN(W20,AA20,AD20,AK20,AN20,AG20,U20,P20)</f>
        <v>1</v>
      </c>
      <c r="C32" s="61">
        <f>MAX(W20,AA20,AD20,AK20,AN20,AG20,U20,P20)</f>
        <v>1</v>
      </c>
      <c r="D32" s="604">
        <v>0</v>
      </c>
      <c r="E32" s="509">
        <v>0</v>
      </c>
      <c r="F32" s="538">
        <v>1</v>
      </c>
      <c r="G32" s="68">
        <v>7</v>
      </c>
      <c r="H32" s="509">
        <v>7</v>
      </c>
      <c r="I32" s="538">
        <v>7</v>
      </c>
      <c r="J32" s="68">
        <v>1</v>
      </c>
      <c r="K32" s="106">
        <v>1</v>
      </c>
      <c r="L32" s="128">
        <v>1</v>
      </c>
      <c r="M32" s="526" t="s">
        <v>256</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row>
    <row r="33" spans="1:71" x14ac:dyDescent="0.35">
      <c r="A33" s="21" t="s">
        <v>54</v>
      </c>
      <c r="B33" s="595">
        <v>0</v>
      </c>
      <c r="C33" s="437">
        <v>0</v>
      </c>
      <c r="D33" s="605">
        <v>0</v>
      </c>
      <c r="E33" s="437">
        <v>0</v>
      </c>
      <c r="F33" s="438">
        <v>0</v>
      </c>
      <c r="G33" s="436">
        <v>0</v>
      </c>
      <c r="H33" s="437"/>
      <c r="I33" s="438"/>
      <c r="J33" s="436">
        <v>0</v>
      </c>
      <c r="K33" s="437"/>
      <c r="L33" s="438"/>
      <c r="M33" s="532"/>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row>
    <row r="34" spans="1:71" x14ac:dyDescent="0.35">
      <c r="A34" s="21" t="s">
        <v>55</v>
      </c>
      <c r="B34" s="595">
        <v>0</v>
      </c>
      <c r="C34" s="437">
        <v>0</v>
      </c>
      <c r="D34" s="605">
        <v>0</v>
      </c>
      <c r="E34" s="437">
        <v>0</v>
      </c>
      <c r="F34" s="438">
        <v>0</v>
      </c>
      <c r="G34" s="436">
        <v>0</v>
      </c>
      <c r="H34" s="437"/>
      <c r="I34" s="438"/>
      <c r="J34" s="436">
        <v>0</v>
      </c>
      <c r="K34" s="437"/>
      <c r="L34" s="438"/>
      <c r="M34" s="532"/>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row>
    <row r="35" spans="1:71" ht="72.5" x14ac:dyDescent="0.35">
      <c r="A35" s="21" t="s">
        <v>72</v>
      </c>
      <c r="C35" s="20">
        <v>90</v>
      </c>
      <c r="D35" s="609">
        <v>0</v>
      </c>
      <c r="E35" s="108"/>
      <c r="F35" s="541">
        <v>90</v>
      </c>
      <c r="G35" s="539">
        <v>0</v>
      </c>
      <c r="H35" s="108"/>
      <c r="I35" s="541">
        <v>7000</v>
      </c>
      <c r="J35" s="539">
        <v>0</v>
      </c>
      <c r="K35" s="108"/>
      <c r="L35" s="541">
        <v>90</v>
      </c>
      <c r="M35" s="533" t="s">
        <v>259</v>
      </c>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x14ac:dyDescent="0.35">
      <c r="A36" s="37" t="s">
        <v>56</v>
      </c>
      <c r="B36" s="595"/>
      <c r="C36" s="437"/>
      <c r="D36" s="605">
        <v>0</v>
      </c>
      <c r="E36" s="437"/>
      <c r="F36" s="438"/>
      <c r="G36" s="436">
        <v>0</v>
      </c>
      <c r="H36" s="437"/>
      <c r="I36" s="438"/>
      <c r="J36" s="436">
        <v>0</v>
      </c>
      <c r="K36" s="437"/>
      <c r="L36" s="438"/>
      <c r="M36" s="532"/>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ht="29" x14ac:dyDescent="0.35">
      <c r="A37" s="21" t="s">
        <v>57</v>
      </c>
      <c r="B37" s="598">
        <f>MIN(W23,AA23,AD23,AK23,AN23,AG23,U23,P23)</f>
        <v>329.678</v>
      </c>
      <c r="C37" s="61">
        <f>MAX(W23,AA23,AD23,AK23,AN23,AG23,U23,P23)</f>
        <v>5500</v>
      </c>
      <c r="D37" s="610">
        <v>5500</v>
      </c>
      <c r="E37" s="509">
        <f>MIN(AL23,AG23,AD23,AA23,W23,U23,S23)</f>
        <v>329.678</v>
      </c>
      <c r="F37" s="538">
        <f>MAX(AL23,AG23,AD23,AA23,W23,U23,S23)</f>
        <v>5500</v>
      </c>
      <c r="G37" s="542">
        <v>5500</v>
      </c>
      <c r="H37" s="509">
        <f>MIN(AF23,AE23,AB23,Z23,X23,V23,Q23)</f>
        <v>1243.5999999999999</v>
      </c>
      <c r="I37" s="538">
        <f>MAX(AF23,AE23,AB23,Z23,X23,V23,Q23)</f>
        <v>5500</v>
      </c>
      <c r="J37" s="542">
        <v>5500</v>
      </c>
      <c r="K37" s="116">
        <v>5500</v>
      </c>
      <c r="L37" s="547">
        <v>5500</v>
      </c>
      <c r="M37" s="526" t="s">
        <v>255</v>
      </c>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ht="15" thickBot="1" x14ac:dyDescent="0.4">
      <c r="A38" s="37" t="s">
        <v>59</v>
      </c>
      <c r="B38" s="260"/>
      <c r="C38" s="615"/>
      <c r="D38" s="262">
        <v>0</v>
      </c>
      <c r="E38" s="260"/>
      <c r="F38" s="261"/>
      <c r="G38" s="262">
        <v>0</v>
      </c>
      <c r="H38" s="260"/>
      <c r="I38" s="261"/>
      <c r="J38" s="262">
        <v>0</v>
      </c>
      <c r="K38" s="260"/>
      <c r="L38" s="261"/>
      <c r="M38" s="534"/>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x14ac:dyDescent="0.35">
      <c r="A39" s="1"/>
      <c r="B39" s="1"/>
      <c r="C39" s="1"/>
      <c r="D39" s="1"/>
      <c r="E39" s="1"/>
      <c r="F39" s="1"/>
      <c r="G39" s="1"/>
      <c r="H39" s="1"/>
      <c r="I39" s="1"/>
      <c r="J39" s="1"/>
      <c r="K39" s="1"/>
      <c r="L39" s="1"/>
      <c r="M39" s="10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x14ac:dyDescent="0.35">
      <c r="A40" s="1"/>
      <c r="B40" s="1"/>
      <c r="C40" s="1"/>
      <c r="D40" s="1"/>
      <c r="E40" s="1"/>
      <c r="F40" s="1"/>
      <c r="G40" s="1"/>
      <c r="H40" s="1"/>
      <c r="I40" s="1"/>
      <c r="J40" s="1"/>
      <c r="K40" s="1"/>
      <c r="L40" s="1"/>
      <c r="M40" s="10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row>
    <row r="41" spans="1:71" x14ac:dyDescent="0.35">
      <c r="A41" s="1"/>
      <c r="B41" s="1"/>
      <c r="C41" s="1"/>
      <c r="D41" s="1"/>
      <c r="E41" s="1"/>
      <c r="F41" s="1"/>
      <c r="G41" s="1"/>
      <c r="H41" s="1"/>
      <c r="I41" s="1"/>
      <c r="J41" s="1"/>
      <c r="K41" s="1"/>
      <c r="L41" s="1"/>
      <c r="M41" s="10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row>
    <row r="42" spans="1:71" x14ac:dyDescent="0.35">
      <c r="A42" s="1"/>
      <c r="B42" s="1"/>
      <c r="C42" s="1"/>
      <c r="D42" s="1"/>
      <c r="E42" s="1"/>
      <c r="F42" s="1"/>
      <c r="G42" s="1"/>
      <c r="H42" s="1"/>
      <c r="I42" s="1"/>
      <c r="J42" s="1"/>
      <c r="K42" s="1"/>
      <c r="L42" s="1"/>
      <c r="M42" s="10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row>
    <row r="43" spans="1:71" x14ac:dyDescent="0.35">
      <c r="A43" s="1"/>
      <c r="B43" s="1"/>
      <c r="C43" s="1"/>
      <c r="D43" s="1"/>
      <c r="E43" s="1"/>
      <c r="F43" s="1"/>
      <c r="G43" s="1"/>
      <c r="H43" s="1"/>
      <c r="I43" s="1"/>
      <c r="J43" s="1"/>
      <c r="K43" s="1"/>
      <c r="L43" s="1"/>
      <c r="M43" s="10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row>
    <row r="44" spans="1:71" x14ac:dyDescent="0.35">
      <c r="A44" s="1"/>
      <c r="B44" s="1"/>
      <c r="C44" s="1"/>
      <c r="D44" s="1"/>
      <c r="E44" s="1"/>
      <c r="F44" s="1"/>
      <c r="G44" s="1"/>
      <c r="H44" s="1"/>
      <c r="I44" s="1"/>
      <c r="J44" s="1"/>
      <c r="K44" s="1"/>
      <c r="L44" s="1"/>
      <c r="M44" s="10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row>
    <row r="45" spans="1:71" x14ac:dyDescent="0.35">
      <c r="A45" s="1"/>
      <c r="B45" s="1"/>
      <c r="C45" s="1"/>
      <c r="D45" s="1"/>
      <c r="E45" s="1"/>
      <c r="F45" s="1"/>
      <c r="G45" s="1"/>
      <c r="H45" s="1"/>
      <c r="I45" s="1"/>
      <c r="J45" s="1"/>
      <c r="K45" s="1"/>
      <c r="L45" s="1"/>
      <c r="M45" s="10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row>
    <row r="46" spans="1:71" x14ac:dyDescent="0.35">
      <c r="A46" s="1"/>
      <c r="B46" s="1"/>
      <c r="C46" s="1"/>
      <c r="D46" s="1"/>
      <c r="E46" s="1"/>
      <c r="F46" s="1"/>
      <c r="G46" s="1"/>
      <c r="H46" s="1"/>
      <c r="I46" s="1"/>
      <c r="J46" s="1"/>
      <c r="K46" s="1"/>
      <c r="L46" s="1"/>
      <c r="M46" s="10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row>
    <row r="47" spans="1:71" x14ac:dyDescent="0.35">
      <c r="A47" s="1"/>
      <c r="B47" s="1"/>
      <c r="C47" s="1"/>
      <c r="D47" s="1"/>
      <c r="E47" s="1"/>
      <c r="F47" s="1"/>
      <c r="G47" s="1"/>
      <c r="H47" s="1"/>
      <c r="I47" s="1"/>
      <c r="J47" s="1"/>
      <c r="K47" s="1"/>
      <c r="L47" s="1"/>
      <c r="M47" s="10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row>
    <row r="48" spans="1:71" x14ac:dyDescent="0.35">
      <c r="A48" s="1"/>
      <c r="B48" s="1"/>
      <c r="C48" s="1"/>
      <c r="D48" s="1"/>
      <c r="E48" s="1"/>
      <c r="F48" s="1"/>
      <c r="G48" s="1"/>
      <c r="H48" s="1"/>
      <c r="I48" s="1"/>
      <c r="J48" s="1"/>
      <c r="K48" s="1"/>
      <c r="L48" s="1"/>
      <c r="M48" s="10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row>
    <row r="49" spans="1:71" x14ac:dyDescent="0.35">
      <c r="A49" s="1"/>
      <c r="B49" s="1"/>
      <c r="C49" s="1"/>
      <c r="D49" s="1"/>
      <c r="E49" s="1"/>
      <c r="F49" s="1"/>
      <c r="G49" s="1"/>
      <c r="H49" s="1"/>
      <c r="I49" s="1"/>
      <c r="J49" s="1"/>
      <c r="K49" s="1"/>
      <c r="L49" s="1"/>
      <c r="M49" s="10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row>
    <row r="50" spans="1:71" x14ac:dyDescent="0.35">
      <c r="A50" s="1"/>
      <c r="B50" s="1"/>
      <c r="C50" s="1"/>
      <c r="D50" s="1"/>
      <c r="E50" s="1"/>
      <c r="F50" s="1"/>
      <c r="G50" s="1"/>
      <c r="H50" s="1"/>
      <c r="I50" s="1"/>
      <c r="J50" s="1"/>
      <c r="K50" s="1"/>
      <c r="L50" s="1"/>
      <c r="M50" s="10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row>
    <row r="51" spans="1:71" x14ac:dyDescent="0.35">
      <c r="A51" s="1"/>
      <c r="B51" s="1"/>
      <c r="C51" s="1"/>
      <c r="D51" s="1"/>
      <c r="E51" s="1"/>
      <c r="F51" s="1"/>
      <c r="G51" s="1"/>
      <c r="H51" s="1"/>
      <c r="I51" s="1"/>
      <c r="J51" s="1"/>
      <c r="K51" s="1"/>
      <c r="L51" s="1"/>
      <c r="M51" s="10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row>
    <row r="52" spans="1:71" x14ac:dyDescent="0.35">
      <c r="A52" s="1"/>
      <c r="B52" s="1"/>
      <c r="C52" s="1"/>
      <c r="D52" s="1"/>
      <c r="E52" s="1"/>
      <c r="F52" s="1"/>
      <c r="G52" s="1"/>
      <c r="H52" s="1"/>
      <c r="I52" s="1"/>
      <c r="J52" s="1"/>
      <c r="K52" s="1"/>
      <c r="L52" s="1"/>
      <c r="M52" s="10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row>
    <row r="53" spans="1:71" x14ac:dyDescent="0.35">
      <c r="A53" s="1"/>
      <c r="B53" s="1"/>
      <c r="C53" s="1"/>
      <c r="D53" s="1"/>
      <c r="E53" s="1"/>
      <c r="F53" s="1"/>
      <c r="G53" s="1"/>
      <c r="H53" s="1"/>
      <c r="I53" s="1"/>
      <c r="J53" s="1"/>
      <c r="K53" s="1"/>
      <c r="L53" s="1"/>
      <c r="M53" s="10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row>
    <row r="54" spans="1:71" x14ac:dyDescent="0.35">
      <c r="A54" s="1"/>
      <c r="B54" s="1"/>
      <c r="C54" s="1"/>
      <c r="D54" s="1"/>
      <c r="E54" s="1"/>
      <c r="F54" s="1"/>
      <c r="G54" s="1"/>
      <c r="H54" s="1"/>
      <c r="I54" s="1"/>
      <c r="J54" s="1"/>
      <c r="K54" s="1"/>
      <c r="L54" s="1"/>
      <c r="M54" s="10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row>
    <row r="55" spans="1:71" x14ac:dyDescent="0.35">
      <c r="A55" s="1"/>
      <c r="B55" s="1"/>
      <c r="C55" s="1"/>
      <c r="D55" s="1"/>
      <c r="E55" s="1"/>
      <c r="F55" s="1"/>
      <c r="G55" s="1"/>
      <c r="H55" s="1"/>
      <c r="I55" s="1"/>
      <c r="J55" s="1"/>
      <c r="K55" s="1"/>
      <c r="L55" s="1"/>
      <c r="M55" s="10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row>
    <row r="56" spans="1:71" x14ac:dyDescent="0.35">
      <c r="A56" s="1"/>
      <c r="B56" s="1"/>
      <c r="C56" s="1"/>
      <c r="D56" s="1"/>
      <c r="E56" s="1"/>
      <c r="F56" s="1"/>
      <c r="G56" s="1"/>
      <c r="H56" s="1"/>
      <c r="I56" s="1"/>
      <c r="J56" s="1"/>
      <c r="K56" s="1"/>
      <c r="L56" s="1"/>
      <c r="M56" s="10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row>
    <row r="57" spans="1:71" x14ac:dyDescent="0.35">
      <c r="A57" s="1"/>
      <c r="B57" s="1"/>
      <c r="C57" s="1"/>
      <c r="D57" s="1"/>
      <c r="E57" s="1"/>
      <c r="F57" s="1"/>
      <c r="G57" s="1"/>
      <c r="H57" s="1"/>
      <c r="I57" s="1"/>
      <c r="J57" s="1"/>
      <c r="K57" s="1"/>
      <c r="L57" s="1"/>
      <c r="M57" s="10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row>
    <row r="58" spans="1:71" x14ac:dyDescent="0.35">
      <c r="A58" s="1"/>
      <c r="B58" s="1"/>
      <c r="C58" s="1"/>
      <c r="D58" s="1"/>
      <c r="E58" s="1"/>
      <c r="F58" s="1"/>
      <c r="G58" s="1"/>
      <c r="H58" s="1"/>
      <c r="I58" s="1"/>
      <c r="J58" s="1"/>
      <c r="K58" s="1"/>
      <c r="L58" s="1"/>
      <c r="M58" s="10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row>
    <row r="59" spans="1:71" x14ac:dyDescent="0.35">
      <c r="A59" s="1"/>
      <c r="B59" s="1"/>
      <c r="C59" s="1"/>
      <c r="D59" s="1"/>
      <c r="E59" s="1"/>
      <c r="F59" s="1"/>
      <c r="G59" s="1"/>
      <c r="H59" s="1"/>
      <c r="I59" s="1"/>
      <c r="J59" s="1"/>
      <c r="K59" s="1"/>
      <c r="L59" s="1"/>
      <c r="M59" s="10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row>
    <row r="60" spans="1:71" x14ac:dyDescent="0.35">
      <c r="A60" s="1"/>
      <c r="B60" s="1"/>
      <c r="C60" s="1"/>
      <c r="D60" s="1"/>
      <c r="E60" s="1"/>
      <c r="F60" s="1"/>
      <c r="G60" s="1"/>
      <c r="H60" s="1"/>
      <c r="I60" s="1"/>
      <c r="J60" s="1"/>
      <c r="K60" s="1"/>
      <c r="L60" s="1"/>
      <c r="M60" s="10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x14ac:dyDescent="0.35">
      <c r="A61" s="1"/>
      <c r="B61" s="1"/>
      <c r="C61" s="1"/>
      <c r="D61" s="1"/>
      <c r="E61" s="1"/>
      <c r="F61" s="1"/>
      <c r="G61" s="1"/>
      <c r="H61" s="1"/>
      <c r="I61" s="1"/>
      <c r="J61" s="1"/>
      <c r="K61" s="1"/>
      <c r="L61" s="1"/>
      <c r="M61" s="10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x14ac:dyDescent="0.35">
      <c r="A62" s="1"/>
      <c r="B62" s="1"/>
      <c r="C62" s="1"/>
      <c r="D62" s="1"/>
      <c r="E62" s="1"/>
      <c r="F62" s="1"/>
      <c r="G62" s="1"/>
      <c r="H62" s="1"/>
      <c r="I62" s="1"/>
      <c r="J62" s="1"/>
      <c r="K62" s="1"/>
      <c r="L62" s="1"/>
      <c r="M62" s="10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x14ac:dyDescent="0.35">
      <c r="A63" s="1"/>
      <c r="B63" s="1"/>
      <c r="C63" s="1"/>
      <c r="D63" s="1"/>
      <c r="E63" s="1"/>
      <c r="F63" s="1"/>
      <c r="G63" s="1"/>
      <c r="H63" s="1"/>
      <c r="I63" s="1"/>
      <c r="J63" s="1"/>
      <c r="K63" s="1"/>
      <c r="L63" s="1"/>
      <c r="M63" s="10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x14ac:dyDescent="0.35">
      <c r="A64" s="1"/>
      <c r="B64" s="1"/>
      <c r="C64" s="1"/>
      <c r="D64" s="1"/>
      <c r="E64" s="1"/>
      <c r="F64" s="1"/>
      <c r="G64" s="1"/>
      <c r="H64" s="1"/>
      <c r="I64" s="1"/>
      <c r="J64" s="1"/>
      <c r="K64" s="1"/>
      <c r="L64" s="1"/>
      <c r="M64" s="10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71" x14ac:dyDescent="0.35">
      <c r="A65" s="1"/>
      <c r="B65" s="1"/>
      <c r="C65" s="1"/>
      <c r="D65" s="1"/>
      <c r="E65" s="1"/>
      <c r="F65" s="1"/>
      <c r="G65" s="1"/>
      <c r="H65" s="1"/>
      <c r="I65" s="1"/>
      <c r="J65" s="1"/>
      <c r="K65" s="1"/>
      <c r="L65" s="1"/>
      <c r="M65" s="10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row>
    <row r="66" spans="1:71" x14ac:dyDescent="0.35">
      <c r="A66" s="1"/>
      <c r="B66" s="1"/>
      <c r="C66" s="1"/>
      <c r="D66" s="1"/>
      <c r="E66" s="1"/>
      <c r="F66" s="1"/>
      <c r="G66" s="1"/>
      <c r="H66" s="1"/>
      <c r="I66" s="1"/>
      <c r="J66" s="1"/>
      <c r="K66" s="1"/>
      <c r="L66" s="1"/>
      <c r="M66" s="10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row>
    <row r="67" spans="1:71" x14ac:dyDescent="0.35">
      <c r="A67" s="1"/>
      <c r="B67" s="1"/>
      <c r="C67" s="1"/>
      <c r="D67" s="1"/>
      <c r="E67" s="1"/>
      <c r="F67" s="1"/>
      <c r="G67" s="1"/>
      <c r="H67" s="1"/>
      <c r="I67" s="1"/>
      <c r="J67" s="1"/>
      <c r="K67" s="1"/>
      <c r="L67" s="1"/>
      <c r="M67" s="10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row>
    <row r="68" spans="1:71" x14ac:dyDescent="0.35">
      <c r="A68" s="1"/>
      <c r="B68" s="1"/>
      <c r="C68" s="1"/>
      <c r="D68" s="1"/>
      <c r="E68" s="1"/>
      <c r="F68" s="1"/>
      <c r="G68" s="1"/>
      <c r="H68" s="1"/>
      <c r="I68" s="1"/>
      <c r="J68" s="1"/>
      <c r="K68" s="1"/>
      <c r="L68" s="1"/>
      <c r="M68" s="10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row>
    <row r="69" spans="1:71" x14ac:dyDescent="0.35">
      <c r="A69" s="1"/>
      <c r="B69" s="1"/>
      <c r="C69" s="1"/>
      <c r="D69" s="1"/>
      <c r="E69" s="1"/>
      <c r="F69" s="1"/>
      <c r="G69" s="1"/>
      <c r="H69" s="1"/>
      <c r="I69" s="1"/>
      <c r="J69" s="1"/>
      <c r="K69" s="1"/>
      <c r="L69" s="1"/>
      <c r="M69" s="10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row>
    <row r="70" spans="1:71" x14ac:dyDescent="0.35">
      <c r="A70" s="1"/>
      <c r="B70" s="1"/>
      <c r="C70" s="1"/>
      <c r="D70" s="1"/>
      <c r="E70" s="1"/>
      <c r="F70" s="1"/>
      <c r="G70" s="1"/>
      <c r="H70" s="1"/>
      <c r="I70" s="1"/>
      <c r="J70" s="1"/>
      <c r="K70" s="1"/>
      <c r="L70" s="1"/>
      <c r="M70" s="10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row>
    <row r="71" spans="1:71" x14ac:dyDescent="0.35">
      <c r="A71" s="1"/>
      <c r="B71" s="1"/>
      <c r="C71" s="1"/>
      <c r="D71" s="1"/>
      <c r="E71" s="1"/>
      <c r="F71" s="1"/>
      <c r="G71" s="1"/>
      <c r="H71" s="1"/>
      <c r="I71" s="1"/>
      <c r="J71" s="1"/>
      <c r="K71" s="1"/>
      <c r="L71" s="1"/>
      <c r="M71" s="10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row>
    <row r="72" spans="1:71" x14ac:dyDescent="0.35">
      <c r="A72" s="1"/>
      <c r="B72" s="1"/>
      <c r="C72" s="1"/>
      <c r="D72" s="1"/>
      <c r="E72" s="1"/>
      <c r="F72" s="1"/>
      <c r="G72" s="1"/>
      <c r="H72" s="1"/>
      <c r="I72" s="1"/>
      <c r="J72" s="1"/>
      <c r="K72" s="1"/>
      <c r="L72" s="1"/>
      <c r="M72" s="10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row>
    <row r="73" spans="1:71" x14ac:dyDescent="0.35">
      <c r="A73" s="1"/>
      <c r="B73" s="1"/>
      <c r="C73" s="1"/>
      <c r="D73" s="1"/>
      <c r="E73" s="1"/>
      <c r="F73" s="1"/>
      <c r="G73" s="1"/>
      <c r="H73" s="1"/>
      <c r="I73" s="1"/>
      <c r="J73" s="1"/>
      <c r="K73" s="1"/>
      <c r="L73" s="1"/>
      <c r="M73" s="10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row>
    <row r="74" spans="1:71" x14ac:dyDescent="0.35">
      <c r="A74" s="1"/>
      <c r="B74" s="1"/>
      <c r="C74" s="1"/>
      <c r="D74" s="1"/>
      <c r="E74" s="1"/>
      <c r="F74" s="1"/>
      <c r="G74" s="1"/>
      <c r="H74" s="1"/>
      <c r="I74" s="1"/>
      <c r="J74" s="1"/>
      <c r="K74" s="1"/>
      <c r="L74" s="1"/>
      <c r="M74" s="10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row>
    <row r="75" spans="1:71" x14ac:dyDescent="0.35">
      <c r="A75" s="1"/>
      <c r="B75" s="1"/>
      <c r="C75" s="1"/>
      <c r="D75" s="1"/>
      <c r="E75" s="1"/>
      <c r="F75" s="1"/>
      <c r="G75" s="1"/>
      <c r="H75" s="1"/>
      <c r="I75" s="1"/>
      <c r="J75" s="1"/>
      <c r="K75" s="1"/>
      <c r="L75" s="1"/>
      <c r="M75" s="10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row>
    <row r="76" spans="1:71" x14ac:dyDescent="0.35">
      <c r="A76" s="1"/>
      <c r="B76" s="1"/>
      <c r="C76" s="1"/>
      <c r="D76" s="1"/>
      <c r="E76" s="1"/>
      <c r="F76" s="1"/>
      <c r="G76" s="1"/>
      <c r="H76" s="1"/>
      <c r="I76" s="1"/>
      <c r="J76" s="1"/>
      <c r="K76" s="1"/>
      <c r="L76" s="1"/>
      <c r="M76" s="10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row>
    <row r="77" spans="1:71" x14ac:dyDescent="0.35">
      <c r="A77" s="1"/>
      <c r="B77" s="1"/>
      <c r="C77" s="1"/>
      <c r="D77" s="1"/>
      <c r="E77" s="1"/>
      <c r="F77" s="1"/>
      <c r="G77" s="1"/>
      <c r="H77" s="1"/>
      <c r="I77" s="1"/>
      <c r="J77" s="1"/>
      <c r="K77" s="1"/>
      <c r="L77" s="1"/>
      <c r="M77" s="10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row>
    <row r="78" spans="1:71" x14ac:dyDescent="0.35">
      <c r="A78" s="1"/>
      <c r="B78" s="1"/>
      <c r="C78" s="1"/>
      <c r="D78" s="1"/>
      <c r="E78" s="1"/>
      <c r="F78" s="1"/>
      <c r="G78" s="1"/>
      <c r="H78" s="1"/>
      <c r="I78" s="1"/>
      <c r="J78" s="1"/>
      <c r="K78" s="1"/>
      <c r="L78" s="1"/>
      <c r="M78" s="10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row>
    <row r="79" spans="1:71" x14ac:dyDescent="0.35">
      <c r="A79" s="1"/>
      <c r="B79" s="1"/>
      <c r="C79" s="1"/>
      <c r="D79" s="1"/>
      <c r="E79" s="1"/>
      <c r="F79" s="1"/>
      <c r="G79" s="1"/>
      <c r="H79" s="1"/>
      <c r="I79" s="1"/>
      <c r="J79" s="1"/>
      <c r="K79" s="1"/>
      <c r="L79" s="1"/>
      <c r="M79" s="10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row>
    <row r="80" spans="1:71" x14ac:dyDescent="0.35">
      <c r="A80" s="1"/>
      <c r="B80" s="1"/>
      <c r="C80" s="1"/>
      <c r="D80" s="1"/>
      <c r="E80" s="1"/>
      <c r="F80" s="1"/>
      <c r="G80" s="1"/>
      <c r="H80" s="1"/>
      <c r="I80" s="1"/>
      <c r="J80" s="1"/>
      <c r="K80" s="1"/>
      <c r="L80" s="1"/>
      <c r="M80" s="10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row>
    <row r="81" spans="1:71" x14ac:dyDescent="0.35">
      <c r="A81" s="1"/>
      <c r="B81" s="1"/>
      <c r="C81" s="1"/>
      <c r="D81" s="1"/>
      <c r="E81" s="1"/>
      <c r="F81" s="1"/>
      <c r="G81" s="1"/>
      <c r="H81" s="1"/>
      <c r="I81" s="1"/>
      <c r="J81" s="1"/>
      <c r="K81" s="1"/>
      <c r="L81" s="1"/>
      <c r="M81" s="10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row>
    <row r="82" spans="1:71" x14ac:dyDescent="0.35">
      <c r="A82" s="1"/>
      <c r="B82" s="1"/>
      <c r="C82" s="1"/>
      <c r="D82" s="1"/>
      <c r="E82" s="1"/>
      <c r="F82" s="1"/>
      <c r="G82" s="1"/>
      <c r="H82" s="1"/>
      <c r="I82" s="1"/>
      <c r="J82" s="1"/>
      <c r="K82" s="1"/>
      <c r="L82" s="1"/>
      <c r="M82" s="10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row>
    <row r="83" spans="1:71" x14ac:dyDescent="0.35">
      <c r="A83" s="1"/>
      <c r="B83" s="1"/>
      <c r="C83" s="1"/>
      <c r="D83" s="1"/>
      <c r="E83" s="1"/>
      <c r="F83" s="1"/>
      <c r="G83" s="1"/>
      <c r="H83" s="1"/>
      <c r="I83" s="1"/>
      <c r="J83" s="1"/>
      <c r="K83" s="1"/>
      <c r="L83" s="1"/>
      <c r="M83" s="10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row>
    <row r="84" spans="1:71" x14ac:dyDescent="0.35">
      <c r="A84" s="1"/>
      <c r="B84" s="1"/>
      <c r="C84" s="1"/>
      <c r="D84" s="1"/>
      <c r="E84" s="1"/>
      <c r="F84" s="1"/>
      <c r="G84" s="1"/>
      <c r="H84" s="1"/>
      <c r="I84" s="1"/>
      <c r="J84" s="1"/>
      <c r="K84" s="1"/>
      <c r="L84" s="1"/>
      <c r="M84" s="10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row>
    <row r="85" spans="1:71" x14ac:dyDescent="0.35">
      <c r="A85" s="1"/>
      <c r="B85" s="1"/>
      <c r="C85" s="1"/>
      <c r="D85" s="1"/>
      <c r="E85" s="1"/>
      <c r="F85" s="1"/>
      <c r="G85" s="1"/>
      <c r="H85" s="1"/>
      <c r="I85" s="1"/>
      <c r="J85" s="1"/>
      <c r="K85" s="1"/>
      <c r="L85" s="1"/>
      <c r="M85" s="10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row>
    <row r="86" spans="1:71" x14ac:dyDescent="0.35">
      <c r="A86" s="1"/>
      <c r="B86" s="1"/>
      <c r="C86" s="1"/>
      <c r="D86" s="1"/>
      <c r="E86" s="1"/>
      <c r="F86" s="1"/>
      <c r="G86" s="1"/>
      <c r="H86" s="1"/>
      <c r="I86" s="1"/>
      <c r="J86" s="1"/>
      <c r="K86" s="1"/>
      <c r="L86" s="1"/>
      <c r="M86" s="10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row>
    <row r="87" spans="1:71" x14ac:dyDescent="0.35">
      <c r="A87" s="1"/>
      <c r="B87" s="1"/>
      <c r="C87" s="1"/>
      <c r="D87" s="1"/>
      <c r="E87" s="1"/>
      <c r="F87" s="1"/>
      <c r="G87" s="1"/>
      <c r="H87" s="1"/>
      <c r="I87" s="1"/>
      <c r="J87" s="1"/>
      <c r="K87" s="1"/>
      <c r="L87" s="1"/>
      <c r="M87" s="10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row>
    <row r="88" spans="1:71" x14ac:dyDescent="0.35">
      <c r="A88" s="1"/>
      <c r="B88" s="1"/>
      <c r="C88" s="1"/>
      <c r="D88" s="1"/>
      <c r="E88" s="1"/>
      <c r="F88" s="1"/>
      <c r="G88" s="1"/>
      <c r="H88" s="1"/>
      <c r="I88" s="1"/>
      <c r="J88" s="1"/>
      <c r="K88" s="1"/>
      <c r="L88" s="1"/>
      <c r="M88" s="10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row>
    <row r="89" spans="1:71" x14ac:dyDescent="0.35">
      <c r="A89" s="1"/>
      <c r="B89" s="1"/>
      <c r="C89" s="1"/>
      <c r="D89" s="1"/>
      <c r="E89" s="1"/>
      <c r="F89" s="1"/>
      <c r="G89" s="1"/>
      <c r="H89" s="1"/>
      <c r="I89" s="1"/>
      <c r="J89" s="1"/>
      <c r="K89" s="1"/>
      <c r="L89" s="1"/>
      <c r="M89" s="10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row>
    <row r="90" spans="1:71" x14ac:dyDescent="0.35">
      <c r="A90" s="1"/>
      <c r="B90" s="1"/>
      <c r="C90" s="1"/>
      <c r="D90" s="1"/>
      <c r="E90" s="1"/>
      <c r="F90" s="1"/>
      <c r="G90" s="1"/>
      <c r="H90" s="1"/>
      <c r="I90" s="1"/>
      <c r="J90" s="1"/>
      <c r="K90" s="1"/>
      <c r="L90" s="1"/>
      <c r="M90" s="10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row>
    <row r="91" spans="1:71" x14ac:dyDescent="0.35">
      <c r="A91" s="1"/>
      <c r="B91" s="1"/>
      <c r="C91" s="1"/>
      <c r="D91" s="1"/>
      <c r="E91" s="1"/>
      <c r="F91" s="1"/>
      <c r="G91" s="1"/>
      <c r="H91" s="1"/>
      <c r="I91" s="1"/>
      <c r="J91" s="1"/>
      <c r="K91" s="1"/>
      <c r="L91" s="1"/>
      <c r="M91" s="10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row>
    <row r="92" spans="1:71" x14ac:dyDescent="0.35">
      <c r="A92" s="1"/>
      <c r="B92" s="1"/>
      <c r="C92" s="1"/>
      <c r="D92" s="1"/>
      <c r="E92" s="1"/>
      <c r="F92" s="1"/>
      <c r="G92" s="1"/>
      <c r="H92" s="1"/>
      <c r="I92" s="1"/>
      <c r="J92" s="1"/>
      <c r="K92" s="1"/>
      <c r="L92" s="1"/>
      <c r="M92" s="10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row>
    <row r="93" spans="1:71" x14ac:dyDescent="0.35">
      <c r="A93" s="1"/>
      <c r="B93" s="1"/>
      <c r="C93" s="1"/>
      <c r="D93" s="1"/>
      <c r="E93" s="1"/>
      <c r="F93" s="1"/>
      <c r="G93" s="1"/>
      <c r="H93" s="1"/>
      <c r="I93" s="1"/>
      <c r="J93" s="1"/>
      <c r="K93" s="1"/>
      <c r="L93" s="1"/>
      <c r="M93" s="10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row>
    <row r="94" spans="1:71" x14ac:dyDescent="0.35">
      <c r="A94" s="1"/>
      <c r="B94" s="1"/>
      <c r="C94" s="1"/>
      <c r="D94" s="1"/>
      <c r="E94" s="1"/>
      <c r="F94" s="1"/>
      <c r="G94" s="1"/>
      <c r="H94" s="1"/>
      <c r="I94" s="1"/>
      <c r="J94" s="1"/>
      <c r="K94" s="1"/>
      <c r="L94" s="1"/>
      <c r="M94" s="10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row>
    <row r="95" spans="1:71" x14ac:dyDescent="0.35">
      <c r="A95" s="1"/>
      <c r="B95" s="1"/>
      <c r="C95" s="1"/>
      <c r="D95" s="1"/>
      <c r="E95" s="1"/>
      <c r="F95" s="1"/>
      <c r="G95" s="1"/>
      <c r="H95" s="1"/>
      <c r="I95" s="1"/>
      <c r="J95" s="1"/>
      <c r="K95" s="1"/>
      <c r="L95" s="1"/>
      <c r="M95" s="10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x14ac:dyDescent="0.35">
      <c r="A96" s="1"/>
      <c r="B96" s="1"/>
      <c r="C96" s="1"/>
      <c r="D96" s="1"/>
      <c r="E96" s="1"/>
      <c r="F96" s="1"/>
      <c r="G96" s="1"/>
      <c r="H96" s="1"/>
      <c r="I96" s="1"/>
      <c r="J96" s="1"/>
      <c r="K96" s="1"/>
      <c r="L96" s="1"/>
      <c r="M96" s="10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x14ac:dyDescent="0.35">
      <c r="A97" s="1"/>
      <c r="B97" s="1"/>
      <c r="C97" s="1"/>
      <c r="D97" s="1"/>
      <c r="E97" s="1"/>
      <c r="F97" s="1"/>
      <c r="G97" s="1"/>
      <c r="H97" s="1"/>
      <c r="I97" s="1"/>
      <c r="J97" s="1"/>
      <c r="K97" s="1"/>
      <c r="L97" s="1"/>
      <c r="M97" s="10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x14ac:dyDescent="0.35">
      <c r="A98" s="1"/>
      <c r="B98" s="1"/>
      <c r="C98" s="1"/>
      <c r="D98" s="1"/>
      <c r="E98" s="1"/>
      <c r="F98" s="1"/>
      <c r="G98" s="1"/>
      <c r="H98" s="1"/>
      <c r="I98" s="1"/>
      <c r="J98" s="1"/>
      <c r="K98" s="1"/>
      <c r="L98" s="1"/>
      <c r="M98" s="10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x14ac:dyDescent="0.35">
      <c r="A99" s="1"/>
      <c r="B99" s="1"/>
      <c r="C99" s="1"/>
      <c r="D99" s="1"/>
      <c r="E99" s="1"/>
      <c r="F99" s="1"/>
      <c r="G99" s="1"/>
      <c r="H99" s="1"/>
      <c r="I99" s="1"/>
      <c r="J99" s="1"/>
      <c r="K99" s="1"/>
      <c r="L99" s="1"/>
      <c r="M99" s="10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x14ac:dyDescent="0.35">
      <c r="A100" s="1"/>
      <c r="B100" s="1"/>
      <c r="C100" s="1"/>
      <c r="D100" s="1"/>
      <c r="E100" s="1"/>
      <c r="F100" s="1"/>
      <c r="G100" s="1"/>
      <c r="H100" s="1"/>
      <c r="I100" s="1"/>
      <c r="J100" s="1"/>
      <c r="K100" s="1"/>
      <c r="L100" s="1"/>
      <c r="M100" s="10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x14ac:dyDescent="0.35">
      <c r="A101" s="1"/>
      <c r="B101" s="1"/>
      <c r="C101" s="1"/>
      <c r="D101" s="1"/>
      <c r="E101" s="1"/>
      <c r="F101" s="1"/>
      <c r="G101" s="1"/>
      <c r="H101" s="1"/>
      <c r="I101" s="1"/>
      <c r="J101" s="1"/>
      <c r="K101" s="1"/>
      <c r="L101" s="1"/>
      <c r="M101" s="10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x14ac:dyDescent="0.35">
      <c r="A102" s="1"/>
      <c r="B102" s="1"/>
      <c r="C102" s="1"/>
      <c r="D102" s="1"/>
      <c r="E102" s="1"/>
      <c r="F102" s="1"/>
      <c r="G102" s="1"/>
      <c r="H102" s="1"/>
      <c r="I102" s="1"/>
      <c r="J102" s="1"/>
      <c r="K102" s="1"/>
      <c r="L102" s="1"/>
      <c r="M102" s="10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x14ac:dyDescent="0.35">
      <c r="A103" s="1"/>
      <c r="B103" s="1"/>
      <c r="C103" s="1"/>
      <c r="D103" s="1"/>
      <c r="E103" s="1"/>
      <c r="F103" s="1"/>
      <c r="G103" s="1"/>
      <c r="H103" s="1"/>
      <c r="I103" s="1"/>
      <c r="J103" s="1"/>
      <c r="K103" s="1"/>
      <c r="L103" s="1"/>
      <c r="M103" s="10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x14ac:dyDescent="0.35">
      <c r="A104" s="1"/>
      <c r="B104" s="1"/>
      <c r="C104" s="1"/>
      <c r="D104" s="1"/>
      <c r="E104" s="1"/>
      <c r="F104" s="1"/>
      <c r="G104" s="1"/>
      <c r="H104" s="1"/>
      <c r="I104" s="1"/>
      <c r="J104" s="1"/>
      <c r="K104" s="1"/>
      <c r="L104" s="1"/>
      <c r="M104" s="10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x14ac:dyDescent="0.35">
      <c r="A105" s="1"/>
      <c r="B105" s="1"/>
      <c r="C105" s="1"/>
      <c r="D105" s="1"/>
      <c r="E105" s="1"/>
      <c r="F105" s="1"/>
      <c r="G105" s="1"/>
      <c r="H105" s="1"/>
      <c r="I105" s="1"/>
      <c r="J105" s="1"/>
      <c r="K105" s="1"/>
      <c r="L105" s="1"/>
      <c r="M105" s="10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row>
    <row r="106" spans="1:71" x14ac:dyDescent="0.35">
      <c r="A106" s="1"/>
      <c r="B106" s="1"/>
      <c r="C106" s="1"/>
      <c r="D106" s="1"/>
      <c r="E106" s="1"/>
      <c r="F106" s="1"/>
      <c r="G106" s="1"/>
      <c r="H106" s="1"/>
      <c r="I106" s="1"/>
      <c r="J106" s="1"/>
      <c r="K106" s="1"/>
      <c r="L106" s="1"/>
      <c r="M106" s="10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row>
    <row r="107" spans="1:71" x14ac:dyDescent="0.35">
      <c r="A107" s="1"/>
      <c r="B107" s="1"/>
      <c r="C107" s="1"/>
      <c r="D107" s="1"/>
      <c r="E107" s="1"/>
      <c r="F107" s="1"/>
      <c r="G107" s="1"/>
      <c r="H107" s="1"/>
      <c r="I107" s="1"/>
      <c r="J107" s="1"/>
      <c r="K107" s="1"/>
      <c r="L107" s="1"/>
      <c r="M107" s="10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row>
    <row r="108" spans="1:71" x14ac:dyDescent="0.35">
      <c r="A108" s="1"/>
      <c r="B108" s="1"/>
      <c r="C108" s="1"/>
      <c r="D108" s="1"/>
      <c r="E108" s="1"/>
      <c r="F108" s="1"/>
      <c r="G108" s="1"/>
      <c r="H108" s="1"/>
      <c r="I108" s="1"/>
      <c r="J108" s="1"/>
      <c r="K108" s="1"/>
      <c r="L108" s="1"/>
      <c r="M108" s="10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row>
    <row r="109" spans="1:71" x14ac:dyDescent="0.35">
      <c r="A109" s="1"/>
      <c r="B109" s="1"/>
      <c r="C109" s="1"/>
      <c r="D109" s="1"/>
      <c r="E109" s="1"/>
      <c r="F109" s="1"/>
      <c r="G109" s="1"/>
      <c r="H109" s="1"/>
      <c r="I109" s="1"/>
      <c r="J109" s="1"/>
      <c r="K109" s="1"/>
      <c r="L109" s="1"/>
      <c r="M109" s="10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row>
    <row r="110" spans="1:71" x14ac:dyDescent="0.35">
      <c r="A110" s="1"/>
      <c r="B110" s="1"/>
      <c r="C110" s="1"/>
      <c r="D110" s="1"/>
      <c r="E110" s="1"/>
      <c r="F110" s="1"/>
      <c r="G110" s="1"/>
      <c r="H110" s="1"/>
      <c r="I110" s="1"/>
      <c r="J110" s="1"/>
      <c r="K110" s="1"/>
      <c r="L110" s="1"/>
      <c r="M110" s="10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row>
    <row r="111" spans="1:71" x14ac:dyDescent="0.35">
      <c r="A111" s="1"/>
      <c r="B111" s="1"/>
      <c r="C111" s="1"/>
      <c r="D111" s="1"/>
      <c r="E111" s="1"/>
      <c r="F111" s="1"/>
      <c r="G111" s="1"/>
      <c r="H111" s="1"/>
      <c r="I111" s="1"/>
      <c r="J111" s="1"/>
      <c r="K111" s="1"/>
      <c r="L111" s="1"/>
      <c r="M111" s="10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row>
    <row r="112" spans="1:71" x14ac:dyDescent="0.35">
      <c r="A112" s="1"/>
      <c r="B112" s="1"/>
      <c r="C112" s="1"/>
      <c r="D112" s="1"/>
      <c r="E112" s="1"/>
      <c r="F112" s="1"/>
      <c r="G112" s="1"/>
      <c r="H112" s="1"/>
      <c r="I112" s="1"/>
      <c r="J112" s="1"/>
      <c r="K112" s="1"/>
      <c r="L112" s="1"/>
      <c r="M112" s="10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row>
    <row r="113" spans="1:71" x14ac:dyDescent="0.35">
      <c r="A113" s="1"/>
      <c r="B113" s="1"/>
      <c r="C113" s="1"/>
      <c r="D113" s="1"/>
      <c r="E113" s="1"/>
      <c r="F113" s="1"/>
      <c r="G113" s="1"/>
      <c r="H113" s="1"/>
      <c r="I113" s="1"/>
      <c r="J113" s="1"/>
      <c r="K113" s="1"/>
      <c r="L113" s="1"/>
      <c r="M113" s="10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row>
  </sheetData>
  <mergeCells count="21">
    <mergeCell ref="AF1:AI1"/>
    <mergeCell ref="AJ1:AL1"/>
    <mergeCell ref="U18:V18"/>
    <mergeCell ref="P1:T1"/>
    <mergeCell ref="U1:V1"/>
    <mergeCell ref="W1:X1"/>
    <mergeCell ref="Y1:Z1"/>
    <mergeCell ref="AA1:AB1"/>
    <mergeCell ref="AD1:AE1"/>
    <mergeCell ref="P25:Q25"/>
    <mergeCell ref="B1:B2"/>
    <mergeCell ref="C1:C2"/>
    <mergeCell ref="E1:E2"/>
    <mergeCell ref="D1:D2"/>
    <mergeCell ref="G1:G2"/>
    <mergeCell ref="F1:F2"/>
    <mergeCell ref="H1:H2"/>
    <mergeCell ref="I1:I2"/>
    <mergeCell ref="K1:K2"/>
    <mergeCell ref="L1:L2"/>
    <mergeCell ref="J1:J2"/>
  </mergeCells>
  <conditionalFormatting sqref="P3:S3">
    <cfRule type="colorScale" priority="1">
      <colorScale>
        <cfvo type="min"/>
        <cfvo type="percentile" val="50"/>
        <cfvo type="max"/>
        <color theme="9" tint="0.79998168889431442"/>
        <color theme="7" tint="0.79998168889431442"/>
        <color theme="5" tint="0.79998168889431442"/>
      </colorScale>
    </cfRule>
  </conditionalFormatting>
  <conditionalFormatting sqref="P4:S4">
    <cfRule type="colorScale" priority="2">
      <colorScale>
        <cfvo type="min"/>
        <cfvo type="percentile" val="50"/>
        <cfvo type="max"/>
        <color theme="9" tint="0.79998168889431442"/>
        <color theme="7" tint="0.79998168889431442"/>
        <color theme="5" tint="0.79998168889431442"/>
      </colorScale>
    </cfRule>
  </conditionalFormatting>
  <conditionalFormatting sqref="P5:S5">
    <cfRule type="colorScale" priority="3">
      <colorScale>
        <cfvo type="min"/>
        <cfvo type="percentile" val="50"/>
        <cfvo type="max"/>
        <color theme="9" tint="0.79998168889431442"/>
        <color theme="7" tint="0.79998168889431442"/>
        <color theme="5" tint="0.79998168889431442"/>
      </colorScale>
    </cfRule>
  </conditionalFormatting>
  <conditionalFormatting sqref="P6:S6">
    <cfRule type="colorScale" priority="4">
      <colorScale>
        <cfvo type="min"/>
        <cfvo type="percentile" val="50"/>
        <cfvo type="max"/>
        <color theme="9" tint="0.79998168889431442"/>
        <color theme="7" tint="0.79998168889431442"/>
        <color theme="5" tint="0.79998168889431442"/>
      </colorScale>
    </cfRule>
  </conditionalFormatting>
  <conditionalFormatting sqref="P7:S7 P12:S12 P16:S16 P20:S22">
    <cfRule type="colorScale" priority="5">
      <colorScale>
        <cfvo type="min"/>
        <cfvo type="percentile" val="50"/>
        <cfvo type="max"/>
        <color theme="9" tint="0.79998168889431442"/>
        <color theme="7" tint="0.79998168889431442"/>
        <color theme="5" tint="0.79998168889431442"/>
      </colorScale>
    </cfRule>
  </conditionalFormatting>
  <conditionalFormatting sqref="P8:S8 P13:S13 P17:S17">
    <cfRule type="colorScale" priority="6">
      <colorScale>
        <cfvo type="min"/>
        <cfvo type="percentile" val="50"/>
        <cfvo type="max"/>
        <color theme="9" tint="0.79998168889431442"/>
        <color theme="7" tint="0.79998168889431442"/>
        <color theme="5" tint="0.79998168889431442"/>
      </colorScale>
    </cfRule>
  </conditionalFormatting>
  <conditionalFormatting sqref="P9:S9 P14:S14">
    <cfRule type="colorScale" priority="7">
      <colorScale>
        <cfvo type="min"/>
        <cfvo type="percentile" val="50"/>
        <cfvo type="max"/>
        <color theme="9" tint="0.79998168889431442"/>
        <color theme="7" tint="0.79998168889431442"/>
        <color theme="5" tint="0.79998168889431442"/>
      </colorScale>
    </cfRule>
  </conditionalFormatting>
  <conditionalFormatting sqref="P10:S11 P15:S15 P19:S19">
    <cfRule type="colorScale" priority="8">
      <colorScale>
        <cfvo type="min"/>
        <cfvo type="percentile" val="50"/>
        <cfvo type="max"/>
        <color theme="9" tint="0.79998168889431442"/>
        <color theme="7" tint="0.79998168889431442"/>
        <color theme="5" tint="0.79998168889431442"/>
      </colorScale>
    </cfRule>
  </conditionalFormatting>
  <hyperlinks>
    <hyperlink ref="AF1" r:id="rId1" display="https://doi.org/10.1016/j.rser.2022.112334" xr:uid="{11BCEDF6-62EE-4CA8-A2CD-1F3D0461208C}"/>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D4E7-1B44-4D60-9603-37D5047A6381}">
  <sheetPr>
    <tabColor theme="7" tint="0.59999389629810485"/>
  </sheetPr>
  <dimension ref="A1:BV385"/>
  <sheetViews>
    <sheetView topLeftCell="E8" zoomScale="55" zoomScaleNormal="55" workbookViewId="0">
      <selection sqref="A1:Q38"/>
    </sheetView>
  </sheetViews>
  <sheetFormatPr baseColWidth="10" defaultRowHeight="14.5" x14ac:dyDescent="0.35"/>
  <cols>
    <col min="1" max="1" width="20.08984375" customWidth="1"/>
    <col min="2" max="2" width="19.08984375" customWidth="1"/>
    <col min="3" max="3" width="35.36328125" customWidth="1"/>
    <col min="4" max="4" width="16.453125" bestFit="1" customWidth="1"/>
    <col min="5" max="5" width="21.36328125" bestFit="1" customWidth="1"/>
    <col min="6" max="8" width="21.36328125" customWidth="1"/>
    <col min="9" max="9" width="33" customWidth="1"/>
    <col min="10" max="10" width="24.7265625" customWidth="1"/>
    <col min="11" max="13" width="22.36328125" customWidth="1"/>
    <col min="14" max="16" width="20.453125" customWidth="1"/>
    <col min="17" max="17" width="30.54296875" customWidth="1"/>
    <col min="18" max="74" width="10.90625" style="1"/>
  </cols>
  <sheetData>
    <row r="1" spans="1:17" ht="44" customHeight="1" x14ac:dyDescent="0.35">
      <c r="A1" s="399" t="s">
        <v>179</v>
      </c>
      <c r="B1" s="658" t="s">
        <v>165</v>
      </c>
      <c r="C1" s="658" t="s">
        <v>202</v>
      </c>
      <c r="D1" s="703" t="s">
        <v>203</v>
      </c>
      <c r="E1" s="699" t="s">
        <v>207</v>
      </c>
      <c r="F1" s="699" t="s">
        <v>427</v>
      </c>
      <c r="G1" s="699"/>
      <c r="H1" s="699"/>
      <c r="I1" s="703" t="s">
        <v>210</v>
      </c>
      <c r="J1" s="699" t="s">
        <v>201</v>
      </c>
      <c r="K1" s="699"/>
      <c r="L1" s="700" t="s">
        <v>433</v>
      </c>
      <c r="M1" s="701"/>
      <c r="N1" s="702"/>
      <c r="O1" s="644" t="s">
        <v>133</v>
      </c>
      <c r="P1" s="646" t="s">
        <v>134</v>
      </c>
      <c r="Q1" s="695" t="s">
        <v>131</v>
      </c>
    </row>
    <row r="2" spans="1:17" ht="40" customHeight="1" thickBot="1" x14ac:dyDescent="0.4">
      <c r="A2" s="400" t="s">
        <v>62</v>
      </c>
      <c r="B2" s="658"/>
      <c r="C2" s="706"/>
      <c r="D2" s="658"/>
      <c r="E2" s="705"/>
      <c r="F2" s="600" t="s">
        <v>425</v>
      </c>
      <c r="G2" s="600" t="s">
        <v>428</v>
      </c>
      <c r="H2" s="600" t="s">
        <v>429</v>
      </c>
      <c r="I2" s="704"/>
      <c r="J2" s="16" t="s">
        <v>64</v>
      </c>
      <c r="K2" s="16" t="s">
        <v>65</v>
      </c>
      <c r="L2" s="600" t="s">
        <v>425</v>
      </c>
      <c r="M2" s="600" t="s">
        <v>428</v>
      </c>
      <c r="N2" s="600" t="s">
        <v>429</v>
      </c>
      <c r="O2" s="698"/>
      <c r="P2" s="697"/>
      <c r="Q2" s="696"/>
    </row>
    <row r="3" spans="1:17" ht="29.5" thickBot="1" x14ac:dyDescent="0.4">
      <c r="A3" s="220" t="s">
        <v>21</v>
      </c>
      <c r="B3" s="620"/>
      <c r="C3" s="591">
        <f>1000*(62.8*97.3/100)</f>
        <v>61104.4</v>
      </c>
      <c r="D3" s="26"/>
      <c r="E3" s="600"/>
      <c r="F3" s="600"/>
      <c r="G3" s="600"/>
      <c r="H3" s="600"/>
      <c r="I3" s="402"/>
      <c r="J3" s="401">
        <v>542</v>
      </c>
      <c r="K3" s="403">
        <v>577</v>
      </c>
      <c r="L3" s="91">
        <v>61104.4</v>
      </c>
      <c r="M3" s="91">
        <v>61104.4</v>
      </c>
      <c r="N3" s="91">
        <v>61104.4</v>
      </c>
      <c r="O3" s="229">
        <f>J3</f>
        <v>542</v>
      </c>
      <c r="P3" s="230">
        <f>N3</f>
        <v>61104.4</v>
      </c>
      <c r="Q3" s="223" t="s">
        <v>141</v>
      </c>
    </row>
    <row r="4" spans="1:17" x14ac:dyDescent="0.35">
      <c r="A4" s="86" t="s">
        <v>22</v>
      </c>
      <c r="B4" s="621"/>
      <c r="C4" s="592"/>
      <c r="D4" s="209"/>
      <c r="E4" s="601"/>
      <c r="F4" s="601"/>
      <c r="G4" s="601"/>
      <c r="H4" s="601"/>
      <c r="I4" s="217"/>
      <c r="J4" s="217"/>
      <c r="K4" s="218"/>
      <c r="L4" s="218"/>
      <c r="M4" s="218"/>
      <c r="N4" s="218"/>
      <c r="O4" s="218"/>
      <c r="P4" s="212"/>
      <c r="Q4" s="224"/>
    </row>
    <row r="5" spans="1:17" x14ac:dyDescent="0.35">
      <c r="A5" s="86" t="s">
        <v>66</v>
      </c>
      <c r="B5" s="622"/>
      <c r="C5" s="593"/>
      <c r="D5" s="209"/>
      <c r="E5" s="602"/>
      <c r="F5" s="618">
        <v>0.4</v>
      </c>
      <c r="G5" s="23">
        <v>0</v>
      </c>
      <c r="H5" s="23">
        <v>0</v>
      </c>
      <c r="I5" s="209"/>
      <c r="J5" s="209"/>
      <c r="K5" s="210"/>
      <c r="L5" s="618">
        <v>0.4</v>
      </c>
      <c r="M5" s="20">
        <v>0</v>
      </c>
      <c r="N5" s="20">
        <v>0</v>
      </c>
      <c r="O5" s="211"/>
      <c r="P5" s="212"/>
      <c r="Q5" s="224"/>
    </row>
    <row r="6" spans="1:17" ht="107.5" customHeight="1" x14ac:dyDescent="0.35">
      <c r="A6" s="84" t="s">
        <v>67</v>
      </c>
      <c r="B6" s="204">
        <v>2190</v>
      </c>
      <c r="C6" s="87"/>
      <c r="D6" s="60">
        <v>427</v>
      </c>
      <c r="E6" s="23"/>
      <c r="F6" s="23"/>
      <c r="G6" s="23"/>
      <c r="H6" s="23"/>
      <c r="I6" s="26"/>
      <c r="J6" s="60">
        <v>571</v>
      </c>
      <c r="K6" s="203">
        <v>5444</v>
      </c>
      <c r="L6" s="204">
        <v>2190</v>
      </c>
      <c r="M6" s="204">
        <v>2190</v>
      </c>
      <c r="N6" s="204">
        <v>2190</v>
      </c>
      <c r="O6" s="207">
        <f>D6</f>
        <v>427</v>
      </c>
      <c r="P6" s="208">
        <f>K6</f>
        <v>5444</v>
      </c>
      <c r="Q6" s="224" t="s">
        <v>140</v>
      </c>
    </row>
    <row r="7" spans="1:17" x14ac:dyDescent="0.35">
      <c r="A7" s="84" t="s">
        <v>68</v>
      </c>
      <c r="B7" s="622"/>
      <c r="C7" s="593"/>
      <c r="D7" s="209"/>
      <c r="E7" s="602"/>
      <c r="F7" s="602"/>
      <c r="G7" s="602"/>
      <c r="H7" s="602"/>
      <c r="I7" s="209"/>
      <c r="J7" s="209"/>
      <c r="K7" s="210"/>
      <c r="L7" s="20">
        <v>0</v>
      </c>
      <c r="M7" s="20">
        <v>0</v>
      </c>
      <c r="N7" s="20">
        <v>0</v>
      </c>
      <c r="O7" s="211"/>
      <c r="P7" s="212"/>
      <c r="Q7" s="224"/>
    </row>
    <row r="8" spans="1:17" x14ac:dyDescent="0.35">
      <c r="A8" s="95" t="s">
        <v>24</v>
      </c>
      <c r="B8" s="622"/>
      <c r="C8" s="593"/>
      <c r="D8" s="209"/>
      <c r="E8" s="602"/>
      <c r="F8" s="602"/>
      <c r="G8" s="602"/>
      <c r="H8" s="602"/>
      <c r="I8" s="209"/>
      <c r="J8" s="209"/>
      <c r="K8" s="210"/>
      <c r="L8" s="20">
        <v>0</v>
      </c>
      <c r="M8" s="20">
        <v>0</v>
      </c>
      <c r="N8" s="20">
        <v>0</v>
      </c>
      <c r="O8" s="211"/>
      <c r="P8" s="212"/>
      <c r="Q8" s="224"/>
    </row>
    <row r="9" spans="1:17" ht="20" customHeight="1" x14ac:dyDescent="0.35">
      <c r="A9" s="84" t="s">
        <v>69</v>
      </c>
      <c r="B9" s="69">
        <v>1473.4</v>
      </c>
      <c r="C9" s="59">
        <f>1000*(62.8*2.3/100)</f>
        <v>1444.3999999999996</v>
      </c>
      <c r="D9" s="60">
        <v>60</v>
      </c>
      <c r="E9" s="24">
        <v>1345</v>
      </c>
      <c r="F9" s="24">
        <v>59.6</v>
      </c>
      <c r="G9" s="24">
        <v>24.8</v>
      </c>
      <c r="H9" s="24">
        <v>37.200000000000003</v>
      </c>
      <c r="I9" s="43">
        <v>2500</v>
      </c>
      <c r="J9" s="27">
        <v>1489</v>
      </c>
      <c r="K9" s="155">
        <v>1523</v>
      </c>
      <c r="L9" s="69">
        <v>1473.4</v>
      </c>
      <c r="M9" s="69">
        <v>1473.4</v>
      </c>
      <c r="N9" s="69">
        <v>1473.4</v>
      </c>
      <c r="O9" s="215">
        <f>MIN(C9:K9)</f>
        <v>24.8</v>
      </c>
      <c r="P9" s="216">
        <f>MAX(C9:K9)</f>
        <v>2500</v>
      </c>
      <c r="Q9" s="224" t="s">
        <v>143</v>
      </c>
    </row>
    <row r="10" spans="1:17" x14ac:dyDescent="0.35">
      <c r="A10" s="71" t="s">
        <v>27</v>
      </c>
      <c r="B10" s="622"/>
      <c r="C10" s="593"/>
      <c r="D10" s="209"/>
      <c r="E10" s="602"/>
      <c r="F10" s="602"/>
      <c r="G10" s="602"/>
      <c r="H10" s="602"/>
      <c r="I10" s="209"/>
      <c r="J10" s="209"/>
      <c r="K10" s="210"/>
      <c r="L10" s="20">
        <v>0</v>
      </c>
      <c r="M10" s="20">
        <v>0</v>
      </c>
      <c r="N10" s="20">
        <v>0</v>
      </c>
      <c r="O10" s="211"/>
      <c r="P10" s="212"/>
      <c r="Q10" s="224"/>
    </row>
    <row r="11" spans="1:17" x14ac:dyDescent="0.35">
      <c r="A11" s="84" t="s">
        <v>28</v>
      </c>
      <c r="B11" s="622"/>
      <c r="C11" s="593"/>
      <c r="D11" s="209"/>
      <c r="E11" s="602"/>
      <c r="F11" s="602"/>
      <c r="G11" s="602"/>
      <c r="H11" s="602"/>
      <c r="I11" s="209"/>
      <c r="J11" s="209"/>
      <c r="K11" s="210"/>
      <c r="L11" s="20">
        <v>0</v>
      </c>
      <c r="M11" s="20">
        <v>0</v>
      </c>
      <c r="N11" s="20">
        <v>0</v>
      </c>
      <c r="O11" s="211"/>
      <c r="P11" s="212"/>
      <c r="Q11" s="224"/>
    </row>
    <row r="12" spans="1:17" x14ac:dyDescent="0.35">
      <c r="A12" s="84" t="s">
        <v>70</v>
      </c>
      <c r="B12" s="622"/>
      <c r="C12" s="593"/>
      <c r="D12" s="209"/>
      <c r="E12" s="602"/>
      <c r="F12" s="602"/>
      <c r="G12" s="602"/>
      <c r="H12" s="602"/>
      <c r="I12" s="209"/>
      <c r="J12" s="209"/>
      <c r="K12" s="210"/>
      <c r="L12" s="20">
        <v>0</v>
      </c>
      <c r="M12" s="20">
        <v>0</v>
      </c>
      <c r="N12" s="20">
        <v>0</v>
      </c>
      <c r="O12" s="211"/>
      <c r="P12" s="212"/>
      <c r="Q12" s="224"/>
    </row>
    <row r="13" spans="1:17" x14ac:dyDescent="0.35">
      <c r="A13" s="95" t="s">
        <v>29</v>
      </c>
      <c r="B13" s="622"/>
      <c r="C13" s="593"/>
      <c r="D13" s="209"/>
      <c r="E13" s="602"/>
      <c r="F13" s="602"/>
      <c r="G13" s="602"/>
      <c r="H13" s="602"/>
      <c r="I13" s="209"/>
      <c r="J13" s="209"/>
      <c r="K13" s="210"/>
      <c r="L13" s="20">
        <v>0</v>
      </c>
      <c r="M13" s="20">
        <v>0</v>
      </c>
      <c r="N13" s="20">
        <v>0</v>
      </c>
      <c r="O13" s="211"/>
      <c r="P13" s="212"/>
      <c r="Q13" s="224"/>
    </row>
    <row r="14" spans="1:17" ht="18" customHeight="1" x14ac:dyDescent="0.35">
      <c r="A14" s="86" t="s">
        <v>30</v>
      </c>
      <c r="B14" s="82"/>
      <c r="C14" s="87"/>
      <c r="D14" s="27">
        <v>1</v>
      </c>
      <c r="E14" s="23"/>
      <c r="F14" s="24">
        <v>0.5</v>
      </c>
      <c r="G14" s="23">
        <v>0</v>
      </c>
      <c r="H14" s="23">
        <v>0</v>
      </c>
      <c r="I14" s="27">
        <v>0.48</v>
      </c>
      <c r="J14" s="26"/>
      <c r="K14" s="205"/>
      <c r="L14" s="24">
        <v>0.5</v>
      </c>
      <c r="M14" s="20">
        <v>0</v>
      </c>
      <c r="N14" s="20">
        <v>0</v>
      </c>
      <c r="O14" s="603">
        <v>0.5</v>
      </c>
      <c r="P14" s="216">
        <f>D14</f>
        <v>1</v>
      </c>
      <c r="Q14" s="224" t="s">
        <v>145</v>
      </c>
    </row>
    <row r="15" spans="1:17" ht="29" x14ac:dyDescent="0.35">
      <c r="A15" s="84" t="s">
        <v>31</v>
      </c>
      <c r="B15" s="82"/>
      <c r="C15" s="87"/>
      <c r="D15" s="27">
        <v>2</v>
      </c>
      <c r="E15" s="23"/>
      <c r="F15" s="24">
        <v>1.4</v>
      </c>
      <c r="G15" s="23"/>
      <c r="H15" s="23"/>
      <c r="I15" s="27">
        <v>1.6</v>
      </c>
      <c r="J15" s="26"/>
      <c r="K15" s="205"/>
      <c r="L15" s="24">
        <v>1.4</v>
      </c>
      <c r="M15" s="20">
        <v>0</v>
      </c>
      <c r="N15" s="20">
        <v>0</v>
      </c>
      <c r="O15" s="603">
        <v>1.4</v>
      </c>
      <c r="P15" s="216">
        <f>D15</f>
        <v>2</v>
      </c>
      <c r="Q15" s="224" t="s">
        <v>145</v>
      </c>
    </row>
    <row r="16" spans="1:17" ht="29" x14ac:dyDescent="0.35">
      <c r="A16" s="86" t="s">
        <v>32</v>
      </c>
      <c r="B16" s="82"/>
      <c r="C16" s="87"/>
      <c r="D16" s="26"/>
      <c r="E16" s="23"/>
      <c r="F16" s="23"/>
      <c r="G16" s="23"/>
      <c r="H16" s="23"/>
      <c r="I16" s="26"/>
      <c r="J16" s="43">
        <v>65888</v>
      </c>
      <c r="K16" s="164">
        <v>72244</v>
      </c>
      <c r="L16" s="624">
        <v>476186.76</v>
      </c>
      <c r="M16" s="624">
        <v>476186.76</v>
      </c>
      <c r="N16" s="624">
        <v>476186.76</v>
      </c>
      <c r="O16" s="211"/>
      <c r="P16" s="212"/>
      <c r="Q16" s="224" t="s">
        <v>144</v>
      </c>
    </row>
    <row r="17" spans="1:17" x14ac:dyDescent="0.35">
      <c r="A17" s="86" t="s">
        <v>34</v>
      </c>
      <c r="B17" s="82"/>
      <c r="C17" s="87"/>
      <c r="D17" s="27">
        <v>4</v>
      </c>
      <c r="E17" s="23"/>
      <c r="F17" s="23"/>
      <c r="G17" s="23"/>
      <c r="H17" s="23"/>
      <c r="I17" s="26"/>
      <c r="J17" s="27">
        <v>11</v>
      </c>
      <c r="K17" s="155">
        <v>20</v>
      </c>
      <c r="L17" s="96">
        <v>4</v>
      </c>
      <c r="M17" s="20">
        <v>4</v>
      </c>
      <c r="N17" s="20">
        <v>4</v>
      </c>
      <c r="O17" s="96">
        <f>N17</f>
        <v>4</v>
      </c>
      <c r="P17" s="216">
        <f>K17</f>
        <v>20</v>
      </c>
      <c r="Q17" s="224" t="s">
        <v>434</v>
      </c>
    </row>
    <row r="18" spans="1:17" x14ac:dyDescent="0.35">
      <c r="A18" s="84" t="s">
        <v>36</v>
      </c>
      <c r="B18" s="82"/>
      <c r="C18" s="87"/>
      <c r="D18" s="26"/>
      <c r="E18" s="23"/>
      <c r="F18" s="23"/>
      <c r="G18" s="23"/>
      <c r="H18" s="23"/>
      <c r="I18" s="26"/>
      <c r="J18" s="40">
        <v>6</v>
      </c>
      <c r="K18" s="206">
        <v>9</v>
      </c>
      <c r="L18" s="20">
        <v>0</v>
      </c>
      <c r="M18" s="20">
        <v>0</v>
      </c>
      <c r="N18" s="20">
        <v>0</v>
      </c>
      <c r="O18" s="67"/>
      <c r="P18" s="184"/>
      <c r="Q18" s="224"/>
    </row>
    <row r="19" spans="1:17" ht="24.5" customHeight="1" x14ac:dyDescent="0.35">
      <c r="A19" s="84" t="s">
        <v>37</v>
      </c>
      <c r="B19" s="69">
        <v>147.69</v>
      </c>
      <c r="C19" s="87"/>
      <c r="D19" s="26"/>
      <c r="E19" s="23"/>
      <c r="F19" s="23"/>
      <c r="G19" s="23"/>
      <c r="H19" s="23"/>
      <c r="I19" s="26"/>
      <c r="J19" s="27">
        <v>230</v>
      </c>
      <c r="K19" s="155">
        <v>264</v>
      </c>
      <c r="L19" s="69">
        <v>147.69</v>
      </c>
      <c r="M19" s="69">
        <v>147.69</v>
      </c>
      <c r="N19" s="69">
        <v>147.69</v>
      </c>
      <c r="O19" s="102">
        <v>147.69</v>
      </c>
      <c r="P19" s="216">
        <f>K19</f>
        <v>264</v>
      </c>
      <c r="Q19" s="224" t="s">
        <v>143</v>
      </c>
    </row>
    <row r="20" spans="1:17" x14ac:dyDescent="0.35">
      <c r="A20" s="84" t="s">
        <v>71</v>
      </c>
      <c r="B20" s="42">
        <v>70.8</v>
      </c>
      <c r="C20" s="593"/>
      <c r="D20" s="43">
        <v>71</v>
      </c>
      <c r="E20" s="602"/>
      <c r="F20" s="85">
        <v>2.5</v>
      </c>
      <c r="G20" s="85">
        <v>18.3</v>
      </c>
      <c r="H20" s="85">
        <v>50.7</v>
      </c>
      <c r="I20" s="43">
        <v>70.8</v>
      </c>
      <c r="J20" s="209"/>
      <c r="K20" s="210"/>
      <c r="L20" s="65">
        <v>70.8</v>
      </c>
      <c r="M20" s="65">
        <v>70.8</v>
      </c>
      <c r="N20" s="65">
        <v>70.8</v>
      </c>
      <c r="O20" s="98">
        <f>MIN(C20:K20)</f>
        <v>2.5</v>
      </c>
      <c r="P20" s="200">
        <f>MAX(C20:K20)</f>
        <v>71</v>
      </c>
      <c r="Q20" s="224" t="s">
        <v>435</v>
      </c>
    </row>
    <row r="21" spans="1:17" x14ac:dyDescent="0.35">
      <c r="A21" s="71" t="s">
        <v>38</v>
      </c>
      <c r="B21" s="622"/>
      <c r="C21" s="593"/>
      <c r="D21" s="209"/>
      <c r="E21" s="602"/>
      <c r="F21" s="602"/>
      <c r="G21" s="602"/>
      <c r="H21" s="602"/>
      <c r="I21" s="209"/>
      <c r="J21" s="209"/>
      <c r="K21" s="210"/>
      <c r="L21" s="20">
        <v>0</v>
      </c>
      <c r="M21" s="20">
        <v>0</v>
      </c>
      <c r="N21" s="20">
        <v>0</v>
      </c>
      <c r="O21" s="211"/>
      <c r="P21" s="212"/>
      <c r="Q21" s="224"/>
    </row>
    <row r="22" spans="1:17" ht="18" customHeight="1" x14ac:dyDescent="0.35">
      <c r="A22" s="84" t="s">
        <v>39</v>
      </c>
      <c r="B22" s="69">
        <v>1297.4000000000001</v>
      </c>
      <c r="C22" s="87"/>
      <c r="D22" s="43">
        <v>256</v>
      </c>
      <c r="E22" s="85">
        <v>300</v>
      </c>
      <c r="F22" s="85">
        <v>12.4</v>
      </c>
      <c r="G22" s="85">
        <v>33.700000000000003</v>
      </c>
      <c r="H22" s="85">
        <v>50.7</v>
      </c>
      <c r="I22" s="26"/>
      <c r="J22" s="27">
        <v>3355</v>
      </c>
      <c r="K22" s="155">
        <v>3217</v>
      </c>
      <c r="L22" s="69">
        <v>1297.4000000000001</v>
      </c>
      <c r="M22" s="69">
        <v>1297.4000000000001</v>
      </c>
      <c r="N22" s="69">
        <v>1297.4000000000001</v>
      </c>
      <c r="O22" s="98">
        <f>D22</f>
        <v>256</v>
      </c>
      <c r="P22" s="200">
        <f>J22</f>
        <v>3355</v>
      </c>
      <c r="Q22" s="224" t="s">
        <v>142</v>
      </c>
    </row>
    <row r="23" spans="1:17" x14ac:dyDescent="0.35">
      <c r="A23" s="84" t="s">
        <v>41</v>
      </c>
      <c r="B23" s="82"/>
      <c r="C23" s="87"/>
      <c r="D23" s="40">
        <v>2</v>
      </c>
      <c r="E23" s="23"/>
      <c r="F23" s="23">
        <v>0.3</v>
      </c>
      <c r="G23" s="23">
        <v>0</v>
      </c>
      <c r="H23" s="23">
        <v>0.01</v>
      </c>
      <c r="I23" s="26"/>
      <c r="J23" s="26"/>
      <c r="K23" s="162"/>
      <c r="L23" s="35">
        <v>2</v>
      </c>
      <c r="M23" s="35">
        <v>2</v>
      </c>
      <c r="N23" s="35">
        <v>2</v>
      </c>
      <c r="O23" s="99">
        <f>D23</f>
        <v>2</v>
      </c>
      <c r="P23" s="201">
        <f>MAX(C23:K23)</f>
        <v>2</v>
      </c>
      <c r="Q23" s="224" t="s">
        <v>150</v>
      </c>
    </row>
    <row r="24" spans="1:17" x14ac:dyDescent="0.35">
      <c r="A24" s="95" t="s">
        <v>42</v>
      </c>
      <c r="B24" s="622"/>
      <c r="C24" s="593"/>
      <c r="D24" s="209"/>
      <c r="E24" s="602"/>
      <c r="F24" s="602"/>
      <c r="G24" s="602"/>
      <c r="H24" s="602"/>
      <c r="I24" s="209"/>
      <c r="J24" s="209"/>
      <c r="K24" s="210"/>
      <c r="L24" s="20">
        <v>0</v>
      </c>
      <c r="M24" s="20">
        <v>0</v>
      </c>
      <c r="N24" s="20">
        <v>0</v>
      </c>
      <c r="O24" s="211"/>
      <c r="P24" s="212"/>
      <c r="Q24" s="224"/>
    </row>
    <row r="25" spans="1:17" x14ac:dyDescent="0.35">
      <c r="A25" s="71" t="s">
        <v>43</v>
      </c>
      <c r="B25" s="622"/>
      <c r="C25" s="593"/>
      <c r="D25" s="209"/>
      <c r="E25" s="602"/>
      <c r="F25" s="602"/>
      <c r="G25" s="602"/>
      <c r="H25" s="602"/>
      <c r="I25" s="209"/>
      <c r="J25" s="209"/>
      <c r="K25" s="210"/>
      <c r="L25" s="20">
        <v>0</v>
      </c>
      <c r="M25" s="20">
        <v>0</v>
      </c>
      <c r="N25" s="20">
        <v>0</v>
      </c>
      <c r="O25" s="211"/>
      <c r="P25" s="212"/>
      <c r="Q25" s="224"/>
    </row>
    <row r="26" spans="1:17" x14ac:dyDescent="0.35">
      <c r="A26" s="86" t="s">
        <v>44</v>
      </c>
      <c r="B26" s="622"/>
      <c r="C26" s="593"/>
      <c r="D26" s="209"/>
      <c r="E26" s="602"/>
      <c r="F26" s="602"/>
      <c r="G26" s="602"/>
      <c r="H26" s="602"/>
      <c r="I26" s="209"/>
      <c r="J26" s="209"/>
      <c r="K26" s="210"/>
      <c r="L26" s="20">
        <v>0</v>
      </c>
      <c r="M26" s="20">
        <v>0</v>
      </c>
      <c r="N26" s="20">
        <v>0</v>
      </c>
      <c r="O26" s="211"/>
      <c r="P26" s="212"/>
      <c r="Q26" s="224"/>
    </row>
    <row r="27" spans="1:17" x14ac:dyDescent="0.35">
      <c r="A27" s="86" t="s">
        <v>45</v>
      </c>
      <c r="B27" s="622"/>
      <c r="C27" s="593"/>
      <c r="D27" s="209"/>
      <c r="E27" s="602"/>
      <c r="F27" s="602"/>
      <c r="G27" s="602"/>
      <c r="H27" s="602"/>
      <c r="I27" s="209"/>
      <c r="J27" s="209"/>
      <c r="K27" s="210"/>
      <c r="L27" s="20">
        <v>0</v>
      </c>
      <c r="M27" s="20">
        <v>0</v>
      </c>
      <c r="N27" s="20">
        <v>0</v>
      </c>
      <c r="O27" s="211"/>
      <c r="P27" s="212"/>
      <c r="Q27" s="224"/>
    </row>
    <row r="28" spans="1:17" ht="29" x14ac:dyDescent="0.35">
      <c r="A28" s="221" t="s">
        <v>46</v>
      </c>
      <c r="B28" s="82"/>
      <c r="C28" s="87"/>
      <c r="D28" s="27">
        <v>8</v>
      </c>
      <c r="E28" s="23"/>
      <c r="F28" s="24">
        <v>7.5</v>
      </c>
      <c r="G28" s="23">
        <v>0</v>
      </c>
      <c r="H28" s="23">
        <v>0</v>
      </c>
      <c r="I28" s="27">
        <v>8.3000000000000007</v>
      </c>
      <c r="J28" s="26"/>
      <c r="K28" s="155">
        <v>0.06</v>
      </c>
      <c r="L28" s="28">
        <v>7.5</v>
      </c>
      <c r="M28" s="20">
        <v>0</v>
      </c>
      <c r="N28" s="20">
        <v>0</v>
      </c>
      <c r="O28" s="99">
        <f>MIN(C28:K28)</f>
        <v>0</v>
      </c>
      <c r="P28" s="201">
        <f>MAX(C28:K28)</f>
        <v>8.3000000000000007</v>
      </c>
      <c r="Q28" s="224" t="s">
        <v>436</v>
      </c>
    </row>
    <row r="29" spans="1:17" x14ac:dyDescent="0.35">
      <c r="A29" s="86" t="s">
        <v>48</v>
      </c>
      <c r="B29" s="82"/>
      <c r="C29" s="594">
        <f>1000*(62.8*0.8/100)</f>
        <v>502.40000000000009</v>
      </c>
      <c r="D29" s="43">
        <v>486600</v>
      </c>
      <c r="E29" s="85"/>
      <c r="F29" s="85"/>
      <c r="G29" s="85"/>
      <c r="H29" s="85"/>
      <c r="I29" s="26"/>
      <c r="J29" s="26"/>
      <c r="K29" s="205"/>
      <c r="O29" s="99">
        <f>MIN(C29:K29)</f>
        <v>502.40000000000009</v>
      </c>
      <c r="P29" s="201">
        <f>MAX(C29:K29)</f>
        <v>486600</v>
      </c>
      <c r="Q29" s="224" t="s">
        <v>167</v>
      </c>
    </row>
    <row r="30" spans="1:17" x14ac:dyDescent="0.35">
      <c r="A30" s="84" t="s">
        <v>50</v>
      </c>
      <c r="B30" s="622"/>
      <c r="C30" s="593"/>
      <c r="D30" s="209"/>
      <c r="E30" s="602"/>
      <c r="F30" s="602"/>
      <c r="G30" s="602"/>
      <c r="H30" s="602"/>
      <c r="I30" s="209"/>
      <c r="J30" s="209"/>
      <c r="K30" s="210"/>
      <c r="L30" s="20">
        <v>0</v>
      </c>
      <c r="M30" s="20">
        <v>0</v>
      </c>
      <c r="N30" s="20">
        <v>0</v>
      </c>
      <c r="O30" s="213"/>
      <c r="P30" s="214"/>
      <c r="Q30" s="225"/>
    </row>
    <row r="31" spans="1:17" x14ac:dyDescent="0.35">
      <c r="A31" s="84" t="s">
        <v>51</v>
      </c>
      <c r="B31" s="622"/>
      <c r="C31" s="593"/>
      <c r="D31" s="209"/>
      <c r="E31" s="602"/>
      <c r="F31" s="602"/>
      <c r="G31" s="602"/>
      <c r="H31" s="602"/>
      <c r="I31" s="209"/>
      <c r="J31" s="209"/>
      <c r="K31" s="210"/>
      <c r="L31" s="20">
        <v>0</v>
      </c>
      <c r="M31" s="20">
        <v>0</v>
      </c>
      <c r="N31" s="20">
        <v>0</v>
      </c>
      <c r="O31" s="213"/>
      <c r="P31" s="214"/>
      <c r="Q31" s="225"/>
    </row>
    <row r="32" spans="1:17" x14ac:dyDescent="0.35">
      <c r="A32" s="71" t="s">
        <v>53</v>
      </c>
      <c r="B32" s="622"/>
      <c r="C32" s="593"/>
      <c r="D32" s="209"/>
      <c r="E32" s="602"/>
      <c r="F32" s="602"/>
      <c r="G32" s="602"/>
      <c r="H32" s="602"/>
      <c r="I32" s="209"/>
      <c r="J32" s="209"/>
      <c r="K32" s="210"/>
      <c r="L32" s="20">
        <v>0</v>
      </c>
      <c r="M32" s="20">
        <v>0</v>
      </c>
      <c r="N32" s="20">
        <v>0</v>
      </c>
      <c r="O32" s="213"/>
      <c r="P32" s="214"/>
      <c r="Q32" s="225"/>
    </row>
    <row r="33" spans="1:17" ht="14.5" customHeight="1" x14ac:dyDescent="0.35">
      <c r="A33" s="84" t="s">
        <v>54</v>
      </c>
      <c r="B33" s="82"/>
      <c r="C33" s="87"/>
      <c r="D33" s="40">
        <v>5</v>
      </c>
      <c r="E33" s="23"/>
      <c r="F33" s="23"/>
      <c r="G33" s="23"/>
      <c r="H33" s="23"/>
      <c r="I33" s="26"/>
      <c r="J33" s="26"/>
      <c r="K33" s="155">
        <v>0.3</v>
      </c>
      <c r="L33" s="28">
        <v>5</v>
      </c>
      <c r="M33" s="28">
        <v>5</v>
      </c>
      <c r="N33" s="28">
        <v>5</v>
      </c>
      <c r="O33" s="99">
        <f>MIN(C33:K33)</f>
        <v>0.3</v>
      </c>
      <c r="P33" s="201">
        <f>MAX(C33:K33)</f>
        <v>5</v>
      </c>
      <c r="Q33" s="224" t="s">
        <v>167</v>
      </c>
    </row>
    <row r="34" spans="1:17" x14ac:dyDescent="0.35">
      <c r="A34" s="84" t="s">
        <v>55</v>
      </c>
      <c r="B34" s="82"/>
      <c r="C34" s="87"/>
      <c r="D34" s="40">
        <v>5</v>
      </c>
      <c r="E34" s="23"/>
      <c r="F34" s="23"/>
      <c r="G34" s="23"/>
      <c r="H34" s="23"/>
      <c r="I34" s="26"/>
      <c r="J34" s="26"/>
      <c r="K34" s="205"/>
      <c r="L34" s="28">
        <v>5</v>
      </c>
      <c r="M34" s="28">
        <v>5</v>
      </c>
      <c r="N34" s="28">
        <v>5</v>
      </c>
      <c r="O34" s="99">
        <f>MIN(C34:K34)</f>
        <v>5</v>
      </c>
      <c r="P34" s="201">
        <f>MAX(C34:K34)</f>
        <v>5</v>
      </c>
      <c r="Q34" s="224" t="s">
        <v>150</v>
      </c>
    </row>
    <row r="35" spans="1:17" x14ac:dyDescent="0.35">
      <c r="A35" s="84" t="s">
        <v>72</v>
      </c>
      <c r="B35" s="82"/>
      <c r="C35" s="87"/>
      <c r="D35" s="40">
        <v>1</v>
      </c>
      <c r="E35" s="23"/>
      <c r="F35" s="23">
        <v>3</v>
      </c>
      <c r="G35" s="23">
        <v>1.2</v>
      </c>
      <c r="H35" s="23">
        <v>1.7</v>
      </c>
      <c r="I35" s="26"/>
      <c r="J35" s="26"/>
      <c r="K35" s="205"/>
      <c r="L35" s="28">
        <v>3</v>
      </c>
      <c r="M35" s="28">
        <v>1.2</v>
      </c>
      <c r="N35" s="28">
        <v>1.7</v>
      </c>
      <c r="O35" s="99">
        <f>MIN(C35:K35)</f>
        <v>1</v>
      </c>
      <c r="P35" s="201">
        <f>MAX(C35:K35)</f>
        <v>3</v>
      </c>
      <c r="Q35" s="224" t="s">
        <v>167</v>
      </c>
    </row>
    <row r="36" spans="1:17" x14ac:dyDescent="0.35">
      <c r="A36" s="86" t="s">
        <v>56</v>
      </c>
      <c r="B36" s="82"/>
      <c r="C36" s="87"/>
      <c r="D36" s="40">
        <v>1</v>
      </c>
      <c r="E36" s="23"/>
      <c r="F36" s="23"/>
      <c r="G36" s="23"/>
      <c r="H36" s="23"/>
      <c r="I36" s="26"/>
      <c r="J36" s="26"/>
      <c r="K36" s="205"/>
      <c r="L36" s="35">
        <v>1</v>
      </c>
      <c r="M36" s="35">
        <v>1</v>
      </c>
      <c r="N36" s="35">
        <v>1</v>
      </c>
      <c r="O36" s="99">
        <f>MIN(C36:K36)</f>
        <v>1</v>
      </c>
      <c r="P36" s="201">
        <f>MAX(C36:K36)</f>
        <v>1</v>
      </c>
      <c r="Q36" s="224" t="s">
        <v>150</v>
      </c>
    </row>
    <row r="37" spans="1:17" x14ac:dyDescent="0.35">
      <c r="A37" s="84" t="s">
        <v>57</v>
      </c>
      <c r="B37" s="82"/>
      <c r="C37" s="87"/>
      <c r="D37" s="26"/>
      <c r="E37" s="23"/>
      <c r="F37" s="23"/>
      <c r="G37" s="23"/>
      <c r="H37" s="23"/>
      <c r="I37" s="26"/>
      <c r="J37" s="40">
        <v>48</v>
      </c>
      <c r="K37" s="206">
        <v>87</v>
      </c>
      <c r="L37" s="40">
        <v>48</v>
      </c>
      <c r="M37" s="40">
        <v>48</v>
      </c>
      <c r="N37" s="40">
        <v>48</v>
      </c>
      <c r="O37" s="99">
        <f>J37</f>
        <v>48</v>
      </c>
      <c r="P37" s="201">
        <f>K37</f>
        <v>87</v>
      </c>
      <c r="Q37" s="224" t="s">
        <v>437</v>
      </c>
    </row>
    <row r="38" spans="1:17" ht="29.5" thickBot="1" x14ac:dyDescent="0.4">
      <c r="A38" s="222" t="s">
        <v>59</v>
      </c>
      <c r="B38" s="623"/>
      <c r="C38" s="219"/>
      <c r="D38" s="614">
        <v>31</v>
      </c>
      <c r="E38" s="219"/>
      <c r="F38" s="219"/>
      <c r="G38" s="219"/>
      <c r="H38" s="219"/>
      <c r="I38" s="219"/>
      <c r="J38" s="219"/>
      <c r="K38" s="228">
        <v>14</v>
      </c>
      <c r="L38" s="28">
        <v>31</v>
      </c>
      <c r="M38" s="28">
        <v>31</v>
      </c>
      <c r="N38" s="28">
        <v>31</v>
      </c>
      <c r="O38" s="231">
        <f>MIN(C38:K38)</f>
        <v>14</v>
      </c>
      <c r="P38" s="232">
        <f>MAX(C38:K38)</f>
        <v>31</v>
      </c>
      <c r="Q38" s="226" t="s">
        <v>168</v>
      </c>
    </row>
    <row r="39" spans="1:17" s="1" customFormat="1" x14ac:dyDescent="0.35">
      <c r="L39"/>
      <c r="M39"/>
      <c r="N39"/>
      <c r="Q39" s="101"/>
    </row>
    <row r="40" spans="1:17" s="1" customFormat="1" x14ac:dyDescent="0.35"/>
    <row r="41" spans="1:17" s="1" customFormat="1" x14ac:dyDescent="0.35"/>
    <row r="42" spans="1:17" s="1" customFormat="1" x14ac:dyDescent="0.35"/>
    <row r="43" spans="1:17" s="1" customFormat="1" x14ac:dyDescent="0.35"/>
    <row r="44" spans="1:17" s="1" customFormat="1" x14ac:dyDescent="0.35"/>
    <row r="45" spans="1:17" s="1" customFormat="1" x14ac:dyDescent="0.35"/>
    <row r="46" spans="1:17" s="1" customFormat="1" x14ac:dyDescent="0.35"/>
    <row r="47" spans="1:17" s="1" customFormat="1" x14ac:dyDescent="0.35"/>
    <row r="48" spans="1:17"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row r="254" s="1" customFormat="1" x14ac:dyDescent="0.35"/>
    <row r="255" s="1" customFormat="1" x14ac:dyDescent="0.35"/>
    <row r="256" s="1" customFormat="1" x14ac:dyDescent="0.35"/>
    <row r="257" s="1" customFormat="1" x14ac:dyDescent="0.35"/>
    <row r="258" s="1" customFormat="1" x14ac:dyDescent="0.35"/>
    <row r="259" s="1" customFormat="1" x14ac:dyDescent="0.35"/>
    <row r="260" s="1" customFormat="1" x14ac:dyDescent="0.35"/>
    <row r="261" s="1" customFormat="1" x14ac:dyDescent="0.35"/>
    <row r="262" s="1" customFormat="1" x14ac:dyDescent="0.35"/>
    <row r="263" s="1" customFormat="1" x14ac:dyDescent="0.35"/>
    <row r="264" s="1" customFormat="1" x14ac:dyDescent="0.35"/>
    <row r="265" s="1" customFormat="1" x14ac:dyDescent="0.35"/>
    <row r="266" s="1" customFormat="1" x14ac:dyDescent="0.35"/>
    <row r="267" s="1" customFormat="1" x14ac:dyDescent="0.35"/>
    <row r="268" s="1" customFormat="1" x14ac:dyDescent="0.35"/>
    <row r="269" s="1" customFormat="1" x14ac:dyDescent="0.35"/>
    <row r="270" s="1" customFormat="1" x14ac:dyDescent="0.35"/>
    <row r="271" s="1" customFormat="1" x14ac:dyDescent="0.35"/>
    <row r="272" s="1" customFormat="1" x14ac:dyDescent="0.35"/>
    <row r="273" s="1" customFormat="1" x14ac:dyDescent="0.35"/>
    <row r="274" s="1" customFormat="1" x14ac:dyDescent="0.35"/>
    <row r="275" s="1" customFormat="1" x14ac:dyDescent="0.35"/>
    <row r="276" s="1" customFormat="1" x14ac:dyDescent="0.35"/>
    <row r="277" s="1" customFormat="1" x14ac:dyDescent="0.35"/>
    <row r="278" s="1" customFormat="1" x14ac:dyDescent="0.35"/>
    <row r="279" s="1" customFormat="1" x14ac:dyDescent="0.35"/>
    <row r="280" s="1" customFormat="1" x14ac:dyDescent="0.35"/>
    <row r="281" s="1" customFormat="1" x14ac:dyDescent="0.35"/>
    <row r="282" s="1" customFormat="1" x14ac:dyDescent="0.35"/>
    <row r="283" s="1" customFormat="1" x14ac:dyDescent="0.35"/>
    <row r="284" s="1" customFormat="1" x14ac:dyDescent="0.35"/>
    <row r="285" s="1" customFormat="1" x14ac:dyDescent="0.35"/>
    <row r="286" s="1" customFormat="1" x14ac:dyDescent="0.35"/>
    <row r="287" s="1" customFormat="1" x14ac:dyDescent="0.35"/>
    <row r="288" s="1" customFormat="1" x14ac:dyDescent="0.35"/>
    <row r="289" s="1" customFormat="1" x14ac:dyDescent="0.35"/>
    <row r="290" s="1" customFormat="1" x14ac:dyDescent="0.35"/>
    <row r="291" s="1" customFormat="1" x14ac:dyDescent="0.35"/>
    <row r="292" s="1" customFormat="1" x14ac:dyDescent="0.35"/>
    <row r="293" s="1" customFormat="1" x14ac:dyDescent="0.35"/>
    <row r="294" s="1" customFormat="1" x14ac:dyDescent="0.35"/>
    <row r="295" s="1" customFormat="1" x14ac:dyDescent="0.35"/>
    <row r="296" s="1" customFormat="1" x14ac:dyDescent="0.35"/>
    <row r="297" s="1" customFormat="1" x14ac:dyDescent="0.35"/>
    <row r="298" s="1" customFormat="1" x14ac:dyDescent="0.35"/>
    <row r="299" s="1" customFormat="1" x14ac:dyDescent="0.35"/>
    <row r="300" s="1" customFormat="1" x14ac:dyDescent="0.35"/>
    <row r="301" s="1" customFormat="1" x14ac:dyDescent="0.35"/>
    <row r="302" s="1" customFormat="1" x14ac:dyDescent="0.35"/>
    <row r="303" s="1" customFormat="1" x14ac:dyDescent="0.35"/>
    <row r="304" s="1" customFormat="1" x14ac:dyDescent="0.35"/>
    <row r="305" s="1" customFormat="1" x14ac:dyDescent="0.35"/>
    <row r="306" s="1" customFormat="1" x14ac:dyDescent="0.35"/>
    <row r="307" s="1" customFormat="1" x14ac:dyDescent="0.35"/>
    <row r="308" s="1" customFormat="1" x14ac:dyDescent="0.35"/>
    <row r="309" s="1" customFormat="1" x14ac:dyDescent="0.35"/>
    <row r="310" s="1" customFormat="1" x14ac:dyDescent="0.35"/>
    <row r="311" s="1" customFormat="1" x14ac:dyDescent="0.35"/>
    <row r="312" s="1" customFormat="1" x14ac:dyDescent="0.35"/>
    <row r="313" s="1" customFormat="1" x14ac:dyDescent="0.35"/>
    <row r="314" s="1" customFormat="1" x14ac:dyDescent="0.35"/>
    <row r="315" s="1" customFormat="1" x14ac:dyDescent="0.35"/>
    <row r="316" s="1" customFormat="1" x14ac:dyDescent="0.35"/>
    <row r="317" s="1" customFormat="1" x14ac:dyDescent="0.35"/>
    <row r="318" s="1" customFormat="1" x14ac:dyDescent="0.35"/>
    <row r="319" s="1" customFormat="1" x14ac:dyDescent="0.35"/>
    <row r="320" s="1" customFormat="1" x14ac:dyDescent="0.35"/>
    <row r="321" s="1" customFormat="1" x14ac:dyDescent="0.35"/>
    <row r="322" s="1" customFormat="1" x14ac:dyDescent="0.35"/>
    <row r="323" s="1" customFormat="1" x14ac:dyDescent="0.35"/>
    <row r="324" s="1" customFormat="1" x14ac:dyDescent="0.35"/>
    <row r="325" s="1" customFormat="1" x14ac:dyDescent="0.35"/>
    <row r="326" s="1" customFormat="1" x14ac:dyDescent="0.35"/>
    <row r="327" s="1" customFormat="1" x14ac:dyDescent="0.35"/>
    <row r="328" s="1" customFormat="1" x14ac:dyDescent="0.35"/>
    <row r="329" s="1" customFormat="1" x14ac:dyDescent="0.35"/>
    <row r="330" s="1" customFormat="1" x14ac:dyDescent="0.35"/>
    <row r="331" s="1" customFormat="1" x14ac:dyDescent="0.35"/>
    <row r="332" s="1" customFormat="1" x14ac:dyDescent="0.35"/>
    <row r="333" s="1" customFormat="1" x14ac:dyDescent="0.35"/>
    <row r="334" s="1" customFormat="1" x14ac:dyDescent="0.35"/>
    <row r="335" s="1" customFormat="1" x14ac:dyDescent="0.35"/>
    <row r="336" s="1" customFormat="1" x14ac:dyDescent="0.35"/>
    <row r="337" s="1" customFormat="1" x14ac:dyDescent="0.35"/>
    <row r="338" s="1" customFormat="1" x14ac:dyDescent="0.35"/>
    <row r="339" s="1" customFormat="1" x14ac:dyDescent="0.35"/>
    <row r="340" s="1" customFormat="1" x14ac:dyDescent="0.35"/>
    <row r="341" s="1" customFormat="1" x14ac:dyDescent="0.35"/>
    <row r="342" s="1" customFormat="1" x14ac:dyDescent="0.35"/>
    <row r="343" s="1" customFormat="1" x14ac:dyDescent="0.35"/>
    <row r="344" s="1" customFormat="1" x14ac:dyDescent="0.35"/>
    <row r="345" s="1" customFormat="1" x14ac:dyDescent="0.35"/>
    <row r="346" s="1" customFormat="1" x14ac:dyDescent="0.35"/>
    <row r="347" s="1" customFormat="1" x14ac:dyDescent="0.35"/>
    <row r="348" s="1" customFormat="1" x14ac:dyDescent="0.35"/>
    <row r="349" s="1" customFormat="1" x14ac:dyDescent="0.35"/>
    <row r="350" s="1" customFormat="1" x14ac:dyDescent="0.35"/>
    <row r="351" s="1" customFormat="1" x14ac:dyDescent="0.35"/>
    <row r="352" s="1" customFormat="1" x14ac:dyDescent="0.35"/>
    <row r="353" s="1" customFormat="1" x14ac:dyDescent="0.35"/>
    <row r="354" s="1" customFormat="1" x14ac:dyDescent="0.35"/>
    <row r="355" s="1" customFormat="1" x14ac:dyDescent="0.35"/>
    <row r="356" s="1" customFormat="1" x14ac:dyDescent="0.35"/>
    <row r="357" s="1" customFormat="1" x14ac:dyDescent="0.35"/>
    <row r="358" s="1" customFormat="1" x14ac:dyDescent="0.35"/>
    <row r="359" s="1" customFormat="1" x14ac:dyDescent="0.35"/>
    <row r="360" s="1" customFormat="1" x14ac:dyDescent="0.35"/>
    <row r="361" s="1" customFormat="1" x14ac:dyDescent="0.35"/>
    <row r="362" s="1" customFormat="1" x14ac:dyDescent="0.35"/>
    <row r="363" s="1" customFormat="1" x14ac:dyDescent="0.35"/>
    <row r="364" s="1" customFormat="1" x14ac:dyDescent="0.35"/>
    <row r="365" s="1" customFormat="1" x14ac:dyDescent="0.35"/>
    <row r="366" s="1" customFormat="1" x14ac:dyDescent="0.35"/>
    <row r="367" s="1" customFormat="1" x14ac:dyDescent="0.35"/>
    <row r="368" s="1" customFormat="1" x14ac:dyDescent="0.35"/>
    <row r="369" s="1" customFormat="1" x14ac:dyDescent="0.35"/>
    <row r="370" s="1" customFormat="1" x14ac:dyDescent="0.35"/>
    <row r="371" s="1" customFormat="1" x14ac:dyDescent="0.35"/>
    <row r="372" s="1" customFormat="1" x14ac:dyDescent="0.35"/>
    <row r="373" s="1" customFormat="1" x14ac:dyDescent="0.35"/>
    <row r="374" s="1" customFormat="1" x14ac:dyDescent="0.35"/>
    <row r="375" s="1" customFormat="1" x14ac:dyDescent="0.35"/>
    <row r="376" s="1" customFormat="1" x14ac:dyDescent="0.35"/>
    <row r="377" s="1" customFormat="1" x14ac:dyDescent="0.35"/>
    <row r="378" s="1" customFormat="1" x14ac:dyDescent="0.35"/>
    <row r="379" s="1" customFormat="1" x14ac:dyDescent="0.35"/>
    <row r="380" s="1" customFormat="1" x14ac:dyDescent="0.35"/>
    <row r="381" s="1" customFormat="1" x14ac:dyDescent="0.35"/>
    <row r="382" s="1" customFormat="1" x14ac:dyDescent="0.35"/>
    <row r="383" s="1" customFormat="1" x14ac:dyDescent="0.35"/>
    <row r="384" s="1" customFormat="1" x14ac:dyDescent="0.35"/>
    <row r="385" s="1" customFormat="1" x14ac:dyDescent="0.35"/>
  </sheetData>
  <mergeCells count="11">
    <mergeCell ref="B1:B2"/>
    <mergeCell ref="I1:I2"/>
    <mergeCell ref="E1:E2"/>
    <mergeCell ref="D1:D2"/>
    <mergeCell ref="C1:C2"/>
    <mergeCell ref="F1:H1"/>
    <mergeCell ref="Q1:Q2"/>
    <mergeCell ref="P1:P2"/>
    <mergeCell ref="O1:O2"/>
    <mergeCell ref="J1:K1"/>
    <mergeCell ref="L1:N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0AFF-5006-4CC9-96D5-8ACCFDE11795}">
  <sheetPr>
    <tabColor theme="7" tint="0.59999389629810485"/>
  </sheetPr>
  <dimension ref="A1:GG200"/>
  <sheetViews>
    <sheetView topLeftCell="A18" zoomScale="70" zoomScaleNormal="70" workbookViewId="0">
      <selection sqref="A1:H38"/>
    </sheetView>
  </sheetViews>
  <sheetFormatPr baseColWidth="10" defaultRowHeight="14.5" x14ac:dyDescent="0.35"/>
  <cols>
    <col min="1" max="1" width="12" bestFit="1" customWidth="1"/>
    <col min="2" max="2" width="21.1796875" customWidth="1"/>
    <col min="3" max="3" width="21.26953125" customWidth="1"/>
    <col min="8" max="8" width="19.36328125" customWidth="1"/>
    <col min="9" max="189" width="10.90625" style="1"/>
  </cols>
  <sheetData>
    <row r="1" spans="1:8" ht="29" customHeight="1" thickBot="1" x14ac:dyDescent="0.4">
      <c r="A1" s="124" t="s">
        <v>187</v>
      </c>
      <c r="B1" s="713" t="s">
        <v>245</v>
      </c>
      <c r="C1" s="717" t="s">
        <v>246</v>
      </c>
      <c r="D1" s="715" t="s">
        <v>190</v>
      </c>
      <c r="E1" s="707" t="s">
        <v>132</v>
      </c>
      <c r="F1" s="709" t="s">
        <v>133</v>
      </c>
      <c r="G1" s="711" t="s">
        <v>134</v>
      </c>
      <c r="H1" s="307" t="s">
        <v>153</v>
      </c>
    </row>
    <row r="2" spans="1:8" ht="26.5" customHeight="1" thickBot="1" x14ac:dyDescent="0.4">
      <c r="A2" s="198" t="s">
        <v>139</v>
      </c>
      <c r="B2" s="714"/>
      <c r="C2" s="718"/>
      <c r="D2" s="716"/>
      <c r="E2" s="708"/>
      <c r="F2" s="710"/>
      <c r="G2" s="712"/>
      <c r="H2" s="312" t="s">
        <v>157</v>
      </c>
    </row>
    <row r="3" spans="1:8" ht="58" x14ac:dyDescent="0.35">
      <c r="A3" s="251" t="s">
        <v>21</v>
      </c>
      <c r="B3" s="395">
        <v>3400</v>
      </c>
      <c r="C3" s="396"/>
      <c r="D3" s="397">
        <v>1635</v>
      </c>
      <c r="E3" s="348">
        <v>3400</v>
      </c>
      <c r="F3" s="349">
        <v>1635</v>
      </c>
      <c r="G3" s="350">
        <v>3400</v>
      </c>
      <c r="H3" s="308" t="s">
        <v>247</v>
      </c>
    </row>
    <row r="4" spans="1:8" ht="21.5" customHeight="1" x14ac:dyDescent="0.35">
      <c r="A4" s="75" t="s">
        <v>22</v>
      </c>
      <c r="B4" s="246"/>
      <c r="C4" s="246"/>
      <c r="D4" s="258"/>
      <c r="E4" s="259"/>
      <c r="F4" s="246"/>
      <c r="G4" s="100"/>
      <c r="H4" s="313"/>
    </row>
    <row r="5" spans="1:8" x14ac:dyDescent="0.35">
      <c r="A5" s="75" t="s">
        <v>66</v>
      </c>
      <c r="B5" s="246"/>
      <c r="C5" s="246"/>
      <c r="D5" s="258"/>
      <c r="E5" s="259"/>
      <c r="F5" s="246"/>
      <c r="G5" s="100"/>
      <c r="H5" s="313"/>
    </row>
    <row r="6" spans="1:8" ht="58" x14ac:dyDescent="0.35">
      <c r="A6" s="251" t="s">
        <v>67</v>
      </c>
      <c r="B6" s="347">
        <v>1500</v>
      </c>
      <c r="C6" s="248"/>
      <c r="D6" s="346">
        <v>12395</v>
      </c>
      <c r="E6" s="344">
        <v>1500</v>
      </c>
      <c r="F6" s="344">
        <v>1500</v>
      </c>
      <c r="G6" s="345">
        <f>D6</f>
        <v>12395</v>
      </c>
      <c r="H6" s="308" t="s">
        <v>248</v>
      </c>
    </row>
    <row r="7" spans="1:8" x14ac:dyDescent="0.35">
      <c r="A7" s="233" t="s">
        <v>68</v>
      </c>
      <c r="B7" s="246"/>
      <c r="C7" s="246"/>
      <c r="D7" s="258"/>
      <c r="E7" s="259"/>
      <c r="F7" s="246"/>
      <c r="G7" s="100"/>
      <c r="H7" s="313"/>
    </row>
    <row r="8" spans="1:8" x14ac:dyDescent="0.35">
      <c r="A8" s="64" t="s">
        <v>24</v>
      </c>
      <c r="B8" s="246"/>
      <c r="C8" s="246"/>
      <c r="D8" s="258"/>
      <c r="E8" s="259"/>
      <c r="F8" s="246"/>
      <c r="G8" s="100"/>
      <c r="H8" s="313"/>
    </row>
    <row r="9" spans="1:8" ht="26.5" customHeight="1" x14ac:dyDescent="0.35">
      <c r="A9" s="251" t="s">
        <v>69</v>
      </c>
      <c r="B9" s="338">
        <v>1050</v>
      </c>
      <c r="C9" s="249">
        <v>3160</v>
      </c>
      <c r="D9" s="341">
        <v>6735</v>
      </c>
      <c r="E9" s="257">
        <v>3160</v>
      </c>
      <c r="F9" s="339">
        <f>MIN(B9:C9)</f>
        <v>1050</v>
      </c>
      <c r="G9" s="340">
        <f>D9</f>
        <v>6735</v>
      </c>
      <c r="H9" s="224" t="s">
        <v>249</v>
      </c>
    </row>
    <row r="10" spans="1:8" x14ac:dyDescent="0.35">
      <c r="A10" s="253" t="s">
        <v>27</v>
      </c>
      <c r="B10" s="246"/>
      <c r="C10" s="246"/>
      <c r="D10" s="258"/>
      <c r="E10" s="259"/>
      <c r="F10" s="246"/>
      <c r="G10" s="100"/>
      <c r="H10" s="313"/>
    </row>
    <row r="11" spans="1:8" x14ac:dyDescent="0.35">
      <c r="A11" s="233" t="s">
        <v>28</v>
      </c>
      <c r="B11" s="246"/>
      <c r="C11" s="246"/>
      <c r="D11" s="258"/>
      <c r="E11" s="259"/>
      <c r="F11" s="246"/>
      <c r="G11" s="100"/>
      <c r="H11" s="313"/>
    </row>
    <row r="12" spans="1:8" x14ac:dyDescent="0.35">
      <c r="A12" s="233" t="s">
        <v>70</v>
      </c>
      <c r="B12" s="246"/>
      <c r="C12" s="246"/>
      <c r="D12" s="258"/>
      <c r="E12" s="259"/>
      <c r="F12" s="246"/>
      <c r="G12" s="100"/>
      <c r="H12" s="313"/>
    </row>
    <row r="13" spans="1:8" x14ac:dyDescent="0.35">
      <c r="A13" s="64" t="s">
        <v>29</v>
      </c>
      <c r="B13" s="246"/>
      <c r="C13" s="246"/>
      <c r="D13" s="258"/>
      <c r="E13" s="259"/>
      <c r="F13" s="246"/>
      <c r="G13" s="100"/>
      <c r="H13" s="313"/>
    </row>
    <row r="14" spans="1:8" x14ac:dyDescent="0.35">
      <c r="A14" s="75" t="s">
        <v>30</v>
      </c>
      <c r="B14" s="246"/>
      <c r="C14" s="246"/>
      <c r="D14" s="258"/>
      <c r="E14" s="259"/>
      <c r="F14" s="246"/>
      <c r="G14" s="100"/>
      <c r="H14" s="313"/>
    </row>
    <row r="15" spans="1:8" x14ac:dyDescent="0.35">
      <c r="A15" s="233" t="s">
        <v>31</v>
      </c>
      <c r="B15" s="246"/>
      <c r="C15" s="246"/>
      <c r="D15" s="258"/>
      <c r="E15" s="266"/>
      <c r="F15" s="267"/>
      <c r="G15" s="309"/>
      <c r="H15" s="313"/>
    </row>
    <row r="16" spans="1:8" ht="58" x14ac:dyDescent="0.35">
      <c r="A16" s="254" t="s">
        <v>32</v>
      </c>
      <c r="B16" s="343">
        <v>175000</v>
      </c>
      <c r="C16" s="332"/>
      <c r="D16" s="342">
        <v>338665</v>
      </c>
      <c r="E16" s="351">
        <v>175000</v>
      </c>
      <c r="F16" s="351">
        <v>175000</v>
      </c>
      <c r="G16" s="351">
        <f>D16</f>
        <v>338665</v>
      </c>
      <c r="H16" s="308" t="s">
        <v>247</v>
      </c>
    </row>
    <row r="17" spans="1:8" ht="58" x14ac:dyDescent="0.35">
      <c r="A17" s="359" t="s">
        <v>34</v>
      </c>
      <c r="B17" s="352">
        <v>300</v>
      </c>
      <c r="C17" s="332"/>
      <c r="D17" s="353">
        <v>59</v>
      </c>
      <c r="E17" s="354">
        <v>300</v>
      </c>
      <c r="F17" s="355">
        <v>59</v>
      </c>
      <c r="G17" s="356">
        <v>300</v>
      </c>
      <c r="H17" s="308" t="s">
        <v>248</v>
      </c>
    </row>
    <row r="18" spans="1:8" ht="58" x14ac:dyDescent="0.35">
      <c r="A18" s="359" t="s">
        <v>36</v>
      </c>
      <c r="B18" s="352">
        <v>100</v>
      </c>
      <c r="C18" s="332"/>
      <c r="D18" s="353">
        <v>37</v>
      </c>
      <c r="E18" s="354">
        <v>100</v>
      </c>
      <c r="F18" s="355">
        <v>37</v>
      </c>
      <c r="G18" s="356">
        <v>100</v>
      </c>
      <c r="H18" s="308" t="s">
        <v>248</v>
      </c>
    </row>
    <row r="19" spans="1:8" ht="58" x14ac:dyDescent="0.35">
      <c r="A19" s="251" t="s">
        <v>37</v>
      </c>
      <c r="B19" s="331">
        <v>200</v>
      </c>
      <c r="C19" s="332"/>
      <c r="D19" s="333">
        <v>3393</v>
      </c>
      <c r="E19" s="334">
        <v>200</v>
      </c>
      <c r="F19" s="335">
        <v>200</v>
      </c>
      <c r="G19" s="336">
        <f>D19</f>
        <v>3393</v>
      </c>
      <c r="H19" s="308" t="s">
        <v>248</v>
      </c>
    </row>
    <row r="20" spans="1:8" x14ac:dyDescent="0.35">
      <c r="A20" s="251" t="s">
        <v>71</v>
      </c>
      <c r="B20" s="331">
        <v>250</v>
      </c>
      <c r="C20" s="332"/>
      <c r="D20" s="337"/>
      <c r="E20" s="334">
        <v>250</v>
      </c>
      <c r="F20" s="335">
        <v>250</v>
      </c>
      <c r="G20" s="336">
        <v>250</v>
      </c>
      <c r="H20" s="224" t="s">
        <v>150</v>
      </c>
    </row>
    <row r="21" spans="1:8" x14ac:dyDescent="0.35">
      <c r="A21" s="253" t="s">
        <v>38</v>
      </c>
      <c r="B21" s="246"/>
      <c r="C21" s="246"/>
      <c r="D21" s="258"/>
      <c r="E21" s="265"/>
      <c r="F21" s="246"/>
      <c r="G21" s="100"/>
      <c r="H21" s="313"/>
    </row>
    <row r="22" spans="1:8" x14ac:dyDescent="0.35">
      <c r="A22" s="251" t="s">
        <v>39</v>
      </c>
      <c r="B22" s="248"/>
      <c r="C22" s="248"/>
      <c r="D22" s="252">
        <v>7587</v>
      </c>
      <c r="E22" s="263"/>
      <c r="F22" s="247"/>
      <c r="G22" s="310"/>
      <c r="H22" s="314"/>
    </row>
    <row r="23" spans="1:8" x14ac:dyDescent="0.35">
      <c r="A23" s="233" t="s">
        <v>41</v>
      </c>
      <c r="B23" s="246"/>
      <c r="C23" s="246"/>
      <c r="D23" s="258"/>
      <c r="E23" s="259"/>
      <c r="F23" s="246"/>
      <c r="G23" s="100"/>
      <c r="H23" s="313"/>
    </row>
    <row r="24" spans="1:8" x14ac:dyDescent="0.35">
      <c r="A24" s="64" t="s">
        <v>42</v>
      </c>
      <c r="B24" s="246"/>
      <c r="C24" s="246"/>
      <c r="D24" s="258"/>
      <c r="E24" s="259"/>
      <c r="F24" s="246"/>
      <c r="G24" s="100"/>
      <c r="H24" s="313"/>
    </row>
    <row r="25" spans="1:8" x14ac:dyDescent="0.35">
      <c r="A25" s="253" t="s">
        <v>43</v>
      </c>
      <c r="B25" s="246"/>
      <c r="C25" s="246"/>
      <c r="D25" s="258"/>
      <c r="E25" s="259"/>
      <c r="F25" s="246"/>
      <c r="G25" s="100"/>
      <c r="H25" s="313"/>
    </row>
    <row r="26" spans="1:8" x14ac:dyDescent="0.35">
      <c r="A26" s="75" t="s">
        <v>44</v>
      </c>
      <c r="B26" s="246"/>
      <c r="C26" s="246"/>
      <c r="D26" s="258"/>
      <c r="E26" s="259"/>
      <c r="F26" s="246"/>
      <c r="G26" s="100"/>
      <c r="H26" s="313"/>
    </row>
    <row r="27" spans="1:8" x14ac:dyDescent="0.35">
      <c r="A27" s="75" t="s">
        <v>45</v>
      </c>
      <c r="B27" s="246"/>
      <c r="C27" s="246"/>
      <c r="D27" s="258"/>
      <c r="E27" s="259"/>
      <c r="F27" s="246"/>
      <c r="G27" s="100"/>
      <c r="H27" s="313"/>
    </row>
    <row r="28" spans="1:8" x14ac:dyDescent="0.35">
      <c r="A28" s="75" t="s">
        <v>46</v>
      </c>
      <c r="B28" s="246"/>
      <c r="C28" s="246"/>
      <c r="D28" s="258"/>
      <c r="E28" s="259"/>
      <c r="F28" s="246"/>
      <c r="G28" s="100"/>
      <c r="H28" s="313"/>
    </row>
    <row r="29" spans="1:8" x14ac:dyDescent="0.35">
      <c r="A29" s="254" t="s">
        <v>48</v>
      </c>
      <c r="B29" s="264">
        <v>175000</v>
      </c>
      <c r="C29" s="248"/>
      <c r="D29" s="248"/>
      <c r="E29" s="256">
        <v>175000</v>
      </c>
      <c r="F29" s="256">
        <v>175000</v>
      </c>
      <c r="G29" s="256">
        <v>175000</v>
      </c>
      <c r="H29" s="224" t="s">
        <v>150</v>
      </c>
    </row>
    <row r="30" spans="1:8" x14ac:dyDescent="0.35">
      <c r="A30" s="233" t="s">
        <v>50</v>
      </c>
      <c r="B30" s="246"/>
      <c r="C30" s="246"/>
      <c r="D30" s="258"/>
      <c r="E30" s="259"/>
      <c r="F30" s="246"/>
      <c r="G30" s="100"/>
      <c r="H30" s="313"/>
    </row>
    <row r="31" spans="1:8" x14ac:dyDescent="0.35">
      <c r="A31" s="233" t="s">
        <v>51</v>
      </c>
      <c r="B31" s="246"/>
      <c r="C31" s="246"/>
      <c r="D31" s="258"/>
      <c r="E31" s="259"/>
      <c r="F31" s="246"/>
      <c r="G31" s="100"/>
      <c r="H31" s="313"/>
    </row>
    <row r="32" spans="1:8" x14ac:dyDescent="0.35">
      <c r="A32" s="253" t="s">
        <v>53</v>
      </c>
      <c r="B32" s="246"/>
      <c r="C32" s="246"/>
      <c r="D32" s="258"/>
      <c r="E32" s="259"/>
      <c r="F32" s="246"/>
      <c r="G32" s="100"/>
      <c r="H32" s="313"/>
    </row>
    <row r="33" spans="1:8" x14ac:dyDescent="0.35">
      <c r="A33" s="233" t="s">
        <v>54</v>
      </c>
      <c r="B33" s="246"/>
      <c r="C33" s="246"/>
      <c r="D33" s="258"/>
      <c r="E33" s="259"/>
      <c r="F33" s="246"/>
      <c r="G33" s="100"/>
      <c r="H33" s="313"/>
    </row>
    <row r="34" spans="1:8" x14ac:dyDescent="0.35">
      <c r="A34" s="233" t="s">
        <v>55</v>
      </c>
      <c r="B34" s="246"/>
      <c r="C34" s="246"/>
      <c r="D34" s="258"/>
      <c r="E34" s="259"/>
      <c r="F34" s="246"/>
      <c r="G34" s="100"/>
      <c r="H34" s="313"/>
    </row>
    <row r="35" spans="1:8" x14ac:dyDescent="0.35">
      <c r="A35" s="233" t="s">
        <v>72</v>
      </c>
      <c r="B35" s="246"/>
      <c r="C35" s="246"/>
      <c r="D35" s="258"/>
      <c r="E35" s="259"/>
      <c r="F35" s="246"/>
      <c r="G35" s="100"/>
      <c r="H35" s="313"/>
    </row>
    <row r="36" spans="1:8" x14ac:dyDescent="0.35">
      <c r="A36" s="75" t="s">
        <v>56</v>
      </c>
      <c r="B36" s="246"/>
      <c r="C36" s="246"/>
      <c r="D36" s="258"/>
      <c r="E36" s="259"/>
      <c r="F36" s="246"/>
      <c r="G36" s="100"/>
      <c r="H36" s="313"/>
    </row>
    <row r="37" spans="1:8" x14ac:dyDescent="0.35">
      <c r="A37" s="251" t="s">
        <v>57</v>
      </c>
      <c r="B37" s="338">
        <v>400</v>
      </c>
      <c r="C37" s="248"/>
      <c r="D37" s="341">
        <v>253</v>
      </c>
      <c r="E37" s="357">
        <v>400</v>
      </c>
      <c r="F37" s="357">
        <f>D37</f>
        <v>253</v>
      </c>
      <c r="G37" s="358">
        <v>400</v>
      </c>
      <c r="H37" s="224" t="s">
        <v>150</v>
      </c>
    </row>
    <row r="38" spans="1:8" ht="15" thickBot="1" x14ac:dyDescent="0.4">
      <c r="A38" s="255" t="s">
        <v>59</v>
      </c>
      <c r="B38" s="260"/>
      <c r="C38" s="260"/>
      <c r="D38" s="261"/>
      <c r="E38" s="262"/>
      <c r="F38" s="260"/>
      <c r="G38" s="311"/>
      <c r="H38" s="315"/>
    </row>
    <row r="39" spans="1:8" s="1" customFormat="1" x14ac:dyDescent="0.35"/>
    <row r="40" spans="1:8" s="1" customFormat="1" x14ac:dyDescent="0.35"/>
    <row r="41" spans="1:8" s="1" customFormat="1" x14ac:dyDescent="0.35"/>
    <row r="42" spans="1:8" s="1" customFormat="1" x14ac:dyDescent="0.35"/>
    <row r="43" spans="1:8" s="1" customFormat="1" x14ac:dyDescent="0.35"/>
    <row r="44" spans="1:8" s="1" customFormat="1" x14ac:dyDescent="0.35"/>
    <row r="45" spans="1:8" s="1" customFormat="1" x14ac:dyDescent="0.35"/>
    <row r="46" spans="1:8" s="1" customFormat="1" x14ac:dyDescent="0.35"/>
    <row r="47" spans="1:8" s="1" customFormat="1" x14ac:dyDescent="0.35"/>
    <row r="48" spans="1: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sheetData>
  <sortState xmlns:xlrd2="http://schemas.microsoft.com/office/spreadsheetml/2017/richdata2" ref="A1:H38">
    <sortCondition ref="A2:A38"/>
  </sortState>
  <mergeCells count="6">
    <mergeCell ref="E1:E2"/>
    <mergeCell ref="F1:F2"/>
    <mergeCell ref="G1:G2"/>
    <mergeCell ref="B1:B2"/>
    <mergeCell ref="D1:D2"/>
    <mergeCell ref="C1:C2"/>
  </mergeCells>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6CC7-8C00-494D-9B82-9658D2EDEA8C}">
  <sheetPr>
    <tabColor theme="7" tint="0.59999389629810485"/>
  </sheetPr>
  <dimension ref="A1:KG250"/>
  <sheetViews>
    <sheetView zoomScale="85" zoomScaleNormal="85" workbookViewId="0">
      <selection activeCell="D4" sqref="A1:J38"/>
    </sheetView>
  </sheetViews>
  <sheetFormatPr baseColWidth="10" defaultRowHeight="14.5" x14ac:dyDescent="0.35"/>
  <cols>
    <col min="2" max="2" width="21.1796875" customWidth="1"/>
    <col min="3" max="3" width="16.90625" customWidth="1"/>
    <col min="4" max="4" width="27" customWidth="1"/>
    <col min="5" max="5" width="29.36328125" customWidth="1"/>
    <col min="6" max="6" width="16.36328125" bestFit="1" customWidth="1"/>
    <col min="7" max="9" width="12.08984375" bestFit="1" customWidth="1"/>
    <col min="10" max="10" width="21.54296875" style="12" customWidth="1"/>
    <col min="11" max="293" width="10.90625" style="1"/>
  </cols>
  <sheetData>
    <row r="1" spans="1:293" s="5" customFormat="1" ht="66" customHeight="1" x14ac:dyDescent="0.35">
      <c r="A1" s="19" t="s">
        <v>182</v>
      </c>
      <c r="B1" s="725" t="s">
        <v>194</v>
      </c>
      <c r="C1" s="726" t="s">
        <v>193</v>
      </c>
      <c r="D1" s="728" t="s">
        <v>170</v>
      </c>
      <c r="E1" s="723" t="s">
        <v>172</v>
      </c>
      <c r="F1" s="721" t="s">
        <v>191</v>
      </c>
      <c r="G1" s="639" t="s">
        <v>195</v>
      </c>
      <c r="H1" s="731" t="s">
        <v>133</v>
      </c>
      <c r="I1" s="719" t="s">
        <v>134</v>
      </c>
      <c r="J1" s="393" t="s">
        <v>131</v>
      </c>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c r="FN1" s="140"/>
      <c r="FO1" s="140"/>
      <c r="FP1" s="140"/>
      <c r="FQ1" s="140"/>
      <c r="FR1" s="140"/>
      <c r="FS1" s="140"/>
      <c r="FT1" s="140"/>
      <c r="FU1" s="140"/>
      <c r="FV1" s="140"/>
      <c r="FW1" s="140"/>
      <c r="FX1" s="140"/>
      <c r="FY1" s="140"/>
      <c r="FZ1" s="140"/>
      <c r="GA1" s="140"/>
      <c r="GB1" s="140"/>
      <c r="GC1" s="140"/>
      <c r="GD1" s="140"/>
      <c r="GE1" s="140"/>
      <c r="GF1" s="140"/>
      <c r="GG1" s="140"/>
      <c r="GH1" s="140"/>
      <c r="GI1" s="140"/>
      <c r="GJ1" s="140"/>
      <c r="GK1" s="140"/>
      <c r="GL1" s="140"/>
      <c r="GM1" s="140"/>
      <c r="GN1" s="140"/>
      <c r="GO1" s="140"/>
      <c r="GP1" s="140"/>
      <c r="GQ1" s="140"/>
      <c r="GR1" s="140"/>
      <c r="GS1" s="140"/>
      <c r="GT1" s="140"/>
      <c r="GU1" s="140"/>
      <c r="GV1" s="140"/>
      <c r="GW1" s="140"/>
      <c r="GX1" s="140"/>
      <c r="GY1" s="140"/>
      <c r="GZ1" s="140"/>
      <c r="HA1" s="140"/>
      <c r="HB1" s="140"/>
      <c r="HC1" s="140"/>
      <c r="HD1" s="140"/>
      <c r="HE1" s="140"/>
      <c r="HF1" s="140"/>
      <c r="HG1" s="140"/>
      <c r="HH1" s="140"/>
      <c r="HI1" s="140"/>
      <c r="HJ1" s="140"/>
      <c r="HK1" s="140"/>
      <c r="HL1" s="140"/>
      <c r="HM1" s="140"/>
      <c r="HN1" s="140"/>
      <c r="HO1" s="140"/>
      <c r="HP1" s="140"/>
      <c r="HQ1" s="140"/>
      <c r="HR1" s="140"/>
      <c r="HS1" s="140"/>
      <c r="HT1" s="140"/>
      <c r="HU1" s="140"/>
      <c r="HV1" s="140"/>
      <c r="HW1" s="140"/>
      <c r="HX1" s="140"/>
      <c r="HY1" s="140"/>
      <c r="HZ1" s="140"/>
      <c r="IA1" s="140"/>
      <c r="IB1" s="140"/>
      <c r="IC1" s="140"/>
      <c r="ID1" s="140"/>
      <c r="IE1" s="140"/>
      <c r="IF1" s="140"/>
      <c r="IG1" s="140"/>
      <c r="IH1" s="140"/>
      <c r="II1" s="140"/>
      <c r="IJ1" s="140"/>
      <c r="IK1" s="140"/>
      <c r="IL1" s="140"/>
      <c r="IM1" s="140"/>
      <c r="IN1" s="140"/>
      <c r="IO1" s="140"/>
      <c r="IP1" s="140"/>
      <c r="IQ1" s="140"/>
      <c r="IR1" s="140"/>
      <c r="IS1" s="140"/>
      <c r="IT1" s="140"/>
      <c r="IU1" s="140"/>
      <c r="IV1" s="140"/>
      <c r="IW1" s="140"/>
      <c r="IX1" s="140"/>
      <c r="IY1" s="140"/>
      <c r="IZ1" s="140"/>
      <c r="JA1" s="140"/>
      <c r="JB1" s="140"/>
      <c r="JC1" s="140"/>
      <c r="JD1" s="140"/>
      <c r="JE1" s="140"/>
      <c r="JF1" s="140"/>
      <c r="JG1" s="140"/>
      <c r="JH1" s="140"/>
      <c r="JI1" s="140"/>
      <c r="JJ1" s="140"/>
      <c r="JK1" s="140"/>
      <c r="JL1" s="140"/>
      <c r="JM1" s="140"/>
      <c r="JN1" s="140"/>
      <c r="JO1" s="140"/>
      <c r="JP1" s="140"/>
      <c r="JQ1" s="140"/>
      <c r="JR1" s="140"/>
      <c r="JS1" s="140"/>
      <c r="JT1" s="140"/>
      <c r="JU1" s="140"/>
      <c r="JV1" s="140"/>
      <c r="JW1" s="140"/>
      <c r="JX1" s="140"/>
      <c r="JY1" s="140"/>
      <c r="JZ1" s="140"/>
      <c r="KA1" s="140"/>
      <c r="KB1" s="140"/>
      <c r="KC1" s="140"/>
      <c r="KD1" s="140"/>
      <c r="KE1" s="140"/>
      <c r="KF1" s="140"/>
      <c r="KG1" s="140"/>
    </row>
    <row r="2" spans="1:293" s="5" customFormat="1" ht="34.5" customHeight="1" thickBot="1" x14ac:dyDescent="0.4">
      <c r="A2" s="394" t="s">
        <v>62</v>
      </c>
      <c r="B2" s="725"/>
      <c r="C2" s="727"/>
      <c r="D2" s="729"/>
      <c r="E2" s="724"/>
      <c r="F2" s="722"/>
      <c r="G2" s="730"/>
      <c r="H2" s="732"/>
      <c r="I2" s="720"/>
      <c r="J2" s="377" t="s">
        <v>152</v>
      </c>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c r="HL2" s="140"/>
      <c r="HM2" s="140"/>
      <c r="HN2" s="140"/>
      <c r="HO2" s="140"/>
      <c r="HP2" s="140"/>
      <c r="HQ2" s="140"/>
      <c r="HR2" s="140"/>
      <c r="HS2" s="140"/>
      <c r="HT2" s="140"/>
      <c r="HU2" s="140"/>
      <c r="HV2" s="140"/>
      <c r="HW2" s="140"/>
      <c r="HX2" s="140"/>
      <c r="HY2" s="140"/>
      <c r="HZ2" s="140"/>
      <c r="IA2" s="140"/>
      <c r="IB2" s="140"/>
      <c r="IC2" s="140"/>
      <c r="ID2" s="140"/>
      <c r="IE2" s="140"/>
      <c r="IF2" s="140"/>
      <c r="IG2" s="140"/>
      <c r="IH2" s="140"/>
      <c r="II2" s="140"/>
      <c r="IJ2" s="140"/>
      <c r="IK2" s="140"/>
      <c r="IL2" s="140"/>
      <c r="IM2" s="140"/>
      <c r="IN2" s="140"/>
      <c r="IO2" s="140"/>
      <c r="IP2" s="140"/>
      <c r="IQ2" s="140"/>
      <c r="IR2" s="140"/>
      <c r="IS2" s="140"/>
      <c r="IT2" s="140"/>
      <c r="IU2" s="140"/>
      <c r="IV2" s="140"/>
      <c r="IW2" s="140"/>
      <c r="IX2" s="140"/>
      <c r="IY2" s="140"/>
      <c r="IZ2" s="140"/>
      <c r="JA2" s="140"/>
      <c r="JB2" s="140"/>
      <c r="JC2" s="140"/>
      <c r="JD2" s="140"/>
      <c r="JE2" s="140"/>
      <c r="JF2" s="140"/>
      <c r="JG2" s="140"/>
      <c r="JH2" s="140"/>
      <c r="JI2" s="140"/>
      <c r="JJ2" s="140"/>
      <c r="JK2" s="140"/>
      <c r="JL2" s="140"/>
      <c r="JM2" s="140"/>
      <c r="JN2" s="140"/>
      <c r="JO2" s="140"/>
      <c r="JP2" s="140"/>
      <c r="JQ2" s="140"/>
      <c r="JR2" s="140"/>
      <c r="JS2" s="140"/>
      <c r="JT2" s="140"/>
      <c r="JU2" s="140"/>
      <c r="JV2" s="140"/>
      <c r="JW2" s="140"/>
      <c r="JX2" s="140"/>
      <c r="JY2" s="140"/>
      <c r="JZ2" s="140"/>
      <c r="KA2" s="140"/>
      <c r="KB2" s="140"/>
      <c r="KC2" s="140"/>
      <c r="KD2" s="140"/>
      <c r="KE2" s="140"/>
      <c r="KF2" s="140"/>
      <c r="KG2" s="140"/>
    </row>
    <row r="3" spans="1:293" ht="58" x14ac:dyDescent="0.35">
      <c r="A3" s="117" t="s">
        <v>21</v>
      </c>
      <c r="B3" s="301">
        <f>1000*(33.9*0.8/100)</f>
        <v>271.2</v>
      </c>
      <c r="C3" s="302">
        <v>3900</v>
      </c>
      <c r="D3" s="273"/>
      <c r="E3" s="302">
        <v>1300</v>
      </c>
      <c r="F3" s="303">
        <v>184</v>
      </c>
      <c r="G3" s="304">
        <f>AVERAGE(C3,E3)</f>
        <v>2600</v>
      </c>
      <c r="H3" s="305">
        <f>MIN(B3:E3)</f>
        <v>271.2</v>
      </c>
      <c r="I3" s="316">
        <f>MAX(B3:F3)</f>
        <v>3900</v>
      </c>
      <c r="J3" s="308" t="s">
        <v>151</v>
      </c>
    </row>
    <row r="4" spans="1:293" x14ac:dyDescent="0.35">
      <c r="A4" s="118" t="s">
        <v>22</v>
      </c>
      <c r="B4" s="136"/>
      <c r="C4" s="135"/>
      <c r="D4" s="135"/>
      <c r="E4" s="135"/>
      <c r="F4" s="156"/>
      <c r="G4" s="236">
        <v>0</v>
      </c>
      <c r="H4" s="237"/>
      <c r="I4" s="317"/>
      <c r="J4" s="187"/>
    </row>
    <row r="5" spans="1:293" x14ac:dyDescent="0.35">
      <c r="A5" s="118" t="s">
        <v>66</v>
      </c>
      <c r="B5" s="136"/>
      <c r="C5" s="135"/>
      <c r="D5" s="135"/>
      <c r="E5" s="135"/>
      <c r="F5" s="156"/>
      <c r="G5" s="236">
        <v>0</v>
      </c>
      <c r="H5" s="237"/>
      <c r="I5" s="317"/>
      <c r="J5" s="187"/>
    </row>
    <row r="6" spans="1:293" ht="18.5" customHeight="1" x14ac:dyDescent="0.35">
      <c r="A6" s="119" t="s">
        <v>67</v>
      </c>
      <c r="B6" s="82"/>
      <c r="C6" s="43">
        <v>2</v>
      </c>
      <c r="D6" s="26"/>
      <c r="E6" s="26"/>
      <c r="F6" s="203">
        <v>269</v>
      </c>
      <c r="G6" s="238">
        <v>2</v>
      </c>
      <c r="H6" s="239">
        <f>MIN(B6:F6)</f>
        <v>2</v>
      </c>
      <c r="I6" s="318">
        <f>C6</f>
        <v>2</v>
      </c>
      <c r="J6" s="224" t="s">
        <v>147</v>
      </c>
    </row>
    <row r="7" spans="1:293" x14ac:dyDescent="0.35">
      <c r="A7" s="21" t="s">
        <v>68</v>
      </c>
      <c r="B7" s="82"/>
      <c r="C7" s="43">
        <v>2</v>
      </c>
      <c r="D7" s="26"/>
      <c r="E7" s="26"/>
      <c r="F7" s="203">
        <v>7.0000000000000007E-2</v>
      </c>
      <c r="G7" s="238">
        <v>2</v>
      </c>
      <c r="H7" s="239">
        <f>MAX(A7:E7)</f>
        <v>2</v>
      </c>
      <c r="I7" s="318">
        <f>MAX(B7:F7)</f>
        <v>2</v>
      </c>
      <c r="J7" s="224" t="s">
        <v>147</v>
      </c>
    </row>
    <row r="8" spans="1:293" x14ac:dyDescent="0.35">
      <c r="A8" s="120" t="s">
        <v>24</v>
      </c>
      <c r="B8" s="18"/>
      <c r="C8" s="20"/>
      <c r="D8" s="20"/>
      <c r="E8" s="35">
        <v>159000</v>
      </c>
      <c r="F8" s="33"/>
      <c r="G8" s="240">
        <v>159000</v>
      </c>
      <c r="H8" s="240">
        <v>159000</v>
      </c>
      <c r="I8" s="319">
        <v>159000</v>
      </c>
      <c r="J8" s="179" t="s">
        <v>150</v>
      </c>
    </row>
    <row r="9" spans="1:293" ht="14.5" customHeight="1" x14ac:dyDescent="0.35">
      <c r="A9" s="119" t="s">
        <v>69</v>
      </c>
      <c r="B9" s="42">
        <f>1000*(33.9*0.1/100)</f>
        <v>33.9</v>
      </c>
      <c r="C9" s="27">
        <v>2270</v>
      </c>
      <c r="D9" s="27">
        <f>(1300+3050)/2</f>
        <v>2175</v>
      </c>
      <c r="E9" s="26"/>
      <c r="F9" s="203">
        <v>333</v>
      </c>
      <c r="G9" s="241">
        <v>2175</v>
      </c>
      <c r="H9" s="235">
        <f>MIN(B9:F9)</f>
        <v>33.9</v>
      </c>
      <c r="I9" s="320">
        <f>MAX(B9:F9)</f>
        <v>2270</v>
      </c>
      <c r="J9" s="224" t="s">
        <v>146</v>
      </c>
    </row>
    <row r="10" spans="1:293" x14ac:dyDescent="0.35">
      <c r="A10" s="121" t="s">
        <v>27</v>
      </c>
      <c r="B10" s="136"/>
      <c r="C10" s="135"/>
      <c r="D10" s="135"/>
      <c r="E10" s="135"/>
      <c r="F10" s="156"/>
      <c r="G10" s="236">
        <v>0</v>
      </c>
      <c r="H10" s="237"/>
      <c r="I10" s="317"/>
      <c r="J10" s="187"/>
    </row>
    <row r="11" spans="1:293" x14ac:dyDescent="0.35">
      <c r="A11" s="119" t="s">
        <v>28</v>
      </c>
      <c r="B11" s="136"/>
      <c r="C11" s="135"/>
      <c r="D11" s="135"/>
      <c r="E11" s="135"/>
      <c r="F11" s="156"/>
      <c r="G11" s="236">
        <v>0</v>
      </c>
      <c r="H11" s="237"/>
      <c r="I11" s="317"/>
      <c r="J11" s="187"/>
    </row>
    <row r="12" spans="1:293" x14ac:dyDescent="0.35">
      <c r="A12" s="119" t="s">
        <v>70</v>
      </c>
      <c r="B12" s="136"/>
      <c r="C12" s="135"/>
      <c r="D12" s="135"/>
      <c r="E12" s="135"/>
      <c r="F12" s="156"/>
      <c r="G12" s="236">
        <v>0</v>
      </c>
      <c r="H12" s="237"/>
      <c r="I12" s="317"/>
      <c r="J12" s="187"/>
    </row>
    <row r="13" spans="1:293" x14ac:dyDescent="0.35">
      <c r="A13" s="120" t="s">
        <v>29</v>
      </c>
      <c r="B13" s="136"/>
      <c r="C13" s="135"/>
      <c r="D13" s="135"/>
      <c r="E13" s="135"/>
      <c r="F13" s="156"/>
      <c r="G13" s="236">
        <v>0</v>
      </c>
      <c r="H13" s="237"/>
      <c r="I13" s="317"/>
      <c r="J13" s="187"/>
    </row>
    <row r="14" spans="1:293" x14ac:dyDescent="0.35">
      <c r="A14" s="118" t="s">
        <v>30</v>
      </c>
      <c r="B14" s="136"/>
      <c r="C14" s="135"/>
      <c r="D14" s="135"/>
      <c r="E14" s="135"/>
      <c r="F14" s="156"/>
      <c r="G14" s="236">
        <v>0</v>
      </c>
      <c r="H14" s="237"/>
      <c r="I14" s="317"/>
      <c r="J14" s="187"/>
    </row>
    <row r="15" spans="1:293" x14ac:dyDescent="0.35">
      <c r="A15" s="119" t="s">
        <v>31</v>
      </c>
      <c r="B15" s="136"/>
      <c r="C15" s="135"/>
      <c r="D15" s="135"/>
      <c r="E15" s="135"/>
      <c r="F15" s="156"/>
      <c r="G15" s="236">
        <v>0</v>
      </c>
      <c r="H15" s="237"/>
      <c r="I15" s="317"/>
      <c r="J15" s="187"/>
    </row>
    <row r="16" spans="1:293" ht="14.5" customHeight="1" x14ac:dyDescent="0.35">
      <c r="A16" s="118" t="s">
        <v>32</v>
      </c>
      <c r="B16" s="82"/>
      <c r="C16" s="26"/>
      <c r="D16" s="26"/>
      <c r="E16" s="40">
        <v>52000</v>
      </c>
      <c r="F16" s="203">
        <v>45152</v>
      </c>
      <c r="G16" s="242"/>
      <c r="H16" s="243"/>
      <c r="I16" s="321"/>
      <c r="J16" s="188" t="s">
        <v>148</v>
      </c>
    </row>
    <row r="17" spans="1:10" ht="43.5" x14ac:dyDescent="0.35">
      <c r="A17" s="37" t="s">
        <v>34</v>
      </c>
      <c r="B17" s="82"/>
      <c r="C17" s="43">
        <v>104</v>
      </c>
      <c r="D17" s="26"/>
      <c r="E17" s="26"/>
      <c r="F17" s="203">
        <v>4</v>
      </c>
      <c r="G17" s="238">
        <v>104</v>
      </c>
      <c r="H17" s="239">
        <f>MIN(B17:E17)</f>
        <v>104</v>
      </c>
      <c r="I17" s="318">
        <f>MAX(B17:F17)</f>
        <v>104</v>
      </c>
      <c r="J17" s="224" t="s">
        <v>149</v>
      </c>
    </row>
    <row r="18" spans="1:10" x14ac:dyDescent="0.35">
      <c r="A18" s="119" t="s">
        <v>36</v>
      </c>
      <c r="B18" s="136"/>
      <c r="C18" s="135"/>
      <c r="D18" s="135"/>
      <c r="E18" s="135"/>
      <c r="F18" s="156"/>
      <c r="G18" s="236">
        <v>0</v>
      </c>
      <c r="H18" s="237"/>
      <c r="I18" s="317"/>
      <c r="J18" s="187"/>
    </row>
    <row r="19" spans="1:10" x14ac:dyDescent="0.35">
      <c r="A19" s="21" t="s">
        <v>37</v>
      </c>
      <c r="B19" s="82"/>
      <c r="C19" s="26"/>
      <c r="D19" s="26"/>
      <c r="E19" s="26"/>
      <c r="F19" s="203">
        <v>544</v>
      </c>
      <c r="G19" s="328">
        <v>0</v>
      </c>
      <c r="H19" s="329"/>
      <c r="I19" s="330"/>
      <c r="J19" s="189"/>
    </row>
    <row r="20" spans="1:10" x14ac:dyDescent="0.35">
      <c r="A20" s="119" t="s">
        <v>71</v>
      </c>
      <c r="B20" s="136"/>
      <c r="C20" s="135"/>
      <c r="D20" s="135"/>
      <c r="E20" s="135"/>
      <c r="F20" s="156"/>
      <c r="G20" s="236">
        <v>0</v>
      </c>
      <c r="H20" s="237"/>
      <c r="I20" s="317"/>
      <c r="J20" s="187"/>
    </row>
    <row r="21" spans="1:10" x14ac:dyDescent="0.35">
      <c r="A21" s="121" t="s">
        <v>38</v>
      </c>
      <c r="B21" s="136"/>
      <c r="C21" s="135"/>
      <c r="D21" s="135"/>
      <c r="E21" s="135"/>
      <c r="F21" s="156"/>
      <c r="G21" s="236">
        <v>0</v>
      </c>
      <c r="H21" s="237"/>
      <c r="I21" s="317"/>
      <c r="J21" s="187"/>
    </row>
    <row r="22" spans="1:10" ht="15" customHeight="1" x14ac:dyDescent="0.35">
      <c r="A22" s="21" t="s">
        <v>39</v>
      </c>
      <c r="B22" s="82"/>
      <c r="C22" s="60">
        <v>20</v>
      </c>
      <c r="D22" s="26"/>
      <c r="E22" s="26"/>
      <c r="F22" s="203">
        <v>1597</v>
      </c>
      <c r="G22" s="238">
        <v>20</v>
      </c>
      <c r="H22" s="239">
        <f>MIN(B22:F22)</f>
        <v>20</v>
      </c>
      <c r="I22" s="318">
        <f>MIN(C22:G22)</f>
        <v>20</v>
      </c>
      <c r="J22" s="224" t="s">
        <v>149</v>
      </c>
    </row>
    <row r="23" spans="1:10" x14ac:dyDescent="0.35">
      <c r="A23" s="119" t="s">
        <v>41</v>
      </c>
      <c r="B23" s="136"/>
      <c r="C23" s="135"/>
      <c r="D23" s="135"/>
      <c r="E23" s="135"/>
      <c r="F23" s="156"/>
      <c r="G23" s="236">
        <v>0</v>
      </c>
      <c r="H23" s="237"/>
      <c r="I23" s="317"/>
      <c r="J23" s="187"/>
    </row>
    <row r="24" spans="1:10" x14ac:dyDescent="0.35">
      <c r="A24" s="120" t="s">
        <v>42</v>
      </c>
      <c r="B24" s="136"/>
      <c r="C24" s="135"/>
      <c r="D24" s="135"/>
      <c r="E24" s="135"/>
      <c r="F24" s="156"/>
      <c r="G24" s="236">
        <v>0</v>
      </c>
      <c r="H24" s="237"/>
      <c r="I24" s="317"/>
      <c r="J24" s="187"/>
    </row>
    <row r="25" spans="1:10" x14ac:dyDescent="0.35">
      <c r="A25" s="121" t="s">
        <v>43</v>
      </c>
      <c r="B25" s="136"/>
      <c r="C25" s="135"/>
      <c r="D25" s="135"/>
      <c r="E25" s="135"/>
      <c r="F25" s="156"/>
      <c r="G25" s="236">
        <v>0</v>
      </c>
      <c r="H25" s="237"/>
      <c r="I25" s="317"/>
      <c r="J25" s="187"/>
    </row>
    <row r="26" spans="1:10" x14ac:dyDescent="0.35">
      <c r="A26" s="118" t="s">
        <v>44</v>
      </c>
      <c r="B26" s="136"/>
      <c r="C26" s="135"/>
      <c r="D26" s="135"/>
      <c r="E26" s="135"/>
      <c r="F26" s="156"/>
      <c r="G26" s="236">
        <v>0</v>
      </c>
      <c r="H26" s="237"/>
      <c r="I26" s="317"/>
      <c r="J26" s="187"/>
    </row>
    <row r="27" spans="1:10" x14ac:dyDescent="0.35">
      <c r="A27" s="118" t="s">
        <v>45</v>
      </c>
      <c r="B27" s="136"/>
      <c r="C27" s="135"/>
      <c r="D27" s="135"/>
      <c r="E27" s="135"/>
      <c r="F27" s="156"/>
      <c r="G27" s="236">
        <v>0</v>
      </c>
      <c r="H27" s="237"/>
      <c r="I27" s="317"/>
      <c r="J27" s="187"/>
    </row>
    <row r="28" spans="1:10" x14ac:dyDescent="0.35">
      <c r="A28" s="118" t="s">
        <v>46</v>
      </c>
      <c r="B28" s="136"/>
      <c r="C28" s="135"/>
      <c r="D28" s="135"/>
      <c r="E28" s="135"/>
      <c r="F28" s="156"/>
      <c r="G28" s="236">
        <v>0</v>
      </c>
      <c r="H28" s="237"/>
      <c r="I28" s="317"/>
      <c r="J28" s="187"/>
    </row>
    <row r="29" spans="1:10" x14ac:dyDescent="0.35">
      <c r="A29" s="37" t="s">
        <v>48</v>
      </c>
      <c r="B29" s="42">
        <f>1000*(33.9*99.1/100)</f>
        <v>33594.899999999994</v>
      </c>
      <c r="C29" s="60">
        <v>138000</v>
      </c>
      <c r="D29" s="26"/>
      <c r="E29" s="26"/>
      <c r="F29" s="162"/>
      <c r="G29" s="234">
        <v>138000</v>
      </c>
      <c r="H29" s="235">
        <f>MIN(B29:F29)</f>
        <v>33594.899999999994</v>
      </c>
      <c r="I29" s="320">
        <f>MAX(B29:F29)</f>
        <v>138000</v>
      </c>
      <c r="J29" s="224" t="s">
        <v>147</v>
      </c>
    </row>
    <row r="30" spans="1:10" x14ac:dyDescent="0.35">
      <c r="A30" s="119" t="s">
        <v>50</v>
      </c>
      <c r="B30" s="136"/>
      <c r="C30" s="135"/>
      <c r="D30" s="135"/>
      <c r="E30" s="135"/>
      <c r="F30" s="156"/>
      <c r="G30" s="236">
        <v>0</v>
      </c>
      <c r="H30" s="237"/>
      <c r="I30" s="317"/>
      <c r="J30" s="187"/>
    </row>
    <row r="31" spans="1:10" x14ac:dyDescent="0.35">
      <c r="A31" s="119" t="s">
        <v>51</v>
      </c>
      <c r="B31" s="136"/>
      <c r="C31" s="135"/>
      <c r="D31" s="135"/>
      <c r="E31" s="135"/>
      <c r="F31" s="156"/>
      <c r="G31" s="236">
        <v>0</v>
      </c>
      <c r="H31" s="237"/>
      <c r="I31" s="317"/>
      <c r="J31" s="187"/>
    </row>
    <row r="32" spans="1:10" x14ac:dyDescent="0.35">
      <c r="A32" s="121" t="s">
        <v>53</v>
      </c>
      <c r="B32" s="136"/>
      <c r="C32" s="135"/>
      <c r="D32" s="135"/>
      <c r="E32" s="135"/>
      <c r="F32" s="156"/>
      <c r="G32" s="236">
        <v>0</v>
      </c>
      <c r="H32" s="237"/>
      <c r="I32" s="317"/>
      <c r="J32" s="187"/>
    </row>
    <row r="33" spans="1:10" x14ac:dyDescent="0.35">
      <c r="A33" s="119" t="s">
        <v>54</v>
      </c>
      <c r="B33" s="136"/>
      <c r="C33" s="135"/>
      <c r="D33" s="135"/>
      <c r="E33" s="135"/>
      <c r="F33" s="156"/>
      <c r="G33" s="236">
        <v>0</v>
      </c>
      <c r="H33" s="237"/>
      <c r="I33" s="317"/>
      <c r="J33" s="187"/>
    </row>
    <row r="34" spans="1:10" x14ac:dyDescent="0.35">
      <c r="A34" s="119" t="s">
        <v>55</v>
      </c>
      <c r="B34" s="136"/>
      <c r="C34" s="135"/>
      <c r="D34" s="135"/>
      <c r="E34" s="135"/>
      <c r="F34" s="156"/>
      <c r="G34" s="236">
        <v>0</v>
      </c>
      <c r="H34" s="237"/>
      <c r="I34" s="317"/>
      <c r="J34" s="187"/>
    </row>
    <row r="35" spans="1:10" x14ac:dyDescent="0.35">
      <c r="A35" s="119" t="s">
        <v>72</v>
      </c>
      <c r="B35" s="136"/>
      <c r="C35" s="135"/>
      <c r="D35" s="135"/>
      <c r="E35" s="135"/>
      <c r="F35" s="156"/>
      <c r="G35" s="236">
        <v>0</v>
      </c>
      <c r="H35" s="237"/>
      <c r="I35" s="317"/>
      <c r="J35" s="187"/>
    </row>
    <row r="36" spans="1:10" x14ac:dyDescent="0.35">
      <c r="A36" s="118" t="s">
        <v>56</v>
      </c>
      <c r="B36" s="136"/>
      <c r="C36" s="135"/>
      <c r="D36" s="135"/>
      <c r="E36" s="135"/>
      <c r="F36" s="156"/>
      <c r="G36" s="236">
        <v>0</v>
      </c>
      <c r="H36" s="237"/>
      <c r="I36" s="317"/>
      <c r="J36" s="187"/>
    </row>
    <row r="37" spans="1:10" ht="43.5" x14ac:dyDescent="0.35">
      <c r="A37" s="122" t="s">
        <v>57</v>
      </c>
      <c r="B37" s="82"/>
      <c r="C37" s="43">
        <v>160</v>
      </c>
      <c r="D37" s="26"/>
      <c r="E37" s="26"/>
      <c r="F37" s="203">
        <v>18</v>
      </c>
      <c r="G37" s="238">
        <v>160</v>
      </c>
      <c r="H37" s="238">
        <v>160</v>
      </c>
      <c r="I37" s="322">
        <v>160</v>
      </c>
      <c r="J37" s="224" t="s">
        <v>149</v>
      </c>
    </row>
    <row r="38" spans="1:10" ht="15" thickBot="1" x14ac:dyDescent="0.4">
      <c r="A38" s="123" t="s">
        <v>59</v>
      </c>
      <c r="B38" s="152"/>
      <c r="C38" s="153"/>
      <c r="D38" s="153"/>
      <c r="E38" s="153"/>
      <c r="F38" s="157"/>
      <c r="G38" s="244">
        <v>0</v>
      </c>
      <c r="H38" s="245"/>
      <c r="I38" s="323"/>
      <c r="J38" s="190"/>
    </row>
    <row r="39" spans="1:10" x14ac:dyDescent="0.35">
      <c r="A39" s="1"/>
      <c r="B39" s="1"/>
      <c r="C39" s="1"/>
      <c r="D39" s="1"/>
      <c r="E39" s="1"/>
      <c r="F39" s="1"/>
      <c r="G39" s="1"/>
      <c r="H39" s="1"/>
      <c r="I39" s="1"/>
      <c r="J39" s="101"/>
    </row>
    <row r="40" spans="1:10" x14ac:dyDescent="0.35">
      <c r="A40" s="1"/>
      <c r="B40" s="1"/>
      <c r="C40" s="1"/>
      <c r="D40" s="1"/>
      <c r="E40" s="1"/>
      <c r="F40" s="1"/>
      <c r="G40" s="1"/>
      <c r="H40" s="1"/>
      <c r="I40" s="1"/>
      <c r="J40" s="101"/>
    </row>
    <row r="41" spans="1:10" x14ac:dyDescent="0.35">
      <c r="A41" s="1"/>
      <c r="B41" s="1"/>
      <c r="C41" s="1"/>
      <c r="D41" s="1"/>
      <c r="E41" s="1"/>
      <c r="F41" s="1"/>
      <c r="G41" s="1"/>
      <c r="H41" s="1"/>
      <c r="I41" s="1"/>
      <c r="J41" s="101"/>
    </row>
    <row r="42" spans="1:10" x14ac:dyDescent="0.35">
      <c r="A42" s="1"/>
      <c r="B42" s="1"/>
      <c r="C42" s="1"/>
      <c r="D42" s="1"/>
      <c r="E42" s="1"/>
      <c r="F42" s="1"/>
      <c r="G42" s="1"/>
      <c r="H42" s="1"/>
      <c r="I42" s="1"/>
      <c r="J42" s="101"/>
    </row>
    <row r="43" spans="1:10" x14ac:dyDescent="0.35">
      <c r="A43" s="1"/>
      <c r="B43" s="1"/>
      <c r="C43" s="1"/>
      <c r="D43" s="1"/>
      <c r="E43" s="1"/>
      <c r="F43" s="1"/>
      <c r="G43" s="1"/>
      <c r="H43" s="1"/>
      <c r="I43" s="1"/>
      <c r="J43" s="101"/>
    </row>
    <row r="44" spans="1:10" x14ac:dyDescent="0.35">
      <c r="A44" s="1"/>
      <c r="B44" s="1"/>
      <c r="C44" s="1"/>
      <c r="D44" s="1"/>
      <c r="E44" s="1"/>
      <c r="F44" s="1"/>
      <c r="G44" s="1"/>
      <c r="H44" s="1"/>
      <c r="I44" s="1"/>
      <c r="J44" s="101"/>
    </row>
    <row r="45" spans="1:10" x14ac:dyDescent="0.35">
      <c r="A45" s="1"/>
      <c r="B45" s="1"/>
      <c r="C45" s="1"/>
      <c r="D45" s="1"/>
      <c r="E45" s="1"/>
      <c r="F45" s="1"/>
      <c r="G45" s="1"/>
      <c r="H45" s="1"/>
      <c r="I45" s="1"/>
      <c r="J45" s="101"/>
    </row>
    <row r="46" spans="1:10" x14ac:dyDescent="0.35">
      <c r="A46" s="1"/>
      <c r="B46" s="1"/>
      <c r="C46" s="1"/>
      <c r="D46" s="1"/>
      <c r="E46" s="1"/>
      <c r="F46" s="1"/>
      <c r="G46" s="1"/>
      <c r="H46" s="1"/>
      <c r="I46" s="1"/>
      <c r="J46" s="101"/>
    </row>
    <row r="47" spans="1:10" x14ac:dyDescent="0.35">
      <c r="A47" s="1"/>
      <c r="B47" s="1"/>
      <c r="C47" s="1"/>
      <c r="D47" s="1"/>
      <c r="E47" s="1"/>
      <c r="F47" s="1"/>
      <c r="G47" s="1"/>
      <c r="H47" s="1"/>
      <c r="I47" s="1"/>
      <c r="J47" s="101"/>
    </row>
    <row r="48" spans="1:10" x14ac:dyDescent="0.35">
      <c r="A48" s="1"/>
      <c r="B48" s="1"/>
      <c r="C48" s="1"/>
      <c r="D48" s="1"/>
      <c r="E48" s="1"/>
      <c r="F48" s="1"/>
      <c r="G48" s="1"/>
      <c r="H48" s="1"/>
      <c r="I48" s="1"/>
      <c r="J48" s="101"/>
    </row>
    <row r="49" spans="1:10" x14ac:dyDescent="0.35">
      <c r="A49" s="1"/>
      <c r="B49" s="1"/>
      <c r="C49" s="1"/>
      <c r="D49" s="1"/>
      <c r="E49" s="1"/>
      <c r="F49" s="1"/>
      <c r="G49" s="1"/>
      <c r="H49" s="1"/>
      <c r="I49" s="1"/>
      <c r="J49" s="101"/>
    </row>
    <row r="50" spans="1:10" x14ac:dyDescent="0.35">
      <c r="A50" s="1"/>
      <c r="B50" s="1"/>
      <c r="C50" s="1"/>
      <c r="D50" s="1"/>
      <c r="E50" s="1"/>
      <c r="F50" s="1"/>
      <c r="G50" s="1"/>
      <c r="H50" s="1"/>
      <c r="I50" s="1"/>
      <c r="J50" s="101"/>
    </row>
    <row r="51" spans="1:10" x14ac:dyDescent="0.35">
      <c r="A51" s="1"/>
      <c r="B51" s="1"/>
      <c r="C51" s="1"/>
      <c r="D51" s="1"/>
      <c r="E51" s="1"/>
      <c r="F51" s="1"/>
      <c r="G51" s="1"/>
      <c r="H51" s="1"/>
      <c r="I51" s="1"/>
      <c r="J51" s="101"/>
    </row>
    <row r="52" spans="1:10" x14ac:dyDescent="0.35">
      <c r="A52" s="1"/>
      <c r="B52" s="1"/>
      <c r="C52" s="1"/>
      <c r="D52" s="1"/>
      <c r="E52" s="1"/>
      <c r="F52" s="1"/>
      <c r="G52" s="1"/>
      <c r="H52" s="1"/>
      <c r="I52" s="1"/>
      <c r="J52" s="101"/>
    </row>
    <row r="53" spans="1:10" x14ac:dyDescent="0.35">
      <c r="A53" s="1"/>
      <c r="B53" s="1"/>
      <c r="C53" s="1"/>
      <c r="D53" s="1"/>
      <c r="E53" s="1"/>
      <c r="F53" s="1"/>
      <c r="G53" s="1"/>
      <c r="H53" s="1"/>
      <c r="I53" s="1"/>
      <c r="J53" s="101"/>
    </row>
    <row r="54" spans="1:10" x14ac:dyDescent="0.35">
      <c r="A54" s="1"/>
      <c r="B54" s="1"/>
      <c r="C54" s="1"/>
      <c r="D54" s="1"/>
      <c r="E54" s="1"/>
      <c r="F54" s="1"/>
      <c r="G54" s="1"/>
      <c r="H54" s="1"/>
      <c r="I54" s="1"/>
      <c r="J54" s="101"/>
    </row>
    <row r="55" spans="1:10" x14ac:dyDescent="0.35">
      <c r="A55" s="1"/>
      <c r="B55" s="1"/>
      <c r="C55" s="1"/>
      <c r="D55" s="1"/>
      <c r="E55" s="1"/>
      <c r="F55" s="1"/>
      <c r="G55" s="1"/>
      <c r="H55" s="1"/>
      <c r="I55" s="1"/>
      <c r="J55" s="101"/>
    </row>
    <row r="56" spans="1:10" x14ac:dyDescent="0.35">
      <c r="A56" s="1"/>
      <c r="B56" s="1"/>
      <c r="C56" s="1"/>
      <c r="D56" s="1"/>
      <c r="E56" s="1"/>
      <c r="F56" s="1"/>
      <c r="G56" s="1"/>
      <c r="H56" s="1"/>
      <c r="I56" s="1"/>
      <c r="J56" s="101"/>
    </row>
    <row r="57" spans="1:10" x14ac:dyDescent="0.35">
      <c r="A57" s="1"/>
      <c r="B57" s="1"/>
      <c r="C57" s="1"/>
      <c r="D57" s="1"/>
      <c r="E57" s="1"/>
      <c r="F57" s="1"/>
      <c r="G57" s="1"/>
      <c r="H57" s="1"/>
      <c r="I57" s="1"/>
      <c r="J57" s="101"/>
    </row>
    <row r="58" spans="1:10" x14ac:dyDescent="0.35">
      <c r="A58" s="1"/>
      <c r="B58" s="1"/>
      <c r="C58" s="1"/>
      <c r="D58" s="1"/>
      <c r="E58" s="1"/>
      <c r="F58" s="1"/>
      <c r="G58" s="1"/>
      <c r="H58" s="1"/>
      <c r="I58" s="1"/>
      <c r="J58" s="101"/>
    </row>
    <row r="59" spans="1:10" x14ac:dyDescent="0.35">
      <c r="A59" s="1"/>
      <c r="B59" s="1"/>
      <c r="C59" s="1"/>
      <c r="D59" s="1"/>
      <c r="E59" s="1"/>
      <c r="F59" s="1"/>
      <c r="G59" s="1"/>
      <c r="H59" s="1"/>
      <c r="I59" s="1"/>
      <c r="J59" s="101"/>
    </row>
    <row r="60" spans="1:10" x14ac:dyDescent="0.35">
      <c r="A60" s="1"/>
      <c r="B60" s="1"/>
      <c r="C60" s="1"/>
      <c r="D60" s="1"/>
      <c r="E60" s="1"/>
      <c r="F60" s="1"/>
      <c r="G60" s="1"/>
      <c r="H60" s="1"/>
      <c r="I60" s="1"/>
      <c r="J60" s="101"/>
    </row>
    <row r="61" spans="1:10" x14ac:dyDescent="0.35">
      <c r="A61" s="1"/>
      <c r="B61" s="1"/>
      <c r="C61" s="1"/>
      <c r="D61" s="1"/>
      <c r="E61" s="1"/>
      <c r="F61" s="1"/>
      <c r="G61" s="1"/>
      <c r="H61" s="1"/>
      <c r="I61" s="1"/>
      <c r="J61" s="101"/>
    </row>
    <row r="62" spans="1:10" x14ac:dyDescent="0.35">
      <c r="A62" s="1"/>
      <c r="B62" s="1"/>
      <c r="C62" s="1"/>
      <c r="D62" s="1"/>
      <c r="E62" s="1"/>
      <c r="F62" s="1"/>
      <c r="G62" s="1"/>
      <c r="H62" s="1"/>
      <c r="I62" s="1"/>
      <c r="J62" s="101"/>
    </row>
    <row r="63" spans="1:10" x14ac:dyDescent="0.35">
      <c r="A63" s="1"/>
      <c r="B63" s="1"/>
      <c r="C63" s="1"/>
      <c r="D63" s="1"/>
      <c r="E63" s="1"/>
      <c r="F63" s="1"/>
      <c r="G63" s="1"/>
      <c r="H63" s="1"/>
      <c r="I63" s="1"/>
      <c r="J63" s="101"/>
    </row>
    <row r="64" spans="1:10" x14ac:dyDescent="0.35">
      <c r="A64" s="1"/>
      <c r="B64" s="1"/>
      <c r="C64" s="1"/>
      <c r="D64" s="1"/>
      <c r="E64" s="1"/>
      <c r="F64" s="1"/>
      <c r="G64" s="1"/>
      <c r="H64" s="1"/>
      <c r="I64" s="1"/>
      <c r="J64" s="101"/>
    </row>
    <row r="65" spans="1:10" x14ac:dyDescent="0.35">
      <c r="A65" s="1"/>
      <c r="B65" s="1"/>
      <c r="C65" s="1"/>
      <c r="D65" s="1"/>
      <c r="E65" s="1"/>
      <c r="F65" s="1"/>
      <c r="G65" s="1"/>
      <c r="H65" s="1"/>
      <c r="I65" s="1"/>
      <c r="J65" s="101"/>
    </row>
    <row r="66" spans="1:10" x14ac:dyDescent="0.35">
      <c r="A66" s="1"/>
      <c r="B66" s="1"/>
      <c r="C66" s="1"/>
      <c r="D66" s="1"/>
      <c r="E66" s="1"/>
      <c r="F66" s="1"/>
      <c r="G66" s="1"/>
      <c r="H66" s="1"/>
      <c r="I66" s="1"/>
      <c r="J66" s="101"/>
    </row>
    <row r="67" spans="1:10" x14ac:dyDescent="0.35">
      <c r="A67" s="1"/>
      <c r="B67" s="1"/>
      <c r="C67" s="1"/>
      <c r="D67" s="1"/>
      <c r="E67" s="1"/>
      <c r="F67" s="1"/>
      <c r="G67" s="1"/>
      <c r="H67" s="1"/>
      <c r="I67" s="1"/>
      <c r="J67" s="101"/>
    </row>
    <row r="68" spans="1:10" x14ac:dyDescent="0.35">
      <c r="A68" s="1"/>
      <c r="B68" s="1"/>
      <c r="C68" s="1"/>
      <c r="D68" s="1"/>
      <c r="E68" s="1"/>
      <c r="F68" s="1"/>
      <c r="G68" s="1"/>
      <c r="H68" s="1"/>
      <c r="I68" s="1"/>
      <c r="J68" s="101"/>
    </row>
    <row r="69" spans="1:10" ht="108.5" customHeight="1" x14ac:dyDescent="0.35">
      <c r="A69" s="1"/>
      <c r="B69" s="1"/>
      <c r="C69" s="1"/>
      <c r="D69" s="1"/>
      <c r="E69" s="1"/>
      <c r="F69" s="1"/>
      <c r="G69" s="1"/>
      <c r="H69" s="1"/>
      <c r="I69" s="1"/>
      <c r="J69" s="101"/>
    </row>
    <row r="70" spans="1:10" s="1" customFormat="1" x14ac:dyDescent="0.35">
      <c r="J70" s="101"/>
    </row>
    <row r="71" spans="1:10" s="1" customFormat="1" ht="21.5" customHeight="1" x14ac:dyDescent="0.35">
      <c r="J71" s="101"/>
    </row>
    <row r="72" spans="1:10" s="1" customFormat="1" x14ac:dyDescent="0.35">
      <c r="J72" s="101"/>
    </row>
    <row r="73" spans="1:10" s="1" customFormat="1" x14ac:dyDescent="0.35">
      <c r="J73" s="101"/>
    </row>
    <row r="74" spans="1:10" s="1" customFormat="1" x14ac:dyDescent="0.35">
      <c r="J74" s="101"/>
    </row>
    <row r="75" spans="1:10" s="1" customFormat="1" x14ac:dyDescent="0.35">
      <c r="J75" s="101"/>
    </row>
    <row r="76" spans="1:10" s="1" customFormat="1" x14ac:dyDescent="0.35">
      <c r="J76" s="101"/>
    </row>
    <row r="77" spans="1:10" s="1" customFormat="1" x14ac:dyDescent="0.35">
      <c r="J77" s="101"/>
    </row>
    <row r="78" spans="1:10" s="1" customFormat="1" x14ac:dyDescent="0.35">
      <c r="J78" s="101"/>
    </row>
    <row r="79" spans="1:10" s="1" customFormat="1" x14ac:dyDescent="0.35">
      <c r="J79" s="101"/>
    </row>
    <row r="80" spans="1:10" s="1" customFormat="1" x14ac:dyDescent="0.35">
      <c r="J80" s="101"/>
    </row>
    <row r="81" spans="10:10" s="1" customFormat="1" x14ac:dyDescent="0.35">
      <c r="J81" s="101"/>
    </row>
    <row r="82" spans="10:10" s="1" customFormat="1" x14ac:dyDescent="0.35">
      <c r="J82" s="101"/>
    </row>
    <row r="83" spans="10:10" s="1" customFormat="1" x14ac:dyDescent="0.35">
      <c r="J83" s="101"/>
    </row>
    <row r="84" spans="10:10" s="1" customFormat="1" x14ac:dyDescent="0.35">
      <c r="J84" s="101"/>
    </row>
    <row r="85" spans="10:10" s="1" customFormat="1" x14ac:dyDescent="0.35">
      <c r="J85" s="101"/>
    </row>
    <row r="86" spans="10:10" s="1" customFormat="1" x14ac:dyDescent="0.35">
      <c r="J86" s="101"/>
    </row>
    <row r="87" spans="10:10" s="1" customFormat="1" x14ac:dyDescent="0.35">
      <c r="J87" s="101"/>
    </row>
    <row r="88" spans="10:10" s="1" customFormat="1" x14ac:dyDescent="0.35">
      <c r="J88" s="101"/>
    </row>
    <row r="89" spans="10:10" s="1" customFormat="1" x14ac:dyDescent="0.35">
      <c r="J89" s="101"/>
    </row>
    <row r="90" spans="10:10" s="1" customFormat="1" x14ac:dyDescent="0.35">
      <c r="J90" s="101"/>
    </row>
    <row r="91" spans="10:10" s="1" customFormat="1" x14ac:dyDescent="0.35">
      <c r="J91" s="101"/>
    </row>
    <row r="92" spans="10:10" s="1" customFormat="1" x14ac:dyDescent="0.35">
      <c r="J92" s="101"/>
    </row>
    <row r="93" spans="10:10" s="1" customFormat="1" x14ac:dyDescent="0.35">
      <c r="J93" s="101"/>
    </row>
    <row r="94" spans="10:10" s="1" customFormat="1" x14ac:dyDescent="0.35">
      <c r="J94" s="101"/>
    </row>
    <row r="95" spans="10:10" s="1" customFormat="1" x14ac:dyDescent="0.35">
      <c r="J95" s="101"/>
    </row>
    <row r="96" spans="10:10" s="1" customFormat="1" x14ac:dyDescent="0.35">
      <c r="J96" s="101"/>
    </row>
    <row r="97" spans="10:10" s="1" customFormat="1" x14ac:dyDescent="0.35">
      <c r="J97" s="101"/>
    </row>
    <row r="98" spans="10:10" s="1" customFormat="1" x14ac:dyDescent="0.35">
      <c r="J98" s="101"/>
    </row>
    <row r="99" spans="10:10" s="1" customFormat="1" x14ac:dyDescent="0.35">
      <c r="J99" s="101"/>
    </row>
    <row r="100" spans="10:10" s="1" customFormat="1" x14ac:dyDescent="0.35">
      <c r="J100" s="101"/>
    </row>
    <row r="101" spans="10:10" s="1" customFormat="1" x14ac:dyDescent="0.35">
      <c r="J101" s="101"/>
    </row>
    <row r="102" spans="10:10" s="1" customFormat="1" x14ac:dyDescent="0.35">
      <c r="J102" s="101"/>
    </row>
    <row r="103" spans="10:10" s="1" customFormat="1" x14ac:dyDescent="0.35">
      <c r="J103" s="101"/>
    </row>
    <row r="104" spans="10:10" s="1" customFormat="1" x14ac:dyDescent="0.35">
      <c r="J104" s="101"/>
    </row>
    <row r="105" spans="10:10" s="1" customFormat="1" x14ac:dyDescent="0.35">
      <c r="J105" s="101"/>
    </row>
    <row r="106" spans="10:10" s="1" customFormat="1" x14ac:dyDescent="0.35">
      <c r="J106" s="101"/>
    </row>
    <row r="107" spans="10:10" s="1" customFormat="1" x14ac:dyDescent="0.35">
      <c r="J107" s="101"/>
    </row>
    <row r="108" spans="10:10" s="1" customFormat="1" x14ac:dyDescent="0.35">
      <c r="J108" s="101"/>
    </row>
    <row r="109" spans="10:10" s="1" customFormat="1" x14ac:dyDescent="0.35">
      <c r="J109" s="101"/>
    </row>
    <row r="110" spans="10:10" s="1" customFormat="1" x14ac:dyDescent="0.35">
      <c r="J110" s="101"/>
    </row>
    <row r="111" spans="10:10" s="1" customFormat="1" x14ac:dyDescent="0.35">
      <c r="J111" s="101"/>
    </row>
    <row r="112" spans="10:10" s="1" customFormat="1" x14ac:dyDescent="0.35">
      <c r="J112" s="101"/>
    </row>
    <row r="113" spans="10:10" s="1" customFormat="1" x14ac:dyDescent="0.35">
      <c r="J113" s="101"/>
    </row>
    <row r="114" spans="10:10" s="1" customFormat="1" x14ac:dyDescent="0.35">
      <c r="J114" s="101"/>
    </row>
    <row r="115" spans="10:10" s="1" customFormat="1" x14ac:dyDescent="0.35">
      <c r="J115" s="101"/>
    </row>
    <row r="116" spans="10:10" s="1" customFormat="1" x14ac:dyDescent="0.35">
      <c r="J116" s="101"/>
    </row>
    <row r="117" spans="10:10" s="1" customFormat="1" x14ac:dyDescent="0.35">
      <c r="J117" s="101"/>
    </row>
    <row r="118" spans="10:10" s="1" customFormat="1" x14ac:dyDescent="0.35">
      <c r="J118" s="101"/>
    </row>
    <row r="119" spans="10:10" s="1" customFormat="1" x14ac:dyDescent="0.35">
      <c r="J119" s="101"/>
    </row>
    <row r="120" spans="10:10" s="1" customFormat="1" x14ac:dyDescent="0.35">
      <c r="J120" s="101"/>
    </row>
    <row r="121" spans="10:10" s="1" customFormat="1" x14ac:dyDescent="0.35">
      <c r="J121" s="101"/>
    </row>
    <row r="122" spans="10:10" s="1" customFormat="1" x14ac:dyDescent="0.35">
      <c r="J122" s="101"/>
    </row>
    <row r="123" spans="10:10" s="1" customFormat="1" x14ac:dyDescent="0.35">
      <c r="J123" s="101"/>
    </row>
    <row r="124" spans="10:10" s="1" customFormat="1" x14ac:dyDescent="0.35">
      <c r="J124" s="101"/>
    </row>
    <row r="125" spans="10:10" s="1" customFormat="1" x14ac:dyDescent="0.35">
      <c r="J125" s="101"/>
    </row>
    <row r="126" spans="10:10" s="1" customFormat="1" x14ac:dyDescent="0.35">
      <c r="J126" s="101"/>
    </row>
    <row r="127" spans="10:10" s="1" customFormat="1" x14ac:dyDescent="0.35">
      <c r="J127" s="101"/>
    </row>
    <row r="128" spans="10:10" s="1" customFormat="1" x14ac:dyDescent="0.35">
      <c r="J128" s="101"/>
    </row>
    <row r="129" spans="10:10" s="1" customFormat="1" x14ac:dyDescent="0.35">
      <c r="J129" s="101"/>
    </row>
    <row r="130" spans="10:10" s="1" customFormat="1" x14ac:dyDescent="0.35">
      <c r="J130" s="101"/>
    </row>
    <row r="131" spans="10:10" s="1" customFormat="1" x14ac:dyDescent="0.35">
      <c r="J131" s="101"/>
    </row>
    <row r="132" spans="10:10" s="1" customFormat="1" x14ac:dyDescent="0.35">
      <c r="J132" s="101"/>
    </row>
    <row r="133" spans="10:10" s="1" customFormat="1" x14ac:dyDescent="0.35">
      <c r="J133" s="101"/>
    </row>
    <row r="134" spans="10:10" s="1" customFormat="1" x14ac:dyDescent="0.35">
      <c r="J134" s="101"/>
    </row>
    <row r="135" spans="10:10" s="1" customFormat="1" x14ac:dyDescent="0.35">
      <c r="J135" s="101"/>
    </row>
    <row r="136" spans="10:10" s="1" customFormat="1" x14ac:dyDescent="0.35">
      <c r="J136" s="101"/>
    </row>
    <row r="137" spans="10:10" s="1" customFormat="1" x14ac:dyDescent="0.35">
      <c r="J137" s="101"/>
    </row>
    <row r="138" spans="10:10" s="1" customFormat="1" x14ac:dyDescent="0.35">
      <c r="J138" s="101"/>
    </row>
    <row r="139" spans="10:10" s="1" customFormat="1" x14ac:dyDescent="0.35">
      <c r="J139" s="101"/>
    </row>
    <row r="140" spans="10:10" s="1" customFormat="1" x14ac:dyDescent="0.35">
      <c r="J140" s="101"/>
    </row>
    <row r="141" spans="10:10" s="1" customFormat="1" x14ac:dyDescent="0.35">
      <c r="J141" s="101"/>
    </row>
    <row r="142" spans="10:10" s="1" customFormat="1" x14ac:dyDescent="0.35">
      <c r="J142" s="101"/>
    </row>
    <row r="143" spans="10:10" s="1" customFormat="1" x14ac:dyDescent="0.35">
      <c r="J143" s="101"/>
    </row>
    <row r="144" spans="10:10" s="1" customFormat="1" x14ac:dyDescent="0.35">
      <c r="J144" s="101"/>
    </row>
    <row r="145" spans="10:10" s="1" customFormat="1" x14ac:dyDescent="0.35">
      <c r="J145" s="101"/>
    </row>
    <row r="146" spans="10:10" s="1" customFormat="1" x14ac:dyDescent="0.35">
      <c r="J146" s="101"/>
    </row>
    <row r="147" spans="10:10" s="1" customFormat="1" x14ac:dyDescent="0.35">
      <c r="J147" s="101"/>
    </row>
    <row r="148" spans="10:10" s="1" customFormat="1" x14ac:dyDescent="0.35">
      <c r="J148" s="101"/>
    </row>
    <row r="149" spans="10:10" s="1" customFormat="1" x14ac:dyDescent="0.35">
      <c r="J149" s="101"/>
    </row>
    <row r="150" spans="10:10" s="1" customFormat="1" x14ac:dyDescent="0.35">
      <c r="J150" s="101"/>
    </row>
    <row r="151" spans="10:10" s="1" customFormat="1" x14ac:dyDescent="0.35">
      <c r="J151" s="101"/>
    </row>
    <row r="152" spans="10:10" s="1" customFormat="1" x14ac:dyDescent="0.35">
      <c r="J152" s="101"/>
    </row>
    <row r="153" spans="10:10" s="1" customFormat="1" x14ac:dyDescent="0.35">
      <c r="J153" s="101"/>
    </row>
    <row r="154" spans="10:10" s="1" customFormat="1" x14ac:dyDescent="0.35">
      <c r="J154" s="101"/>
    </row>
    <row r="155" spans="10:10" s="1" customFormat="1" x14ac:dyDescent="0.35">
      <c r="J155" s="101"/>
    </row>
    <row r="156" spans="10:10" s="1" customFormat="1" x14ac:dyDescent="0.35">
      <c r="J156" s="101"/>
    </row>
    <row r="157" spans="10:10" s="1" customFormat="1" x14ac:dyDescent="0.35">
      <c r="J157" s="101"/>
    </row>
    <row r="158" spans="10:10" s="1" customFormat="1" x14ac:dyDescent="0.35">
      <c r="J158" s="101"/>
    </row>
    <row r="159" spans="10:10" s="1" customFormat="1" x14ac:dyDescent="0.35">
      <c r="J159" s="101"/>
    </row>
    <row r="160" spans="10:10" s="1" customFormat="1" x14ac:dyDescent="0.35">
      <c r="J160" s="101"/>
    </row>
    <row r="161" spans="10:10" s="1" customFormat="1" x14ac:dyDescent="0.35">
      <c r="J161" s="101"/>
    </row>
    <row r="162" spans="10:10" s="1" customFormat="1" x14ac:dyDescent="0.35">
      <c r="J162" s="101"/>
    </row>
    <row r="163" spans="10:10" s="1" customFormat="1" x14ac:dyDescent="0.35">
      <c r="J163" s="101"/>
    </row>
    <row r="164" spans="10:10" s="1" customFormat="1" x14ac:dyDescent="0.35">
      <c r="J164" s="101"/>
    </row>
    <row r="165" spans="10:10" s="1" customFormat="1" x14ac:dyDescent="0.35">
      <c r="J165" s="101"/>
    </row>
    <row r="166" spans="10:10" s="1" customFormat="1" x14ac:dyDescent="0.35">
      <c r="J166" s="101"/>
    </row>
    <row r="167" spans="10:10" s="1" customFormat="1" x14ac:dyDescent="0.35">
      <c r="J167" s="101"/>
    </row>
    <row r="168" spans="10:10" s="1" customFormat="1" x14ac:dyDescent="0.35">
      <c r="J168" s="101"/>
    </row>
    <row r="169" spans="10:10" s="1" customFormat="1" x14ac:dyDescent="0.35">
      <c r="J169" s="101"/>
    </row>
    <row r="170" spans="10:10" s="1" customFormat="1" x14ac:dyDescent="0.35">
      <c r="J170" s="101"/>
    </row>
    <row r="171" spans="10:10" s="1" customFormat="1" x14ac:dyDescent="0.35">
      <c r="J171" s="101"/>
    </row>
    <row r="172" spans="10:10" s="1" customFormat="1" x14ac:dyDescent="0.35">
      <c r="J172" s="101"/>
    </row>
    <row r="173" spans="10:10" s="1" customFormat="1" x14ac:dyDescent="0.35">
      <c r="J173" s="101"/>
    </row>
    <row r="174" spans="10:10" s="1" customFormat="1" x14ac:dyDescent="0.35">
      <c r="J174" s="101"/>
    </row>
    <row r="175" spans="10:10" s="1" customFormat="1" x14ac:dyDescent="0.35">
      <c r="J175" s="101"/>
    </row>
    <row r="176" spans="10:10" s="1" customFormat="1" x14ac:dyDescent="0.35">
      <c r="J176" s="101"/>
    </row>
    <row r="177" spans="10:10" s="1" customFormat="1" x14ac:dyDescent="0.35">
      <c r="J177" s="101"/>
    </row>
    <row r="178" spans="10:10" s="1" customFormat="1" x14ac:dyDescent="0.35">
      <c r="J178" s="101"/>
    </row>
    <row r="179" spans="10:10" s="1" customFormat="1" x14ac:dyDescent="0.35">
      <c r="J179" s="101"/>
    </row>
    <row r="180" spans="10:10" s="1" customFormat="1" x14ac:dyDescent="0.35">
      <c r="J180" s="101"/>
    </row>
    <row r="181" spans="10:10" s="1" customFormat="1" x14ac:dyDescent="0.35">
      <c r="J181" s="101"/>
    </row>
    <row r="182" spans="10:10" s="1" customFormat="1" x14ac:dyDescent="0.35">
      <c r="J182" s="101"/>
    </row>
    <row r="183" spans="10:10" s="1" customFormat="1" x14ac:dyDescent="0.35">
      <c r="J183" s="101"/>
    </row>
    <row r="184" spans="10:10" s="1" customFormat="1" x14ac:dyDescent="0.35">
      <c r="J184" s="101"/>
    </row>
    <row r="185" spans="10:10" s="1" customFormat="1" x14ac:dyDescent="0.35">
      <c r="J185" s="101"/>
    </row>
    <row r="186" spans="10:10" s="1" customFormat="1" x14ac:dyDescent="0.35">
      <c r="J186" s="101"/>
    </row>
    <row r="187" spans="10:10" s="1" customFormat="1" x14ac:dyDescent="0.35">
      <c r="J187" s="101"/>
    </row>
    <row r="188" spans="10:10" s="1" customFormat="1" x14ac:dyDescent="0.35">
      <c r="J188" s="101"/>
    </row>
    <row r="189" spans="10:10" s="1" customFormat="1" x14ac:dyDescent="0.35">
      <c r="J189" s="101"/>
    </row>
    <row r="190" spans="10:10" s="1" customFormat="1" x14ac:dyDescent="0.35">
      <c r="J190" s="101"/>
    </row>
    <row r="191" spans="10:10" s="1" customFormat="1" x14ac:dyDescent="0.35">
      <c r="J191" s="101"/>
    </row>
    <row r="192" spans="10:10" s="1" customFormat="1" x14ac:dyDescent="0.35">
      <c r="J192" s="101"/>
    </row>
    <row r="193" spans="10:10" s="1" customFormat="1" x14ac:dyDescent="0.35">
      <c r="J193" s="101"/>
    </row>
    <row r="194" spans="10:10" s="1" customFormat="1" x14ac:dyDescent="0.35">
      <c r="J194" s="101"/>
    </row>
    <row r="195" spans="10:10" s="1" customFormat="1" x14ac:dyDescent="0.35">
      <c r="J195" s="101"/>
    </row>
    <row r="196" spans="10:10" s="1" customFormat="1" x14ac:dyDescent="0.35">
      <c r="J196" s="101"/>
    </row>
    <row r="197" spans="10:10" s="1" customFormat="1" x14ac:dyDescent="0.35">
      <c r="J197" s="101"/>
    </row>
    <row r="198" spans="10:10" s="1" customFormat="1" x14ac:dyDescent="0.35">
      <c r="J198" s="101"/>
    </row>
    <row r="199" spans="10:10" s="1" customFormat="1" x14ac:dyDescent="0.35">
      <c r="J199" s="101"/>
    </row>
    <row r="200" spans="10:10" s="1" customFormat="1" x14ac:dyDescent="0.35">
      <c r="J200" s="101"/>
    </row>
    <row r="201" spans="10:10" s="1" customFormat="1" x14ac:dyDescent="0.35">
      <c r="J201" s="101"/>
    </row>
    <row r="202" spans="10:10" s="1" customFormat="1" x14ac:dyDescent="0.35">
      <c r="J202" s="101"/>
    </row>
    <row r="203" spans="10:10" s="1" customFormat="1" x14ac:dyDescent="0.35">
      <c r="J203" s="101"/>
    </row>
    <row r="204" spans="10:10" s="1" customFormat="1" x14ac:dyDescent="0.35">
      <c r="J204" s="101"/>
    </row>
    <row r="205" spans="10:10" s="1" customFormat="1" x14ac:dyDescent="0.35">
      <c r="J205" s="101"/>
    </row>
    <row r="206" spans="10:10" s="1" customFormat="1" x14ac:dyDescent="0.35">
      <c r="J206" s="101"/>
    </row>
    <row r="207" spans="10:10" s="1" customFormat="1" x14ac:dyDescent="0.35">
      <c r="J207" s="101"/>
    </row>
    <row r="208" spans="10:10" s="1" customFormat="1" x14ac:dyDescent="0.35">
      <c r="J208" s="101"/>
    </row>
    <row r="209" spans="10:10" s="1" customFormat="1" x14ac:dyDescent="0.35">
      <c r="J209" s="101"/>
    </row>
    <row r="210" spans="10:10" s="1" customFormat="1" x14ac:dyDescent="0.35">
      <c r="J210" s="101"/>
    </row>
    <row r="211" spans="10:10" s="1" customFormat="1" x14ac:dyDescent="0.35">
      <c r="J211" s="101"/>
    </row>
    <row r="212" spans="10:10" s="1" customFormat="1" x14ac:dyDescent="0.35">
      <c r="J212" s="101"/>
    </row>
    <row r="213" spans="10:10" s="1" customFormat="1" x14ac:dyDescent="0.35">
      <c r="J213" s="101"/>
    </row>
    <row r="214" spans="10:10" s="1" customFormat="1" x14ac:dyDescent="0.35">
      <c r="J214" s="101"/>
    </row>
    <row r="215" spans="10:10" s="1" customFormat="1" x14ac:dyDescent="0.35">
      <c r="J215" s="101"/>
    </row>
    <row r="216" spans="10:10" s="1" customFormat="1" x14ac:dyDescent="0.35">
      <c r="J216" s="101"/>
    </row>
    <row r="217" spans="10:10" s="1" customFormat="1" x14ac:dyDescent="0.35">
      <c r="J217" s="101"/>
    </row>
    <row r="218" spans="10:10" s="1" customFormat="1" x14ac:dyDescent="0.35">
      <c r="J218" s="101"/>
    </row>
    <row r="219" spans="10:10" s="1" customFormat="1" x14ac:dyDescent="0.35">
      <c r="J219" s="101"/>
    </row>
    <row r="220" spans="10:10" s="1" customFormat="1" x14ac:dyDescent="0.35">
      <c r="J220" s="101"/>
    </row>
    <row r="221" spans="10:10" s="1" customFormat="1" x14ac:dyDescent="0.35">
      <c r="J221" s="101"/>
    </row>
    <row r="222" spans="10:10" s="1" customFormat="1" x14ac:dyDescent="0.35">
      <c r="J222" s="101"/>
    </row>
    <row r="223" spans="10:10" s="1" customFormat="1" x14ac:dyDescent="0.35">
      <c r="J223" s="101"/>
    </row>
    <row r="224" spans="10:10" s="1" customFormat="1" x14ac:dyDescent="0.35">
      <c r="J224" s="101"/>
    </row>
    <row r="225" spans="10:10" s="1" customFormat="1" x14ac:dyDescent="0.35">
      <c r="J225" s="101"/>
    </row>
    <row r="226" spans="10:10" s="1" customFormat="1" x14ac:dyDescent="0.35">
      <c r="J226" s="101"/>
    </row>
    <row r="227" spans="10:10" s="1" customFormat="1" x14ac:dyDescent="0.35">
      <c r="J227" s="101"/>
    </row>
    <row r="228" spans="10:10" s="1" customFormat="1" x14ac:dyDescent="0.35">
      <c r="J228" s="101"/>
    </row>
    <row r="229" spans="10:10" s="1" customFormat="1" x14ac:dyDescent="0.35">
      <c r="J229" s="101"/>
    </row>
    <row r="230" spans="10:10" s="1" customFormat="1" x14ac:dyDescent="0.35">
      <c r="J230" s="101"/>
    </row>
    <row r="231" spans="10:10" s="1" customFormat="1" x14ac:dyDescent="0.35">
      <c r="J231" s="101"/>
    </row>
    <row r="232" spans="10:10" s="1" customFormat="1" x14ac:dyDescent="0.35">
      <c r="J232" s="101"/>
    </row>
    <row r="233" spans="10:10" s="1" customFormat="1" x14ac:dyDescent="0.35">
      <c r="J233" s="101"/>
    </row>
    <row r="234" spans="10:10" s="1" customFormat="1" x14ac:dyDescent="0.35">
      <c r="J234" s="101"/>
    </row>
    <row r="235" spans="10:10" s="1" customFormat="1" x14ac:dyDescent="0.35">
      <c r="J235" s="101"/>
    </row>
    <row r="236" spans="10:10" s="1" customFormat="1" x14ac:dyDescent="0.35">
      <c r="J236" s="101"/>
    </row>
    <row r="237" spans="10:10" s="1" customFormat="1" x14ac:dyDescent="0.35">
      <c r="J237" s="101"/>
    </row>
    <row r="238" spans="10:10" s="1" customFormat="1" x14ac:dyDescent="0.35">
      <c r="J238" s="101"/>
    </row>
    <row r="239" spans="10:10" s="1" customFormat="1" x14ac:dyDescent="0.35">
      <c r="J239" s="101"/>
    </row>
    <row r="240" spans="10:10" s="1" customFormat="1" x14ac:dyDescent="0.35">
      <c r="J240" s="101"/>
    </row>
    <row r="241" spans="10:10" s="1" customFormat="1" x14ac:dyDescent="0.35">
      <c r="J241" s="101"/>
    </row>
    <row r="242" spans="10:10" s="1" customFormat="1" x14ac:dyDescent="0.35">
      <c r="J242" s="101"/>
    </row>
    <row r="243" spans="10:10" s="1" customFormat="1" x14ac:dyDescent="0.35">
      <c r="J243" s="101"/>
    </row>
    <row r="244" spans="10:10" s="1" customFormat="1" x14ac:dyDescent="0.35">
      <c r="J244" s="101"/>
    </row>
    <row r="245" spans="10:10" s="1" customFormat="1" x14ac:dyDescent="0.35">
      <c r="J245" s="101"/>
    </row>
    <row r="246" spans="10:10" s="1" customFormat="1" x14ac:dyDescent="0.35">
      <c r="J246" s="101"/>
    </row>
    <row r="247" spans="10:10" s="1" customFormat="1" x14ac:dyDescent="0.35">
      <c r="J247" s="101"/>
    </row>
    <row r="248" spans="10:10" s="1" customFormat="1" x14ac:dyDescent="0.35">
      <c r="J248" s="101"/>
    </row>
    <row r="249" spans="10:10" s="1" customFormat="1" x14ac:dyDescent="0.35">
      <c r="J249" s="101"/>
    </row>
    <row r="250" spans="10:10" s="1" customFormat="1" x14ac:dyDescent="0.35">
      <c r="J250" s="101"/>
    </row>
  </sheetData>
  <mergeCells count="8">
    <mergeCell ref="I1:I2"/>
    <mergeCell ref="F1:F2"/>
    <mergeCell ref="E1:E2"/>
    <mergeCell ref="B1:B2"/>
    <mergeCell ref="C1:C2"/>
    <mergeCell ref="D1:D2"/>
    <mergeCell ref="G1:G2"/>
    <mergeCell ref="H1:H2"/>
  </mergeCells>
  <pageMargins left="0.7" right="0.7" top="0.75" bottom="0.75" header="0.3" footer="0.3"/>
  <ignoredErrors>
    <ignoredError sqref="H17:I17 H22 I7 H6" formulaRange="1"/>
  </ignoredError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30B4-D353-4C27-B662-54B8944AC69B}">
  <sheetPr>
    <tabColor theme="7" tint="0.59999389629810485"/>
  </sheetPr>
  <dimension ref="A1:CK205"/>
  <sheetViews>
    <sheetView zoomScale="85" zoomScaleNormal="85" workbookViewId="0">
      <selection activeCell="E6" sqref="A1:XFD1048576"/>
    </sheetView>
  </sheetViews>
  <sheetFormatPr baseColWidth="10" defaultRowHeight="14.5" x14ac:dyDescent="0.35"/>
  <cols>
    <col min="1" max="1" width="13.36328125" customWidth="1"/>
    <col min="2" max="2" width="16.36328125" customWidth="1"/>
    <col min="3" max="3" width="14.90625" customWidth="1"/>
    <col min="4" max="4" width="28.08984375" customWidth="1"/>
    <col min="5" max="5" width="24.54296875" customWidth="1"/>
    <col min="6" max="6" width="20.08984375" customWidth="1"/>
    <col min="7" max="7" width="16.36328125" bestFit="1" customWidth="1"/>
    <col min="8" max="8" width="18.36328125" bestFit="1" customWidth="1"/>
    <col min="9" max="10" width="18.36328125" customWidth="1"/>
    <col min="11" max="11" width="18.7265625" customWidth="1"/>
    <col min="12" max="12" width="18.7265625" style="1" customWidth="1"/>
    <col min="13" max="89" width="10.90625" style="1"/>
  </cols>
  <sheetData>
    <row r="1" spans="1:89" s="5" customFormat="1" ht="45.5" customHeight="1" x14ac:dyDescent="0.35">
      <c r="A1" s="388" t="s">
        <v>188</v>
      </c>
      <c r="B1" s="733" t="s">
        <v>162</v>
      </c>
      <c r="C1" s="733"/>
      <c r="D1" s="736" t="s">
        <v>196</v>
      </c>
      <c r="E1" s="736" t="s">
        <v>200</v>
      </c>
      <c r="F1" s="125" t="s">
        <v>169</v>
      </c>
      <c r="G1" s="738" t="s">
        <v>190</v>
      </c>
      <c r="H1" s="639" t="s">
        <v>189</v>
      </c>
      <c r="I1" s="635" t="s">
        <v>133</v>
      </c>
      <c r="J1" s="734" t="s">
        <v>134</v>
      </c>
      <c r="K1" s="307" t="s">
        <v>153</v>
      </c>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row>
    <row r="2" spans="1:89" s="5" customFormat="1" ht="49" customHeight="1" thickBot="1" x14ac:dyDescent="0.4">
      <c r="A2" s="398" t="s">
        <v>62</v>
      </c>
      <c r="B2" s="369" t="s">
        <v>164</v>
      </c>
      <c r="C2" s="391" t="s">
        <v>125</v>
      </c>
      <c r="D2" s="737"/>
      <c r="E2" s="737"/>
      <c r="F2" s="9" t="s">
        <v>170</v>
      </c>
      <c r="G2" s="739"/>
      <c r="H2" s="730"/>
      <c r="I2" s="653"/>
      <c r="J2" s="735"/>
      <c r="K2" s="377" t="s">
        <v>158</v>
      </c>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row>
    <row r="3" spans="1:89" ht="58" x14ac:dyDescent="0.35">
      <c r="A3" s="272" t="s">
        <v>21</v>
      </c>
      <c r="B3" s="273"/>
      <c r="C3" s="273"/>
      <c r="D3" s="360">
        <v>46100</v>
      </c>
      <c r="E3" s="277">
        <v>2386</v>
      </c>
      <c r="F3" s="273"/>
      <c r="G3" s="281">
        <v>4922</v>
      </c>
      <c r="H3" s="301">
        <v>2386</v>
      </c>
      <c r="I3" s="301">
        <v>2386</v>
      </c>
      <c r="J3" s="360">
        <v>46100</v>
      </c>
      <c r="K3" s="308" t="s">
        <v>156</v>
      </c>
    </row>
    <row r="4" spans="1:89" x14ac:dyDescent="0.35">
      <c r="A4" s="75" t="s">
        <v>22</v>
      </c>
      <c r="B4" s="132"/>
      <c r="C4" s="132"/>
      <c r="D4" s="132"/>
      <c r="E4" s="132"/>
      <c r="F4" s="132"/>
      <c r="G4" s="166"/>
      <c r="H4" s="165">
        <v>0</v>
      </c>
      <c r="I4" s="132"/>
      <c r="J4" s="141"/>
      <c r="K4" s="178"/>
    </row>
    <row r="5" spans="1:89" x14ac:dyDescent="0.35">
      <c r="A5" s="75" t="s">
        <v>66</v>
      </c>
      <c r="B5" s="132"/>
      <c r="C5" s="132"/>
      <c r="D5" s="132"/>
      <c r="E5" s="132"/>
      <c r="F5" s="132"/>
      <c r="G5" s="166"/>
      <c r="H5" s="165">
        <v>0</v>
      </c>
      <c r="I5" s="132"/>
      <c r="J5" s="141"/>
      <c r="K5" s="178"/>
    </row>
    <row r="6" spans="1:89" ht="18.5" customHeight="1" x14ac:dyDescent="0.35">
      <c r="A6" s="233" t="s">
        <v>67</v>
      </c>
      <c r="B6" s="27">
        <v>64405</v>
      </c>
      <c r="C6" s="26"/>
      <c r="D6" s="26"/>
      <c r="E6" s="26"/>
      <c r="F6" s="26"/>
      <c r="G6" s="155">
        <v>13663</v>
      </c>
      <c r="H6" s="68">
        <v>64405</v>
      </c>
      <c r="I6" s="155">
        <v>13663</v>
      </c>
      <c r="J6" s="68">
        <v>64405</v>
      </c>
      <c r="K6" s="224" t="s">
        <v>159</v>
      </c>
    </row>
    <row r="7" spans="1:89" x14ac:dyDescent="0.35">
      <c r="A7" s="233" t="s">
        <v>68</v>
      </c>
      <c r="B7" s="132"/>
      <c r="C7" s="132"/>
      <c r="D7" s="132"/>
      <c r="E7" s="132"/>
      <c r="F7" s="132"/>
      <c r="G7" s="166"/>
      <c r="H7" s="165">
        <v>0</v>
      </c>
      <c r="I7" s="132"/>
      <c r="J7" s="141"/>
      <c r="K7" s="180"/>
    </row>
    <row r="8" spans="1:89" x14ac:dyDescent="0.35">
      <c r="A8" s="64" t="s">
        <v>24</v>
      </c>
      <c r="B8" s="20"/>
      <c r="C8" s="20"/>
      <c r="D8" s="35">
        <v>459000</v>
      </c>
      <c r="E8" s="20"/>
      <c r="F8" s="20"/>
      <c r="G8" s="33"/>
      <c r="H8" s="81">
        <v>459000</v>
      </c>
      <c r="I8" s="81">
        <v>459000</v>
      </c>
      <c r="J8" s="81">
        <v>459000</v>
      </c>
      <c r="K8" s="160" t="s">
        <v>150</v>
      </c>
    </row>
    <row r="9" spans="1:89" ht="20" customHeight="1" x14ac:dyDescent="0.35">
      <c r="A9" s="233" t="s">
        <v>69</v>
      </c>
      <c r="B9" s="27">
        <v>2335</v>
      </c>
      <c r="C9" s="27">
        <v>3605</v>
      </c>
      <c r="D9" s="26"/>
      <c r="E9" s="43">
        <v>597</v>
      </c>
      <c r="F9" s="27">
        <v>2175</v>
      </c>
      <c r="G9" s="155">
        <v>6520</v>
      </c>
      <c r="H9" s="270">
        <v>2175</v>
      </c>
      <c r="I9" s="43">
        <v>597</v>
      </c>
      <c r="J9" s="59">
        <v>3605</v>
      </c>
      <c r="K9" s="224" t="s">
        <v>154</v>
      </c>
    </row>
    <row r="10" spans="1:89" x14ac:dyDescent="0.35">
      <c r="A10" s="253" t="s">
        <v>27</v>
      </c>
      <c r="B10" s="132"/>
      <c r="C10" s="132"/>
      <c r="D10" s="132"/>
      <c r="E10" s="132"/>
      <c r="F10" s="132"/>
      <c r="G10" s="166"/>
      <c r="H10" s="165">
        <v>0</v>
      </c>
      <c r="I10" s="132"/>
      <c r="J10" s="141"/>
      <c r="K10" s="180"/>
    </row>
    <row r="11" spans="1:89" x14ac:dyDescent="0.35">
      <c r="A11" s="233" t="s">
        <v>28</v>
      </c>
      <c r="B11" s="132"/>
      <c r="C11" s="132"/>
      <c r="D11" s="132"/>
      <c r="E11" s="132"/>
      <c r="F11" s="132"/>
      <c r="G11" s="166"/>
      <c r="H11" s="165">
        <v>0</v>
      </c>
      <c r="I11" s="132"/>
      <c r="J11" s="141"/>
      <c r="K11" s="180"/>
    </row>
    <row r="12" spans="1:89" x14ac:dyDescent="0.35">
      <c r="A12" s="233" t="s">
        <v>70</v>
      </c>
      <c r="B12" s="132"/>
      <c r="C12" s="132"/>
      <c r="D12" s="132"/>
      <c r="E12" s="132"/>
      <c r="F12" s="132"/>
      <c r="G12" s="166"/>
      <c r="H12" s="165">
        <v>0</v>
      </c>
      <c r="I12" s="132"/>
      <c r="J12" s="141"/>
      <c r="K12" s="180"/>
    </row>
    <row r="13" spans="1:89" x14ac:dyDescent="0.35">
      <c r="A13" s="64" t="s">
        <v>29</v>
      </c>
      <c r="B13" s="132"/>
      <c r="C13" s="132"/>
      <c r="D13" s="132"/>
      <c r="E13" s="132"/>
      <c r="F13" s="132"/>
      <c r="G13" s="166"/>
      <c r="H13" s="165">
        <v>0</v>
      </c>
      <c r="I13" s="132"/>
      <c r="J13" s="141"/>
      <c r="K13" s="180"/>
    </row>
    <row r="14" spans="1:89" x14ac:dyDescent="0.35">
      <c r="A14" s="75" t="s">
        <v>30</v>
      </c>
      <c r="B14" s="132"/>
      <c r="C14" s="132"/>
      <c r="D14" s="132"/>
      <c r="E14" s="132"/>
      <c r="F14" s="132"/>
      <c r="G14" s="166"/>
      <c r="H14" s="165">
        <v>0</v>
      </c>
      <c r="I14" s="132"/>
      <c r="J14" s="141"/>
      <c r="K14" s="180"/>
    </row>
    <row r="15" spans="1:89" x14ac:dyDescent="0.35">
      <c r="A15" s="233" t="s">
        <v>31</v>
      </c>
      <c r="B15" s="132"/>
      <c r="C15" s="132"/>
      <c r="D15" s="132"/>
      <c r="E15" s="132"/>
      <c r="F15" s="132"/>
      <c r="G15" s="166"/>
      <c r="H15" s="165">
        <v>0</v>
      </c>
      <c r="I15" s="132"/>
      <c r="J15" s="141"/>
      <c r="K15" s="180"/>
    </row>
    <row r="16" spans="1:89" x14ac:dyDescent="0.35">
      <c r="A16" s="75" t="s">
        <v>32</v>
      </c>
      <c r="B16" s="26"/>
      <c r="C16" s="26"/>
      <c r="D16" s="26"/>
      <c r="E16" s="26"/>
      <c r="F16" s="26"/>
      <c r="G16" s="164">
        <v>2097520</v>
      </c>
      <c r="H16" s="325"/>
      <c r="I16" s="326"/>
      <c r="J16" s="327"/>
      <c r="K16" s="187"/>
    </row>
    <row r="17" spans="1:11" x14ac:dyDescent="0.35">
      <c r="A17" s="75" t="s">
        <v>34</v>
      </c>
      <c r="B17" s="26"/>
      <c r="C17" s="26"/>
      <c r="D17" s="26"/>
      <c r="E17" s="26"/>
      <c r="F17" s="26"/>
      <c r="G17" s="206">
        <v>416</v>
      </c>
      <c r="H17" s="325">
        <v>0</v>
      </c>
      <c r="I17" s="326"/>
      <c r="J17" s="327"/>
      <c r="K17" s="187"/>
    </row>
    <row r="18" spans="1:11" x14ac:dyDescent="0.35">
      <c r="A18" s="233" t="s">
        <v>36</v>
      </c>
      <c r="B18" s="26"/>
      <c r="C18" s="26"/>
      <c r="D18" s="26"/>
      <c r="E18" s="26"/>
      <c r="F18" s="26"/>
      <c r="G18" s="206">
        <v>208</v>
      </c>
      <c r="H18" s="325">
        <v>0</v>
      </c>
      <c r="I18" s="326"/>
      <c r="J18" s="327"/>
      <c r="K18" s="187"/>
    </row>
    <row r="19" spans="1:11" ht="16.5" customHeight="1" x14ac:dyDescent="0.35">
      <c r="A19" s="233" t="s">
        <v>37</v>
      </c>
      <c r="B19" s="20"/>
      <c r="C19" s="27">
        <v>4325</v>
      </c>
      <c r="D19" s="26"/>
      <c r="E19" s="26"/>
      <c r="F19" s="26"/>
      <c r="G19" s="155">
        <v>9455</v>
      </c>
      <c r="H19" s="270">
        <v>4325</v>
      </c>
      <c r="I19" s="270">
        <v>4325</v>
      </c>
      <c r="J19" s="270">
        <v>4325</v>
      </c>
      <c r="K19" s="224" t="s">
        <v>160</v>
      </c>
    </row>
    <row r="20" spans="1:11" x14ac:dyDescent="0.35">
      <c r="A20" s="233" t="s">
        <v>71</v>
      </c>
      <c r="B20" s="20"/>
      <c r="C20" s="40">
        <v>7209</v>
      </c>
      <c r="D20" s="26"/>
      <c r="E20" s="26"/>
      <c r="F20" s="26"/>
      <c r="G20" s="162"/>
      <c r="H20" s="56">
        <v>7209</v>
      </c>
      <c r="I20" s="56">
        <v>7209</v>
      </c>
      <c r="J20" s="56">
        <v>7209</v>
      </c>
      <c r="K20" s="224"/>
    </row>
    <row r="21" spans="1:11" x14ac:dyDescent="0.35">
      <c r="A21" s="253" t="s">
        <v>38</v>
      </c>
      <c r="B21" s="268"/>
      <c r="C21" s="268"/>
      <c r="D21" s="268"/>
      <c r="E21" s="268"/>
      <c r="F21" s="268"/>
      <c r="G21" s="269"/>
      <c r="H21" s="168">
        <v>0</v>
      </c>
      <c r="I21" s="131"/>
      <c r="J21" s="163"/>
      <c r="K21" s="187"/>
    </row>
    <row r="22" spans="1:11" ht="15" customHeight="1" x14ac:dyDescent="0.35">
      <c r="A22" s="233" t="s">
        <v>39</v>
      </c>
      <c r="B22" s="20"/>
      <c r="C22" s="43">
        <v>120155</v>
      </c>
      <c r="D22" s="26"/>
      <c r="E22" s="26"/>
      <c r="F22" s="26"/>
      <c r="G22" s="164">
        <v>12023</v>
      </c>
      <c r="H22" s="126">
        <v>120155</v>
      </c>
      <c r="I22" s="43">
        <f>G22</f>
        <v>12023</v>
      </c>
      <c r="J22" s="43">
        <v>120155</v>
      </c>
      <c r="K22" s="224" t="s">
        <v>161</v>
      </c>
    </row>
    <row r="23" spans="1:11" x14ac:dyDescent="0.35">
      <c r="A23" s="233" t="s">
        <v>41</v>
      </c>
      <c r="B23" s="20"/>
      <c r="C23" s="40">
        <v>128</v>
      </c>
      <c r="D23" s="26"/>
      <c r="E23" s="26"/>
      <c r="F23" s="26"/>
      <c r="G23" s="162"/>
      <c r="H23" s="56">
        <v>128</v>
      </c>
      <c r="I23" s="56">
        <v>128</v>
      </c>
      <c r="J23" s="56">
        <v>128</v>
      </c>
      <c r="K23" s="224" t="s">
        <v>150</v>
      </c>
    </row>
    <row r="24" spans="1:11" x14ac:dyDescent="0.35">
      <c r="A24" s="64" t="s">
        <v>42</v>
      </c>
      <c r="B24" s="20"/>
      <c r="C24" s="20"/>
      <c r="D24" s="20"/>
      <c r="E24" s="35">
        <v>732</v>
      </c>
      <c r="F24" s="20"/>
      <c r="G24" s="33"/>
      <c r="H24" s="35">
        <v>732</v>
      </c>
      <c r="I24" s="35">
        <v>732</v>
      </c>
      <c r="J24" s="35">
        <v>732</v>
      </c>
      <c r="K24" s="224" t="s">
        <v>150</v>
      </c>
    </row>
    <row r="25" spans="1:11" x14ac:dyDescent="0.35">
      <c r="A25" s="253" t="s">
        <v>43</v>
      </c>
      <c r="B25" s="132"/>
      <c r="C25" s="132"/>
      <c r="D25" s="132"/>
      <c r="E25" s="132"/>
      <c r="F25" s="132"/>
      <c r="G25" s="166"/>
      <c r="H25" s="165">
        <v>0</v>
      </c>
      <c r="I25" s="132"/>
      <c r="J25" s="141"/>
      <c r="K25" s="178"/>
    </row>
    <row r="26" spans="1:11" x14ac:dyDescent="0.35">
      <c r="A26" s="75" t="s">
        <v>44</v>
      </c>
      <c r="B26" s="132"/>
      <c r="C26" s="132"/>
      <c r="D26" s="132"/>
      <c r="E26" s="132"/>
      <c r="F26" s="132"/>
      <c r="G26" s="166"/>
      <c r="H26" s="165">
        <v>0</v>
      </c>
      <c r="I26" s="132"/>
      <c r="J26" s="141"/>
      <c r="K26" s="178"/>
    </row>
    <row r="27" spans="1:11" x14ac:dyDescent="0.35">
      <c r="A27" s="75" t="s">
        <v>45</v>
      </c>
      <c r="B27" s="132"/>
      <c r="C27" s="132"/>
      <c r="D27" s="132"/>
      <c r="E27" s="132"/>
      <c r="F27" s="132"/>
      <c r="G27" s="166"/>
      <c r="H27" s="165">
        <v>0</v>
      </c>
      <c r="I27" s="132"/>
      <c r="J27" s="141"/>
      <c r="K27" s="178"/>
    </row>
    <row r="28" spans="1:11" x14ac:dyDescent="0.35">
      <c r="A28" s="75" t="s">
        <v>46</v>
      </c>
      <c r="B28" s="132"/>
      <c r="C28" s="132"/>
      <c r="D28" s="132"/>
      <c r="E28" s="132"/>
      <c r="F28" s="132"/>
      <c r="G28" s="166"/>
      <c r="H28" s="165">
        <v>0</v>
      </c>
      <c r="I28" s="132"/>
      <c r="J28" s="141"/>
      <c r="K28" s="178"/>
    </row>
    <row r="29" spans="1:11" ht="43.5" x14ac:dyDescent="0.35">
      <c r="A29" s="75" t="s">
        <v>48</v>
      </c>
      <c r="B29" s="27">
        <f>10800+342400+(2000+476000)/2</f>
        <v>592200</v>
      </c>
      <c r="C29" s="27">
        <v>818000</v>
      </c>
      <c r="D29" s="27">
        <v>356000</v>
      </c>
      <c r="E29" s="27">
        <v>136433</v>
      </c>
      <c r="F29" s="26"/>
      <c r="G29" s="162"/>
      <c r="H29" s="62">
        <f>AVERAGE(B29:E29)</f>
        <v>475658.25</v>
      </c>
      <c r="I29" s="61">
        <f>MIN(B29:E29)</f>
        <v>136433</v>
      </c>
      <c r="J29" s="361">
        <f>MAX(B29:E29)</f>
        <v>818000</v>
      </c>
      <c r="K29" s="224" t="s">
        <v>155</v>
      </c>
    </row>
    <row r="30" spans="1:11" ht="58" x14ac:dyDescent="0.35">
      <c r="A30" s="233" t="s">
        <v>50</v>
      </c>
      <c r="B30" s="20"/>
      <c r="C30" s="40">
        <v>64</v>
      </c>
      <c r="D30" s="26"/>
      <c r="E30" s="26"/>
      <c r="F30" s="26"/>
      <c r="G30" s="164">
        <v>0.1</v>
      </c>
      <c r="H30" s="126">
        <v>64</v>
      </c>
      <c r="I30" s="45">
        <f>G30</f>
        <v>0.1</v>
      </c>
      <c r="J30" s="126">
        <v>64</v>
      </c>
      <c r="K30" s="224" t="s">
        <v>161</v>
      </c>
    </row>
    <row r="31" spans="1:11" x14ac:dyDescent="0.35">
      <c r="A31" s="233" t="s">
        <v>51</v>
      </c>
      <c r="B31" s="132"/>
      <c r="C31" s="132"/>
      <c r="D31" s="132"/>
      <c r="E31" s="132"/>
      <c r="F31" s="132"/>
      <c r="G31" s="166"/>
      <c r="H31" s="165">
        <v>0</v>
      </c>
      <c r="I31" s="132"/>
      <c r="J31" s="141"/>
      <c r="K31" s="178"/>
    </row>
    <row r="32" spans="1:11" x14ac:dyDescent="0.35">
      <c r="A32" s="253" t="s">
        <v>53</v>
      </c>
      <c r="B32" s="132"/>
      <c r="C32" s="132"/>
      <c r="D32" s="132"/>
      <c r="E32" s="132"/>
      <c r="F32" s="132"/>
      <c r="G32" s="166"/>
      <c r="H32" s="165">
        <v>0</v>
      </c>
      <c r="I32" s="132"/>
      <c r="J32" s="141"/>
      <c r="K32" s="178"/>
    </row>
    <row r="33" spans="1:11" x14ac:dyDescent="0.35">
      <c r="A33" s="233" t="s">
        <v>54</v>
      </c>
      <c r="B33" s="132"/>
      <c r="C33" s="132"/>
      <c r="D33" s="132"/>
      <c r="E33" s="132"/>
      <c r="F33" s="132"/>
      <c r="G33" s="166"/>
      <c r="H33" s="165">
        <v>0</v>
      </c>
      <c r="I33" s="132"/>
      <c r="J33" s="141"/>
      <c r="K33" s="178"/>
    </row>
    <row r="34" spans="1:11" x14ac:dyDescent="0.35">
      <c r="A34" s="233" t="s">
        <v>55</v>
      </c>
      <c r="B34" s="132"/>
      <c r="C34" s="132"/>
      <c r="D34" s="132"/>
      <c r="E34" s="132"/>
      <c r="F34" s="132"/>
      <c r="G34" s="166"/>
      <c r="H34" s="165">
        <v>0</v>
      </c>
      <c r="I34" s="132"/>
      <c r="J34" s="141"/>
      <c r="K34" s="178"/>
    </row>
    <row r="35" spans="1:11" x14ac:dyDescent="0.35">
      <c r="A35" s="233" t="s">
        <v>72</v>
      </c>
      <c r="B35" s="132"/>
      <c r="C35" s="132"/>
      <c r="D35" s="132"/>
      <c r="E35" s="132"/>
      <c r="F35" s="132"/>
      <c r="G35" s="166"/>
      <c r="H35" s="165">
        <v>0</v>
      </c>
      <c r="I35" s="132"/>
      <c r="J35" s="141"/>
      <c r="K35" s="178"/>
    </row>
    <row r="36" spans="1:11" x14ac:dyDescent="0.35">
      <c r="A36" s="75" t="s">
        <v>56</v>
      </c>
      <c r="B36" s="132"/>
      <c r="C36" s="132"/>
      <c r="D36" s="132"/>
      <c r="E36" s="132"/>
      <c r="F36" s="132"/>
      <c r="G36" s="166"/>
      <c r="H36" s="165">
        <v>0</v>
      </c>
      <c r="I36" s="132"/>
      <c r="J36" s="141"/>
      <c r="K36" s="178"/>
    </row>
    <row r="37" spans="1:11" x14ac:dyDescent="0.35">
      <c r="A37" s="233" t="s">
        <v>57</v>
      </c>
      <c r="B37" s="26"/>
      <c r="C37" s="26"/>
      <c r="D37" s="26"/>
      <c r="E37" s="26"/>
      <c r="F37" s="26"/>
      <c r="G37" s="206">
        <v>1917</v>
      </c>
      <c r="H37" s="362">
        <v>0</v>
      </c>
      <c r="I37" s="363"/>
      <c r="J37" s="364"/>
      <c r="K37" s="189"/>
    </row>
    <row r="38" spans="1:11" ht="15" thickBot="1" x14ac:dyDescent="0.4">
      <c r="A38" s="255" t="s">
        <v>59</v>
      </c>
      <c r="B38" s="175"/>
      <c r="C38" s="175"/>
      <c r="D38" s="175"/>
      <c r="E38" s="175"/>
      <c r="F38" s="175"/>
      <c r="G38" s="176"/>
      <c r="H38" s="174">
        <v>0</v>
      </c>
      <c r="I38" s="175"/>
      <c r="J38" s="306"/>
      <c r="K38" s="324"/>
    </row>
    <row r="39" spans="1:11" s="1" customFormat="1" x14ac:dyDescent="0.35"/>
    <row r="40" spans="1:11" s="1" customFormat="1" x14ac:dyDescent="0.35"/>
    <row r="41" spans="1:11" s="1" customFormat="1" x14ac:dyDescent="0.35"/>
    <row r="42" spans="1:11" s="1" customFormat="1" x14ac:dyDescent="0.35"/>
    <row r="43" spans="1:11" s="1" customFormat="1" x14ac:dyDescent="0.35"/>
    <row r="44" spans="1:11" s="1" customFormat="1" x14ac:dyDescent="0.35"/>
    <row r="45" spans="1:11" s="1" customFormat="1" x14ac:dyDescent="0.35"/>
    <row r="46" spans="1:11" s="1" customFormat="1" x14ac:dyDescent="0.35"/>
    <row r="47" spans="1:11" s="1" customFormat="1" x14ac:dyDescent="0.35"/>
    <row r="48" spans="1:11"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sheetData>
  <mergeCells count="7">
    <mergeCell ref="B1:C1"/>
    <mergeCell ref="H1:H2"/>
    <mergeCell ref="I1:I2"/>
    <mergeCell ref="J1:J2"/>
    <mergeCell ref="E1:E2"/>
    <mergeCell ref="D1:D2"/>
    <mergeCell ref="G1:G2"/>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FA77-62AD-4B6E-A8C7-E7ED69EB1E5B}">
  <sheetPr>
    <tabColor theme="7" tint="0.59999389629810485"/>
  </sheetPr>
  <dimension ref="A1:FN284"/>
  <sheetViews>
    <sheetView zoomScale="70" zoomScaleNormal="70" workbookViewId="0">
      <pane xSplit="1" ySplit="2" topLeftCell="B3" activePane="bottomRight" state="frozen"/>
      <selection activeCell="P5" sqref="P5"/>
      <selection pane="topRight" activeCell="P5" sqref="P5"/>
      <selection pane="bottomLeft" activeCell="P5" sqref="P5"/>
      <selection pane="bottomRight" activeCell="G16" sqref="G16"/>
    </sheetView>
  </sheetViews>
  <sheetFormatPr baseColWidth="10" defaultRowHeight="14.5" x14ac:dyDescent="0.35"/>
  <cols>
    <col min="1" max="1" width="14.90625" customWidth="1"/>
    <col min="2" max="3" width="21.26953125" customWidth="1"/>
    <col min="4" max="4" width="23.1796875" customWidth="1"/>
    <col min="5" max="5" width="25.6328125" bestFit="1" customWidth="1"/>
    <col min="6" max="6" width="21.54296875" customWidth="1"/>
    <col min="7" max="7" width="23.36328125" customWidth="1"/>
    <col min="8" max="8" width="13.7265625" bestFit="1" customWidth="1"/>
    <col min="9" max="9" width="15" bestFit="1" customWidth="1"/>
    <col min="10" max="10" width="13.7265625" bestFit="1" customWidth="1"/>
    <col min="11" max="11" width="21.54296875" customWidth="1"/>
    <col min="13" max="13" width="18.81640625" customWidth="1"/>
    <col min="14" max="14" width="25.6328125" bestFit="1" customWidth="1"/>
    <col min="15" max="15" width="17.7265625" bestFit="1" customWidth="1"/>
    <col min="16" max="16" width="18.36328125" bestFit="1" customWidth="1"/>
    <col min="17" max="17" width="18.54296875" customWidth="1"/>
    <col min="22" max="22" width="23.36328125" customWidth="1"/>
    <col min="29" max="29" width="15.36328125" customWidth="1"/>
    <col min="30" max="30" width="17.1796875" customWidth="1"/>
    <col min="31" max="31" width="19.90625" customWidth="1"/>
    <col min="46" max="170" width="10.90625" style="1"/>
  </cols>
  <sheetData>
    <row r="1" spans="1:170" ht="29" x14ac:dyDescent="0.35">
      <c r="A1" s="19" t="s">
        <v>181</v>
      </c>
      <c r="B1" s="158" t="s">
        <v>138</v>
      </c>
      <c r="C1" s="1"/>
      <c r="D1" s="740" t="s">
        <v>73</v>
      </c>
      <c r="E1" s="741"/>
      <c r="F1" s="741"/>
      <c r="G1" s="742"/>
      <c r="H1" s="670" t="s">
        <v>183</v>
      </c>
      <c r="I1" s="635" t="s">
        <v>133</v>
      </c>
      <c r="J1" s="637" t="s">
        <v>134</v>
      </c>
      <c r="K1" s="177" t="s">
        <v>131</v>
      </c>
      <c r="L1" s="6"/>
      <c r="M1" s="747" t="s">
        <v>74</v>
      </c>
      <c r="N1" s="748"/>
      <c r="O1" s="748"/>
      <c r="P1" s="749"/>
      <c r="Q1" s="639" t="s">
        <v>184</v>
      </c>
      <c r="R1" s="635" t="s">
        <v>133</v>
      </c>
      <c r="S1" s="637" t="s">
        <v>134</v>
      </c>
      <c r="T1" s="177" t="s">
        <v>131</v>
      </c>
      <c r="U1" s="6"/>
      <c r="V1" s="743" t="s">
        <v>75</v>
      </c>
      <c r="W1" s="744"/>
      <c r="X1" s="639" t="s">
        <v>185</v>
      </c>
      <c r="Y1" s="635" t="s">
        <v>133</v>
      </c>
      <c r="Z1" s="637" t="s">
        <v>134</v>
      </c>
      <c r="AA1" s="177" t="s">
        <v>131</v>
      </c>
      <c r="AB1" s="140"/>
      <c r="AC1" s="745" t="s">
        <v>76</v>
      </c>
      <c r="AD1" s="746"/>
      <c r="AE1" s="639" t="s">
        <v>186</v>
      </c>
      <c r="AF1" s="635" t="s">
        <v>133</v>
      </c>
      <c r="AG1" s="637" t="s">
        <v>134</v>
      </c>
      <c r="AH1" s="177" t="s">
        <v>131</v>
      </c>
      <c r="AI1" s="1"/>
      <c r="AJ1" s="1"/>
      <c r="AK1" s="1"/>
      <c r="AL1" s="1"/>
      <c r="AM1" s="1"/>
      <c r="AN1" s="1"/>
      <c r="AO1" s="1"/>
      <c r="AP1" s="1"/>
      <c r="AQ1" s="1"/>
      <c r="AR1" s="1"/>
      <c r="AS1" s="1"/>
    </row>
    <row r="2" spans="1:170" s="7" customFormat="1" ht="40.5" customHeight="1" thickBot="1" x14ac:dyDescent="0.4">
      <c r="A2" s="390" t="s">
        <v>139</v>
      </c>
      <c r="B2" s="300" t="s">
        <v>162</v>
      </c>
      <c r="C2" s="6"/>
      <c r="D2" s="291" t="s">
        <v>165</v>
      </c>
      <c r="E2" s="391" t="s">
        <v>166</v>
      </c>
      <c r="F2" s="369" t="s">
        <v>170</v>
      </c>
      <c r="G2" s="276" t="s">
        <v>190</v>
      </c>
      <c r="H2" s="750"/>
      <c r="I2" s="653"/>
      <c r="J2" s="677"/>
      <c r="K2" s="292" t="s">
        <v>127</v>
      </c>
      <c r="L2" s="140"/>
      <c r="M2" s="291" t="s">
        <v>165</v>
      </c>
      <c r="N2" s="391" t="s">
        <v>166</v>
      </c>
      <c r="O2" s="275" t="s">
        <v>170</v>
      </c>
      <c r="P2" s="276" t="s">
        <v>190</v>
      </c>
      <c r="Q2" s="730"/>
      <c r="R2" s="653"/>
      <c r="S2" s="677"/>
      <c r="T2" s="292" t="s">
        <v>127</v>
      </c>
      <c r="U2" s="227"/>
      <c r="V2" s="389" t="s">
        <v>170</v>
      </c>
      <c r="W2" s="276" t="s">
        <v>190</v>
      </c>
      <c r="X2" s="730"/>
      <c r="Y2" s="653"/>
      <c r="Z2" s="677"/>
      <c r="AA2" s="292" t="s">
        <v>127</v>
      </c>
      <c r="AB2" s="227"/>
      <c r="AC2" s="389" t="s">
        <v>170</v>
      </c>
      <c r="AD2" s="7" t="s">
        <v>166</v>
      </c>
      <c r="AE2" s="730"/>
      <c r="AF2" s="653"/>
      <c r="AG2" s="677"/>
      <c r="AH2" s="292" t="s">
        <v>127</v>
      </c>
      <c r="AI2" s="227"/>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row>
    <row r="3" spans="1:170" ht="25.5" customHeight="1" x14ac:dyDescent="0.35">
      <c r="A3" s="21" t="s">
        <v>21</v>
      </c>
      <c r="B3" s="299">
        <v>500</v>
      </c>
      <c r="C3" s="1"/>
      <c r="D3" s="274"/>
      <c r="E3" s="277">
        <f>1000*(79.5*1.3/100)</f>
        <v>1033.5</v>
      </c>
      <c r="F3" s="273"/>
      <c r="G3" s="278"/>
      <c r="H3" s="279">
        <v>500</v>
      </c>
      <c r="I3" s="280">
        <v>500</v>
      </c>
      <c r="J3" s="281">
        <f>1000*(79.5*1.3/100)</f>
        <v>1033.5</v>
      </c>
      <c r="K3" s="282" t="s">
        <v>129</v>
      </c>
      <c r="L3" s="30"/>
      <c r="M3" s="283"/>
      <c r="N3" s="284">
        <f>1000*(17.4*5.3/100)</f>
        <v>922.19999999999982</v>
      </c>
      <c r="O3" s="285"/>
      <c r="P3" s="286">
        <v>527</v>
      </c>
      <c r="Q3" s="287">
        <f>SUM(N3:P3)/2</f>
        <v>724.59999999999991</v>
      </c>
      <c r="R3" s="288">
        <f>MIN(M3:P3)</f>
        <v>527</v>
      </c>
      <c r="S3" s="289">
        <f>MAX(M3:P3)</f>
        <v>922.19999999999982</v>
      </c>
      <c r="T3" s="290" t="s">
        <v>136</v>
      </c>
      <c r="U3" s="1"/>
      <c r="V3" s="283"/>
      <c r="W3" s="293">
        <v>517.6</v>
      </c>
      <c r="X3" s="294">
        <v>517.6</v>
      </c>
      <c r="Y3" s="199">
        <v>517.6</v>
      </c>
      <c r="Z3" s="202">
        <v>517.6</v>
      </c>
      <c r="AA3" s="290" t="s">
        <v>130</v>
      </c>
      <c r="AB3" s="1"/>
      <c r="AC3" s="283"/>
      <c r="AD3" s="295">
        <f>1000*(17.4*5.3/100)</f>
        <v>922.19999999999982</v>
      </c>
      <c r="AE3" s="296">
        <f>1000*(17.4*5.3/100)</f>
        <v>922.19999999999982</v>
      </c>
      <c r="AF3" s="297">
        <f t="shared" ref="AF3:AG3" si="0">1000*(17.4*5.3/100)</f>
        <v>922.19999999999982</v>
      </c>
      <c r="AG3" s="298">
        <f t="shared" si="0"/>
        <v>922.19999999999982</v>
      </c>
      <c r="AH3" s="290" t="s">
        <v>130</v>
      </c>
      <c r="AI3" s="1"/>
      <c r="AJ3" s="1"/>
      <c r="AK3" s="1"/>
      <c r="AL3" s="1"/>
      <c r="AM3" s="1"/>
      <c r="AN3" s="1"/>
      <c r="AO3" s="1"/>
      <c r="AP3" s="1"/>
      <c r="AQ3" s="1"/>
      <c r="AR3" s="1"/>
      <c r="AS3" s="1"/>
    </row>
    <row r="4" spans="1:170" x14ac:dyDescent="0.35">
      <c r="A4" s="37" t="s">
        <v>22</v>
      </c>
      <c r="B4" s="159"/>
      <c r="C4" s="1"/>
      <c r="D4" s="18"/>
      <c r="E4" s="20"/>
      <c r="F4" s="20"/>
      <c r="G4" s="34"/>
      <c r="H4" s="165">
        <v>0</v>
      </c>
      <c r="I4" s="132"/>
      <c r="J4" s="166"/>
      <c r="K4" s="178"/>
      <c r="L4" s="1"/>
      <c r="M4" s="136"/>
      <c r="N4" s="135"/>
      <c r="O4" s="135"/>
      <c r="P4" s="137"/>
      <c r="Q4" s="136">
        <v>0</v>
      </c>
      <c r="R4" s="135"/>
      <c r="S4" s="156"/>
      <c r="T4" s="187"/>
      <c r="U4" s="1"/>
      <c r="V4" s="143"/>
      <c r="W4" s="142"/>
      <c r="X4" s="143">
        <v>0</v>
      </c>
      <c r="Y4" s="109"/>
      <c r="Z4" s="146"/>
      <c r="AA4" s="196"/>
      <c r="AB4" s="1"/>
      <c r="AC4" s="143"/>
      <c r="AD4" s="142"/>
      <c r="AE4" s="143">
        <v>0</v>
      </c>
      <c r="AF4" s="109"/>
      <c r="AG4" s="146"/>
      <c r="AH4" s="196"/>
      <c r="AI4" s="1"/>
      <c r="AJ4" s="1"/>
      <c r="AK4" s="1"/>
      <c r="AL4" s="1"/>
      <c r="AM4" s="1"/>
      <c r="AN4" s="1"/>
      <c r="AO4" s="1"/>
      <c r="AP4" s="1"/>
      <c r="AQ4" s="1"/>
      <c r="AR4" s="1"/>
      <c r="AS4" s="1"/>
    </row>
    <row r="5" spans="1:170" x14ac:dyDescent="0.35">
      <c r="A5" s="37" t="s">
        <v>66</v>
      </c>
      <c r="B5" s="160"/>
      <c r="C5" s="1"/>
      <c r="D5" s="18"/>
      <c r="E5" s="20"/>
      <c r="F5" s="20"/>
      <c r="G5" s="34"/>
      <c r="H5" s="165">
        <v>0</v>
      </c>
      <c r="I5" s="132"/>
      <c r="J5" s="166"/>
      <c r="K5" s="178"/>
      <c r="L5" s="1"/>
      <c r="M5" s="136"/>
      <c r="N5" s="135"/>
      <c r="O5" s="135"/>
      <c r="P5" s="137"/>
      <c r="Q5" s="136">
        <v>0</v>
      </c>
      <c r="R5" s="135"/>
      <c r="S5" s="156"/>
      <c r="T5" s="187"/>
      <c r="U5" s="1"/>
      <c r="V5" s="143"/>
      <c r="W5" s="142"/>
      <c r="X5" s="143">
        <v>0</v>
      </c>
      <c r="Y5" s="109"/>
      <c r="Z5" s="146"/>
      <c r="AA5" s="196"/>
      <c r="AB5" s="1"/>
      <c r="AC5" s="143"/>
      <c r="AD5" s="142"/>
      <c r="AE5" s="143">
        <v>0</v>
      </c>
      <c r="AF5" s="109"/>
      <c r="AG5" s="146"/>
      <c r="AH5" s="196"/>
      <c r="AI5" s="1"/>
      <c r="AJ5" s="1"/>
      <c r="AK5" s="1"/>
      <c r="AL5" s="1"/>
      <c r="AM5" s="1"/>
      <c r="AN5" s="1"/>
      <c r="AO5" s="1"/>
      <c r="AP5" s="1"/>
      <c r="AQ5" s="1"/>
      <c r="AR5" s="1"/>
      <c r="AS5" s="1"/>
    </row>
    <row r="6" spans="1:170" ht="43.5" x14ac:dyDescent="0.35">
      <c r="A6" s="21" t="s">
        <v>67</v>
      </c>
      <c r="B6" s="159"/>
      <c r="C6" s="1"/>
      <c r="D6" s="53">
        <v>307.5</v>
      </c>
      <c r="E6" s="26"/>
      <c r="F6" s="26"/>
      <c r="G6" s="87"/>
      <c r="H6" s="56">
        <v>307.5</v>
      </c>
      <c r="I6" s="105">
        <v>307.5</v>
      </c>
      <c r="J6" s="167">
        <v>307.5</v>
      </c>
      <c r="K6" s="179" t="s">
        <v>130</v>
      </c>
      <c r="L6" s="30"/>
      <c r="M6" s="75">
        <v>48.34</v>
      </c>
      <c r="N6" s="20"/>
      <c r="O6" s="20"/>
      <c r="P6" s="37">
        <v>57</v>
      </c>
      <c r="Q6" s="102">
        <f>SUM(M6:P6)/2</f>
        <v>52.67</v>
      </c>
      <c r="R6" s="96">
        <f>MIN(M6:P6)</f>
        <v>48.34</v>
      </c>
      <c r="S6" s="183">
        <f>MAX(M6:P6)</f>
        <v>57</v>
      </c>
      <c r="T6" s="179" t="s">
        <v>136</v>
      </c>
      <c r="U6" s="1"/>
      <c r="V6" s="18"/>
      <c r="W6" s="51">
        <v>904</v>
      </c>
      <c r="X6" s="103">
        <v>904</v>
      </c>
      <c r="Y6" s="97">
        <v>904</v>
      </c>
      <c r="Z6" s="186">
        <v>904</v>
      </c>
      <c r="AA6" s="179" t="s">
        <v>130</v>
      </c>
      <c r="AB6" s="1"/>
      <c r="AC6" s="143"/>
      <c r="AD6" s="142"/>
      <c r="AE6" s="144">
        <v>0</v>
      </c>
      <c r="AF6" s="148"/>
      <c r="AG6" s="195"/>
      <c r="AH6" s="196"/>
      <c r="AI6" s="1"/>
      <c r="AJ6" s="1"/>
      <c r="AK6" s="1"/>
      <c r="AL6" s="1"/>
      <c r="AM6" s="1"/>
      <c r="AN6" s="1"/>
      <c r="AO6" s="1"/>
      <c r="AP6" s="1"/>
      <c r="AQ6" s="1"/>
      <c r="AR6" s="1"/>
      <c r="AS6" s="1"/>
    </row>
    <row r="7" spans="1:170" x14ac:dyDescent="0.35">
      <c r="A7" s="21" t="s">
        <v>68</v>
      </c>
      <c r="B7" s="159"/>
      <c r="C7" s="1"/>
      <c r="D7" s="53">
        <v>201.46</v>
      </c>
      <c r="E7" s="26"/>
      <c r="F7" s="26"/>
      <c r="G7" s="87"/>
      <c r="H7" s="56">
        <v>201.46</v>
      </c>
      <c r="I7" s="105">
        <v>201.46</v>
      </c>
      <c r="J7" s="167">
        <v>201.46</v>
      </c>
      <c r="K7" s="179" t="s">
        <v>130</v>
      </c>
      <c r="L7" s="30"/>
      <c r="M7" s="81">
        <v>1.8</v>
      </c>
      <c r="N7" s="20"/>
      <c r="O7" s="20"/>
      <c r="P7" s="34"/>
      <c r="Q7" s="80">
        <v>0</v>
      </c>
      <c r="R7" s="67"/>
      <c r="S7" s="184"/>
      <c r="T7" s="188"/>
      <c r="U7" s="1"/>
      <c r="V7" s="143"/>
      <c r="W7" s="142"/>
      <c r="X7" s="144">
        <v>0</v>
      </c>
      <c r="Y7" s="145"/>
      <c r="Z7" s="194"/>
      <c r="AA7" s="196"/>
      <c r="AB7" s="1"/>
      <c r="AC7" s="143"/>
      <c r="AD7" s="142"/>
      <c r="AE7" s="144">
        <v>0</v>
      </c>
      <c r="AF7" s="148"/>
      <c r="AG7" s="195"/>
      <c r="AH7" s="196"/>
      <c r="AI7" s="1"/>
      <c r="AJ7" s="1"/>
      <c r="AK7" s="1"/>
      <c r="AL7" s="1"/>
      <c r="AM7" s="1"/>
      <c r="AN7" s="1"/>
      <c r="AO7" s="1"/>
      <c r="AP7" s="1"/>
      <c r="AQ7" s="1"/>
      <c r="AR7" s="1"/>
      <c r="AS7" s="1"/>
    </row>
    <row r="8" spans="1:170" x14ac:dyDescent="0.35">
      <c r="A8" s="52" t="s">
        <v>24</v>
      </c>
      <c r="B8" s="160"/>
      <c r="C8" s="1"/>
      <c r="D8" s="18"/>
      <c r="E8" s="20"/>
      <c r="F8" s="20"/>
      <c r="G8" s="34"/>
      <c r="H8" s="165">
        <v>0</v>
      </c>
      <c r="I8" s="132"/>
      <c r="J8" s="166"/>
      <c r="K8" s="180"/>
      <c r="M8" s="136"/>
      <c r="N8" s="135"/>
      <c r="O8" s="135"/>
      <c r="P8" s="137"/>
      <c r="Q8" s="136">
        <v>0</v>
      </c>
      <c r="R8" s="135"/>
      <c r="S8" s="156"/>
      <c r="T8" s="187"/>
      <c r="U8" s="1"/>
      <c r="V8" s="143"/>
      <c r="W8" s="142"/>
      <c r="X8" s="143">
        <v>0</v>
      </c>
      <c r="Y8" s="147"/>
      <c r="Z8" s="193"/>
      <c r="AA8" s="196"/>
      <c r="AB8" s="1"/>
      <c r="AC8" s="143"/>
      <c r="AD8" s="142"/>
      <c r="AE8" s="143">
        <v>0</v>
      </c>
      <c r="AF8" s="109"/>
      <c r="AG8" s="146"/>
      <c r="AH8" s="196"/>
      <c r="AI8" s="1"/>
      <c r="AJ8" s="1"/>
      <c r="AK8" s="1"/>
      <c r="AL8" s="1"/>
      <c r="AM8" s="1"/>
      <c r="AN8" s="1"/>
      <c r="AO8" s="1"/>
      <c r="AP8" s="1"/>
      <c r="AQ8" s="1"/>
      <c r="AR8" s="1"/>
      <c r="AS8" s="1"/>
    </row>
    <row r="9" spans="1:170" ht="21.5" customHeight="1" x14ac:dyDescent="0.35">
      <c r="A9" s="21" t="s">
        <v>69</v>
      </c>
      <c r="B9" s="84">
        <v>90</v>
      </c>
      <c r="C9" s="1"/>
      <c r="D9" s="69">
        <v>1150</v>
      </c>
      <c r="E9" s="27">
        <f>1000*(79.5*1.9/100)</f>
        <v>1510.4999999999998</v>
      </c>
      <c r="F9" s="27">
        <v>890</v>
      </c>
      <c r="G9" s="87"/>
      <c r="H9" s="63">
        <f>AVERAGE(D9:F9)</f>
        <v>1183.5</v>
      </c>
      <c r="I9" s="91">
        <v>90</v>
      </c>
      <c r="J9" s="155">
        <f>MAX(D9:F9)</f>
        <v>1510.4999999999998</v>
      </c>
      <c r="K9" s="179" t="s">
        <v>135</v>
      </c>
      <c r="L9" s="30"/>
      <c r="M9" s="75">
        <v>1100</v>
      </c>
      <c r="N9" s="28">
        <f>1000*(17.4*5.3/100)</f>
        <v>922.19999999999982</v>
      </c>
      <c r="O9" s="28">
        <v>1110</v>
      </c>
      <c r="P9" s="37">
        <v>684</v>
      </c>
      <c r="Q9" s="102">
        <f>SUM(M9:P9)/4</f>
        <v>954.05</v>
      </c>
      <c r="R9" s="96">
        <f>MIN(M9:P9)</f>
        <v>684</v>
      </c>
      <c r="S9" s="183">
        <f>MAX(M9:P9)</f>
        <v>1110</v>
      </c>
      <c r="T9" s="179" t="s">
        <v>136</v>
      </c>
      <c r="U9" s="1"/>
      <c r="V9" s="75">
        <v>1100</v>
      </c>
      <c r="W9" s="37">
        <v>1513</v>
      </c>
      <c r="X9" s="102">
        <f>SUM(V9:W9)/2</f>
        <v>1306.5</v>
      </c>
      <c r="Y9" s="96">
        <f>MIN(T9:W9)</f>
        <v>1100</v>
      </c>
      <c r="Z9" s="183">
        <f>MAX(T9:W9)</f>
        <v>1513</v>
      </c>
      <c r="AA9" s="179" t="s">
        <v>136</v>
      </c>
      <c r="AB9" s="1"/>
      <c r="AC9" s="75">
        <v>1110</v>
      </c>
      <c r="AD9" s="59">
        <f>1000*(17.4*5.3/100)</f>
        <v>922.19999999999982</v>
      </c>
      <c r="AE9" s="68">
        <f>SUM(AC9:AD9)/2</f>
        <v>1016.0999999999999</v>
      </c>
      <c r="AF9" s="96">
        <f>MIN(AA9:AD9)</f>
        <v>922.19999999999982</v>
      </c>
      <c r="AG9" s="183">
        <f>MAX(AA9:AD9)</f>
        <v>1110</v>
      </c>
      <c r="AH9" s="179" t="s">
        <v>136</v>
      </c>
      <c r="AI9" s="1"/>
      <c r="AJ9" s="1"/>
      <c r="AK9" s="1"/>
      <c r="AL9" s="1"/>
      <c r="AM9" s="1"/>
      <c r="AN9" s="1"/>
      <c r="AO9" s="1"/>
      <c r="AP9" s="1"/>
      <c r="AQ9" s="1"/>
      <c r="AR9" s="1"/>
      <c r="AS9" s="1"/>
    </row>
    <row r="10" spans="1:170" x14ac:dyDescent="0.35">
      <c r="A10" s="66" t="s">
        <v>27</v>
      </c>
      <c r="B10" s="159"/>
      <c r="C10" s="1"/>
      <c r="D10" s="82"/>
      <c r="E10" s="26"/>
      <c r="F10" s="26"/>
      <c r="G10" s="87"/>
      <c r="H10" s="168">
        <v>0</v>
      </c>
      <c r="I10" s="131"/>
      <c r="J10" s="169"/>
      <c r="K10" s="181"/>
      <c r="L10" s="30"/>
      <c r="M10" s="136"/>
      <c r="N10" s="135"/>
      <c r="O10" s="135"/>
      <c r="P10" s="137"/>
      <c r="Q10" s="138">
        <v>0</v>
      </c>
      <c r="R10" s="139"/>
      <c r="S10" s="185"/>
      <c r="T10" s="187"/>
      <c r="U10" s="1"/>
      <c r="V10" s="143"/>
      <c r="W10" s="142"/>
      <c r="X10" s="144">
        <v>0</v>
      </c>
      <c r="Y10" s="145"/>
      <c r="Z10" s="194"/>
      <c r="AA10" s="196"/>
      <c r="AB10" s="1"/>
      <c r="AC10" s="143"/>
      <c r="AD10" s="142"/>
      <c r="AE10" s="144">
        <v>0</v>
      </c>
      <c r="AF10" s="148"/>
      <c r="AG10" s="195"/>
      <c r="AH10" s="196"/>
      <c r="AI10" s="1"/>
      <c r="AJ10" s="1"/>
      <c r="AK10" s="1"/>
      <c r="AL10" s="1"/>
      <c r="AM10" s="1"/>
      <c r="AN10" s="1"/>
      <c r="AO10" s="1"/>
      <c r="AP10" s="1"/>
      <c r="AQ10" s="1"/>
      <c r="AR10" s="1"/>
      <c r="AS10" s="1"/>
    </row>
    <row r="11" spans="1:170" x14ac:dyDescent="0.35">
      <c r="A11" s="21" t="s">
        <v>28</v>
      </c>
      <c r="B11" s="160"/>
      <c r="C11" s="1"/>
      <c r="D11" s="18"/>
      <c r="E11" s="20"/>
      <c r="F11" s="20"/>
      <c r="G11" s="34"/>
      <c r="H11" s="165">
        <v>0</v>
      </c>
      <c r="I11" s="132"/>
      <c r="J11" s="166"/>
      <c r="K11" s="180"/>
      <c r="L11" s="1"/>
      <c r="M11" s="136"/>
      <c r="N11" s="135"/>
      <c r="O11" s="135"/>
      <c r="P11" s="137"/>
      <c r="Q11" s="136">
        <v>0</v>
      </c>
      <c r="R11" s="135"/>
      <c r="S11" s="156"/>
      <c r="T11" s="187"/>
      <c r="U11" s="1"/>
      <c r="V11" s="143"/>
      <c r="W11" s="142"/>
      <c r="X11" s="143">
        <v>0</v>
      </c>
      <c r="Y11" s="109"/>
      <c r="Z11" s="146"/>
      <c r="AA11" s="196"/>
      <c r="AB11" s="1"/>
      <c r="AC11" s="143"/>
      <c r="AD11" s="142"/>
      <c r="AE11" s="143">
        <v>0</v>
      </c>
      <c r="AF11" s="109"/>
      <c r="AG11" s="146"/>
      <c r="AH11" s="196"/>
      <c r="AI11" s="1"/>
      <c r="AJ11" s="1"/>
      <c r="AK11" s="1"/>
      <c r="AL11" s="1"/>
      <c r="AM11" s="1"/>
      <c r="AN11" s="1"/>
      <c r="AO11" s="1"/>
      <c r="AP11" s="1"/>
      <c r="AQ11" s="1"/>
      <c r="AR11" s="1"/>
      <c r="AS11" s="1"/>
    </row>
    <row r="12" spans="1:170" x14ac:dyDescent="0.35">
      <c r="A12" s="21" t="s">
        <v>70</v>
      </c>
      <c r="B12" s="160"/>
      <c r="C12" s="1"/>
      <c r="D12" s="18"/>
      <c r="E12" s="20"/>
      <c r="F12" s="20"/>
      <c r="G12" s="34"/>
      <c r="H12" s="165">
        <v>0</v>
      </c>
      <c r="I12" s="132"/>
      <c r="J12" s="166"/>
      <c r="K12" s="180"/>
      <c r="L12" s="1"/>
      <c r="M12" s="136"/>
      <c r="N12" s="135"/>
      <c r="O12" s="135"/>
      <c r="P12" s="137"/>
      <c r="Q12" s="136">
        <v>0</v>
      </c>
      <c r="R12" s="135"/>
      <c r="S12" s="156"/>
      <c r="T12" s="187"/>
      <c r="U12" s="1"/>
      <c r="V12" s="143"/>
      <c r="W12" s="142"/>
      <c r="X12" s="143">
        <v>0</v>
      </c>
      <c r="Y12" s="109"/>
      <c r="Z12" s="146"/>
      <c r="AA12" s="196"/>
      <c r="AB12" s="1"/>
      <c r="AC12" s="143"/>
      <c r="AD12" s="142"/>
      <c r="AE12" s="143">
        <v>0</v>
      </c>
      <c r="AF12" s="109"/>
      <c r="AG12" s="146"/>
      <c r="AH12" s="196"/>
      <c r="AI12" s="1"/>
      <c r="AJ12" s="1"/>
      <c r="AK12" s="1"/>
      <c r="AL12" s="1"/>
      <c r="AM12" s="1"/>
      <c r="AN12" s="1"/>
      <c r="AO12" s="1"/>
      <c r="AP12" s="1"/>
      <c r="AQ12" s="1"/>
      <c r="AR12" s="1"/>
      <c r="AS12" s="1"/>
    </row>
    <row r="13" spans="1:170" x14ac:dyDescent="0.35">
      <c r="A13" s="52" t="s">
        <v>29</v>
      </c>
      <c r="B13" s="160"/>
      <c r="C13" s="1"/>
      <c r="D13" s="18"/>
      <c r="E13" s="20"/>
      <c r="F13" s="20"/>
      <c r="G13" s="34"/>
      <c r="H13" s="165">
        <v>0</v>
      </c>
      <c r="I13" s="132"/>
      <c r="J13" s="166"/>
      <c r="K13" s="180"/>
      <c r="L13" s="1"/>
      <c r="M13" s="136"/>
      <c r="N13" s="135"/>
      <c r="O13" s="135"/>
      <c r="P13" s="137"/>
      <c r="Q13" s="136">
        <v>0</v>
      </c>
      <c r="R13" s="135"/>
      <c r="S13" s="156"/>
      <c r="T13" s="187"/>
      <c r="U13" s="1"/>
      <c r="V13" s="143"/>
      <c r="W13" s="142"/>
      <c r="X13" s="143">
        <v>0</v>
      </c>
      <c r="Y13" s="109"/>
      <c r="Z13" s="146"/>
      <c r="AA13" s="196"/>
      <c r="AB13" s="1"/>
      <c r="AC13" s="143"/>
      <c r="AD13" s="142"/>
      <c r="AE13" s="143">
        <v>0</v>
      </c>
      <c r="AF13" s="109"/>
      <c r="AG13" s="146"/>
      <c r="AH13" s="196"/>
      <c r="AI13" s="1"/>
      <c r="AJ13" s="1"/>
      <c r="AK13" s="1"/>
      <c r="AL13" s="1"/>
      <c r="AM13" s="1"/>
      <c r="AN13" s="1"/>
      <c r="AO13" s="1"/>
      <c r="AP13" s="1"/>
      <c r="AQ13" s="1"/>
      <c r="AR13" s="1"/>
      <c r="AS13" s="1"/>
    </row>
    <row r="14" spans="1:170" x14ac:dyDescent="0.35">
      <c r="A14" s="37" t="s">
        <v>30</v>
      </c>
      <c r="B14" s="160"/>
      <c r="C14" s="1"/>
      <c r="D14" s="18"/>
      <c r="E14" s="20"/>
      <c r="F14" s="20"/>
      <c r="G14" s="34"/>
      <c r="H14" s="165">
        <v>0</v>
      </c>
      <c r="I14" s="132"/>
      <c r="J14" s="166"/>
      <c r="K14" s="180"/>
      <c r="L14" s="1"/>
      <c r="M14" s="136"/>
      <c r="N14" s="135"/>
      <c r="O14" s="135"/>
      <c r="P14" s="137"/>
      <c r="Q14" s="136">
        <v>0</v>
      </c>
      <c r="R14" s="135"/>
      <c r="S14" s="156"/>
      <c r="T14" s="187"/>
      <c r="U14" s="1"/>
      <c r="V14" s="143"/>
      <c r="W14" s="142"/>
      <c r="X14" s="143">
        <v>0</v>
      </c>
      <c r="Y14" s="109"/>
      <c r="Z14" s="146"/>
      <c r="AA14" s="196"/>
      <c r="AB14" s="1"/>
      <c r="AC14" s="143"/>
      <c r="AD14" s="142"/>
      <c r="AE14" s="143">
        <v>0</v>
      </c>
      <c r="AF14" s="109"/>
      <c r="AG14" s="146"/>
      <c r="AH14" s="196"/>
      <c r="AI14" s="1"/>
      <c r="AJ14" s="1"/>
      <c r="AK14" s="1"/>
      <c r="AL14" s="1"/>
      <c r="AM14" s="1"/>
      <c r="AN14" s="1"/>
      <c r="AO14" s="1"/>
      <c r="AP14" s="1"/>
      <c r="AQ14" s="1"/>
      <c r="AR14" s="1"/>
      <c r="AS14" s="1"/>
    </row>
    <row r="15" spans="1:170" x14ac:dyDescent="0.35">
      <c r="A15" s="21" t="s">
        <v>31</v>
      </c>
      <c r="B15" s="159"/>
      <c r="C15" s="1"/>
      <c r="D15" s="18"/>
      <c r="E15" s="20"/>
      <c r="F15" s="20"/>
      <c r="G15" s="34"/>
      <c r="H15" s="165">
        <v>0</v>
      </c>
      <c r="I15" s="132"/>
      <c r="J15" s="166"/>
      <c r="K15" s="180"/>
      <c r="L15" s="1"/>
      <c r="M15" s="136"/>
      <c r="N15" s="135"/>
      <c r="O15" s="135"/>
      <c r="P15" s="137"/>
      <c r="Q15" s="136">
        <v>0</v>
      </c>
      <c r="R15" s="135"/>
      <c r="S15" s="156"/>
      <c r="T15" s="189"/>
      <c r="U15" s="1"/>
      <c r="V15" s="143"/>
      <c r="W15" s="142"/>
      <c r="X15" s="143">
        <v>0</v>
      </c>
      <c r="Y15" s="109"/>
      <c r="Z15" s="146"/>
      <c r="AA15" s="196"/>
      <c r="AB15" s="1"/>
      <c r="AC15" s="143"/>
      <c r="AD15" s="142"/>
      <c r="AE15" s="143">
        <v>0</v>
      </c>
      <c r="AF15" s="109"/>
      <c r="AG15" s="146"/>
      <c r="AH15" s="196"/>
      <c r="AI15" s="1"/>
      <c r="AJ15" s="1"/>
      <c r="AK15" s="1"/>
      <c r="AL15" s="1"/>
      <c r="AM15" s="1"/>
      <c r="AN15" s="1"/>
      <c r="AO15" s="1"/>
      <c r="AP15" s="1"/>
      <c r="AQ15" s="1"/>
      <c r="AR15" s="1"/>
      <c r="AS15" s="1"/>
    </row>
    <row r="16" spans="1:170" ht="29" x14ac:dyDescent="0.35">
      <c r="A16" s="37" t="s">
        <v>32</v>
      </c>
      <c r="B16" s="159"/>
      <c r="C16" s="1"/>
      <c r="D16" s="82"/>
      <c r="E16" s="26"/>
      <c r="F16" s="26"/>
      <c r="G16" s="87"/>
      <c r="H16" s="168">
        <v>0</v>
      </c>
      <c r="I16" s="131"/>
      <c r="J16" s="169"/>
      <c r="K16" s="181"/>
      <c r="L16" s="30"/>
      <c r="M16" s="18"/>
      <c r="N16" s="20"/>
      <c r="O16" s="20"/>
      <c r="P16" s="51">
        <v>6341</v>
      </c>
      <c r="Q16" s="103">
        <v>6341</v>
      </c>
      <c r="R16" s="97">
        <v>6341</v>
      </c>
      <c r="S16" s="186">
        <v>6341</v>
      </c>
      <c r="T16" s="179" t="s">
        <v>130</v>
      </c>
      <c r="U16" s="1"/>
      <c r="V16" s="18"/>
      <c r="W16" s="51">
        <v>78791</v>
      </c>
      <c r="X16" s="103">
        <v>78791</v>
      </c>
      <c r="Y16" s="97">
        <v>78791</v>
      </c>
      <c r="Z16" s="186">
        <v>78791</v>
      </c>
      <c r="AA16" s="179" t="s">
        <v>130</v>
      </c>
      <c r="AB16" s="1"/>
      <c r="AC16" s="143"/>
      <c r="AD16" s="142"/>
      <c r="AE16" s="144">
        <v>0</v>
      </c>
      <c r="AF16" s="148"/>
      <c r="AG16" s="195"/>
      <c r="AH16" s="196"/>
      <c r="AI16" s="1"/>
      <c r="AJ16" s="1"/>
      <c r="AK16" s="1"/>
      <c r="AL16" s="1"/>
      <c r="AM16" s="1"/>
      <c r="AN16" s="1"/>
      <c r="AO16" s="1"/>
      <c r="AP16" s="1"/>
      <c r="AQ16" s="1"/>
      <c r="AR16" s="1"/>
      <c r="AS16" s="1"/>
    </row>
    <row r="17" spans="1:45" ht="29" x14ac:dyDescent="0.35">
      <c r="A17" s="37" t="s">
        <v>34</v>
      </c>
      <c r="B17" s="159"/>
      <c r="C17" s="1"/>
      <c r="D17" s="82"/>
      <c r="E17" s="26"/>
      <c r="F17" s="26"/>
      <c r="G17" s="87"/>
      <c r="H17" s="168">
        <v>0</v>
      </c>
      <c r="I17" s="131"/>
      <c r="J17" s="169"/>
      <c r="K17" s="181"/>
      <c r="L17" s="30"/>
      <c r="M17" s="18"/>
      <c r="N17" s="20"/>
      <c r="O17" s="20"/>
      <c r="P17" s="51">
        <v>5</v>
      </c>
      <c r="Q17" s="103">
        <v>5</v>
      </c>
      <c r="R17" s="97">
        <v>5</v>
      </c>
      <c r="S17" s="186">
        <v>5</v>
      </c>
      <c r="T17" s="179" t="s">
        <v>130</v>
      </c>
      <c r="U17" s="1"/>
      <c r="V17" s="18"/>
      <c r="W17" s="51">
        <v>9</v>
      </c>
      <c r="X17" s="103">
        <v>9</v>
      </c>
      <c r="Y17" s="97">
        <v>9</v>
      </c>
      <c r="Z17" s="186">
        <v>9</v>
      </c>
      <c r="AA17" s="179" t="s">
        <v>130</v>
      </c>
      <c r="AB17" s="1"/>
      <c r="AC17" s="143"/>
      <c r="AD17" s="142"/>
      <c r="AE17" s="144">
        <v>0</v>
      </c>
      <c r="AF17" s="148"/>
      <c r="AG17" s="195"/>
      <c r="AH17" s="196"/>
      <c r="AI17" s="1"/>
      <c r="AJ17" s="1"/>
      <c r="AK17" s="1"/>
      <c r="AL17" s="1"/>
      <c r="AM17" s="1"/>
      <c r="AN17" s="1"/>
      <c r="AO17" s="1"/>
      <c r="AP17" s="1"/>
      <c r="AQ17" s="1"/>
      <c r="AR17" s="1"/>
      <c r="AS17" s="1"/>
    </row>
    <row r="18" spans="1:45" ht="29" x14ac:dyDescent="0.35">
      <c r="A18" s="21" t="s">
        <v>36</v>
      </c>
      <c r="B18" s="159"/>
      <c r="C18" s="1"/>
      <c r="D18" s="82"/>
      <c r="E18" s="26"/>
      <c r="F18" s="26"/>
      <c r="G18" s="87"/>
      <c r="H18" s="168">
        <v>0</v>
      </c>
      <c r="I18" s="131"/>
      <c r="J18" s="169"/>
      <c r="K18" s="181"/>
      <c r="L18" s="30"/>
      <c r="M18" s="18"/>
      <c r="N18" s="20"/>
      <c r="O18" s="20"/>
      <c r="P18" s="51">
        <v>2</v>
      </c>
      <c r="Q18" s="103">
        <v>2</v>
      </c>
      <c r="R18" s="97">
        <v>2</v>
      </c>
      <c r="S18" s="186">
        <v>2</v>
      </c>
      <c r="T18" s="179" t="s">
        <v>130</v>
      </c>
      <c r="U18" s="1"/>
      <c r="V18" s="143"/>
      <c r="W18" s="142"/>
      <c r="X18" s="144">
        <v>0</v>
      </c>
      <c r="Y18" s="148"/>
      <c r="Z18" s="195"/>
      <c r="AA18" s="196"/>
      <c r="AB18" s="1"/>
      <c r="AC18" s="143"/>
      <c r="AD18" s="142"/>
      <c r="AE18" s="144">
        <v>0</v>
      </c>
      <c r="AF18" s="148"/>
      <c r="AG18" s="195"/>
      <c r="AH18" s="196"/>
      <c r="AI18" s="1"/>
      <c r="AJ18" s="1"/>
      <c r="AK18" s="1"/>
      <c r="AL18" s="1"/>
      <c r="AM18" s="1"/>
      <c r="AN18" s="1"/>
      <c r="AO18" s="1"/>
      <c r="AP18" s="1"/>
      <c r="AQ18" s="1"/>
      <c r="AR18" s="1"/>
      <c r="AS18" s="1"/>
    </row>
    <row r="19" spans="1:45" ht="29" x14ac:dyDescent="0.35">
      <c r="A19" s="21" t="s">
        <v>37</v>
      </c>
      <c r="B19" s="159"/>
      <c r="C19" s="1"/>
      <c r="D19" s="53">
        <v>4.63</v>
      </c>
      <c r="E19" s="26"/>
      <c r="F19" s="26"/>
      <c r="G19" s="87"/>
      <c r="H19" s="129">
        <v>4.63</v>
      </c>
      <c r="I19" s="104">
        <v>4.63</v>
      </c>
      <c r="J19" s="130">
        <v>4.63</v>
      </c>
      <c r="K19" s="179" t="s">
        <v>130</v>
      </c>
      <c r="L19" s="30"/>
      <c r="M19" s="18"/>
      <c r="N19" s="20"/>
      <c r="O19" s="20"/>
      <c r="P19" s="51">
        <v>27</v>
      </c>
      <c r="Q19" s="103">
        <v>27</v>
      </c>
      <c r="R19" s="97">
        <v>27</v>
      </c>
      <c r="S19" s="186">
        <v>27</v>
      </c>
      <c r="T19" s="179" t="s">
        <v>130</v>
      </c>
      <c r="U19" s="1"/>
      <c r="V19" s="18"/>
      <c r="W19" s="51">
        <v>359</v>
      </c>
      <c r="X19" s="103">
        <v>359</v>
      </c>
      <c r="Y19" s="97">
        <v>359</v>
      </c>
      <c r="Z19" s="186">
        <v>359</v>
      </c>
      <c r="AA19" s="179" t="s">
        <v>130</v>
      </c>
      <c r="AB19" s="1"/>
      <c r="AC19" s="143"/>
      <c r="AD19" s="142"/>
      <c r="AE19" s="144">
        <v>0</v>
      </c>
      <c r="AF19" s="148"/>
      <c r="AG19" s="195"/>
      <c r="AH19" s="196"/>
      <c r="AI19" s="1"/>
      <c r="AJ19" s="1"/>
      <c r="AK19" s="1"/>
      <c r="AL19" s="1"/>
      <c r="AM19" s="1"/>
      <c r="AN19" s="1"/>
      <c r="AO19" s="1"/>
      <c r="AP19" s="1"/>
      <c r="AQ19" s="1"/>
      <c r="AR19" s="1"/>
      <c r="AS19" s="1"/>
    </row>
    <row r="20" spans="1:45" x14ac:dyDescent="0.35">
      <c r="A20" s="21" t="s">
        <v>71</v>
      </c>
      <c r="B20" s="159"/>
      <c r="C20" s="1"/>
      <c r="D20" s="18"/>
      <c r="E20" s="20"/>
      <c r="F20" s="20"/>
      <c r="G20" s="34"/>
      <c r="H20" s="165">
        <v>0</v>
      </c>
      <c r="I20" s="132"/>
      <c r="J20" s="166"/>
      <c r="K20" s="180"/>
      <c r="L20" s="1"/>
      <c r="M20" s="136"/>
      <c r="N20" s="135"/>
      <c r="O20" s="135"/>
      <c r="P20" s="137"/>
      <c r="Q20" s="136">
        <v>0</v>
      </c>
      <c r="R20" s="135"/>
      <c r="S20" s="156"/>
      <c r="T20" s="187"/>
      <c r="U20" s="1"/>
      <c r="V20" s="143"/>
      <c r="W20" s="142"/>
      <c r="X20" s="143">
        <v>0</v>
      </c>
      <c r="Y20" s="109"/>
      <c r="Z20" s="146"/>
      <c r="AA20" s="196"/>
      <c r="AB20" s="1"/>
      <c r="AC20" s="143"/>
      <c r="AD20" s="142"/>
      <c r="AE20" s="143">
        <v>0</v>
      </c>
      <c r="AF20" s="109"/>
      <c r="AG20" s="146"/>
      <c r="AH20" s="196"/>
      <c r="AI20" s="1"/>
      <c r="AJ20" s="1"/>
      <c r="AK20" s="1"/>
      <c r="AL20" s="1"/>
      <c r="AM20" s="1"/>
      <c r="AN20" s="1"/>
      <c r="AO20" s="1"/>
      <c r="AP20" s="1"/>
      <c r="AQ20" s="1"/>
      <c r="AR20" s="1"/>
      <c r="AS20" s="1"/>
    </row>
    <row r="21" spans="1:45" x14ac:dyDescent="0.35">
      <c r="A21" s="66" t="s">
        <v>38</v>
      </c>
      <c r="B21" s="159"/>
      <c r="C21" s="1"/>
      <c r="D21" s="82"/>
      <c r="E21" s="26"/>
      <c r="F21" s="26"/>
      <c r="G21" s="87"/>
      <c r="H21" s="168">
        <v>0</v>
      </c>
      <c r="I21" s="131"/>
      <c r="J21" s="169"/>
      <c r="K21" s="181"/>
      <c r="L21" s="30"/>
      <c r="M21" s="136"/>
      <c r="N21" s="135"/>
      <c r="O21" s="135"/>
      <c r="P21" s="137"/>
      <c r="Q21" s="138">
        <v>0</v>
      </c>
      <c r="R21" s="139"/>
      <c r="S21" s="185"/>
      <c r="T21" s="187"/>
      <c r="U21" s="1"/>
      <c r="V21" s="143"/>
      <c r="W21" s="142"/>
      <c r="X21" s="144">
        <v>0</v>
      </c>
      <c r="Y21" s="148"/>
      <c r="Z21" s="195"/>
      <c r="AA21" s="196"/>
      <c r="AB21" s="1"/>
      <c r="AC21" s="143"/>
      <c r="AD21" s="142"/>
      <c r="AE21" s="144">
        <v>0</v>
      </c>
      <c r="AF21" s="148"/>
      <c r="AG21" s="195"/>
      <c r="AH21" s="196"/>
      <c r="AI21" s="1"/>
      <c r="AJ21" s="1"/>
      <c r="AK21" s="1"/>
      <c r="AL21" s="1"/>
      <c r="AM21" s="1"/>
      <c r="AN21" s="1"/>
      <c r="AO21" s="1"/>
      <c r="AP21" s="1"/>
      <c r="AQ21" s="1"/>
      <c r="AR21" s="1"/>
      <c r="AS21" s="1"/>
    </row>
    <row r="22" spans="1:45" ht="43.5" x14ac:dyDescent="0.35">
      <c r="A22" s="21" t="s">
        <v>39</v>
      </c>
      <c r="B22" s="159"/>
      <c r="C22" s="1"/>
      <c r="D22" s="53">
        <v>721.04</v>
      </c>
      <c r="E22" s="26"/>
      <c r="F22" s="26"/>
      <c r="G22" s="87"/>
      <c r="H22" s="129">
        <v>721.04</v>
      </c>
      <c r="I22" s="104">
        <v>721.04</v>
      </c>
      <c r="J22" s="130">
        <v>721.04</v>
      </c>
      <c r="K22" s="179" t="s">
        <v>130</v>
      </c>
      <c r="L22" s="30"/>
      <c r="M22" s="75">
        <v>15.75</v>
      </c>
      <c r="N22" s="20"/>
      <c r="O22" s="20"/>
      <c r="P22" s="37">
        <v>49</v>
      </c>
      <c r="Q22" s="102">
        <f>AVERAGE(P22,M22)</f>
        <v>32.375</v>
      </c>
      <c r="R22" s="96">
        <f>MIN(M22:P22)</f>
        <v>15.75</v>
      </c>
      <c r="S22" s="183">
        <f>MAX(M22:P22)</f>
        <v>49</v>
      </c>
      <c r="T22" s="179" t="s">
        <v>136</v>
      </c>
      <c r="U22" s="1"/>
      <c r="V22" s="18"/>
      <c r="W22" s="51">
        <v>676</v>
      </c>
      <c r="X22" s="103">
        <v>676</v>
      </c>
      <c r="Y22" s="97">
        <v>676</v>
      </c>
      <c r="Z22" s="186">
        <v>676</v>
      </c>
      <c r="AA22" s="179" t="s">
        <v>130</v>
      </c>
      <c r="AB22" s="1"/>
      <c r="AC22" s="143"/>
      <c r="AD22" s="142"/>
      <c r="AE22" s="144">
        <v>0</v>
      </c>
      <c r="AF22" s="148"/>
      <c r="AG22" s="195"/>
      <c r="AH22" s="196"/>
      <c r="AI22" s="1"/>
      <c r="AJ22" s="1"/>
      <c r="AK22" s="1"/>
      <c r="AL22" s="1"/>
      <c r="AM22" s="1"/>
      <c r="AN22" s="1"/>
      <c r="AO22" s="1"/>
      <c r="AP22" s="1"/>
      <c r="AQ22" s="1"/>
      <c r="AR22" s="1"/>
      <c r="AS22" s="1"/>
    </row>
    <row r="23" spans="1:45" x14ac:dyDescent="0.35">
      <c r="A23" s="21" t="s">
        <v>41</v>
      </c>
      <c r="B23" s="159"/>
      <c r="C23" s="1"/>
      <c r="D23" s="18"/>
      <c r="E23" s="20"/>
      <c r="F23" s="20"/>
      <c r="G23" s="34"/>
      <c r="H23" s="165">
        <v>0</v>
      </c>
      <c r="I23" s="132"/>
      <c r="J23" s="166"/>
      <c r="K23" s="180"/>
      <c r="L23" s="1"/>
      <c r="M23" s="136"/>
      <c r="N23" s="135"/>
      <c r="O23" s="135"/>
      <c r="P23" s="137"/>
      <c r="Q23" s="136">
        <v>0</v>
      </c>
      <c r="R23" s="135"/>
      <c r="S23" s="156"/>
      <c r="T23" s="187"/>
      <c r="U23" s="1"/>
      <c r="V23" s="143"/>
      <c r="W23" s="142"/>
      <c r="X23" s="143">
        <v>0</v>
      </c>
      <c r="Y23" s="109"/>
      <c r="Z23" s="146"/>
      <c r="AA23" s="196"/>
      <c r="AB23" s="1"/>
      <c r="AC23" s="143"/>
      <c r="AD23" s="142"/>
      <c r="AE23" s="143">
        <v>0</v>
      </c>
      <c r="AF23" s="109"/>
      <c r="AG23" s="146"/>
      <c r="AH23" s="196"/>
      <c r="AI23" s="1"/>
      <c r="AJ23" s="1"/>
      <c r="AK23" s="1"/>
      <c r="AL23" s="1"/>
      <c r="AM23" s="1"/>
      <c r="AN23" s="1"/>
      <c r="AO23" s="1"/>
      <c r="AP23" s="1"/>
      <c r="AQ23" s="1"/>
      <c r="AR23" s="1"/>
      <c r="AS23" s="1"/>
    </row>
    <row r="24" spans="1:45" x14ac:dyDescent="0.35">
      <c r="A24" s="52" t="s">
        <v>42</v>
      </c>
      <c r="B24" s="159"/>
      <c r="C24" s="1"/>
      <c r="D24" s="18"/>
      <c r="E24" s="20"/>
      <c r="F24" s="20"/>
      <c r="G24" s="34"/>
      <c r="H24" s="165">
        <v>0</v>
      </c>
      <c r="I24" s="132"/>
      <c r="J24" s="166"/>
      <c r="K24" s="180"/>
      <c r="L24" s="1"/>
      <c r="M24" s="136"/>
      <c r="N24" s="135"/>
      <c r="O24" s="135"/>
      <c r="P24" s="137"/>
      <c r="Q24" s="136">
        <v>0</v>
      </c>
      <c r="R24" s="135"/>
      <c r="S24" s="156"/>
      <c r="T24" s="187"/>
      <c r="U24" s="1"/>
      <c r="V24" s="143"/>
      <c r="W24" s="142"/>
      <c r="X24" s="143">
        <v>0</v>
      </c>
      <c r="Y24" s="109"/>
      <c r="Z24" s="146"/>
      <c r="AA24" s="196"/>
      <c r="AB24" s="1"/>
      <c r="AC24" s="143"/>
      <c r="AD24" s="142"/>
      <c r="AE24" s="143">
        <v>0</v>
      </c>
      <c r="AF24" s="109"/>
      <c r="AG24" s="146"/>
      <c r="AH24" s="196"/>
      <c r="AI24" s="1"/>
      <c r="AJ24" s="1"/>
      <c r="AK24" s="1"/>
      <c r="AL24" s="1"/>
      <c r="AM24" s="1"/>
      <c r="AN24" s="1"/>
      <c r="AO24" s="1"/>
      <c r="AP24" s="1"/>
      <c r="AQ24" s="1"/>
      <c r="AR24" s="1"/>
      <c r="AS24" s="1"/>
    </row>
    <row r="25" spans="1:45" x14ac:dyDescent="0.35">
      <c r="A25" s="66" t="s">
        <v>43</v>
      </c>
      <c r="B25" s="159"/>
      <c r="C25" s="1"/>
      <c r="D25" s="18"/>
      <c r="E25" s="20"/>
      <c r="F25" s="20"/>
      <c r="G25" s="34"/>
      <c r="H25" s="165">
        <v>0</v>
      </c>
      <c r="I25" s="132"/>
      <c r="J25" s="166"/>
      <c r="K25" s="180"/>
      <c r="L25" s="1"/>
      <c r="M25" s="136"/>
      <c r="N25" s="135"/>
      <c r="O25" s="135"/>
      <c r="P25" s="137"/>
      <c r="Q25" s="136">
        <v>0</v>
      </c>
      <c r="R25" s="135"/>
      <c r="S25" s="156"/>
      <c r="T25" s="187"/>
      <c r="U25" s="1"/>
      <c r="V25" s="143"/>
      <c r="W25" s="142"/>
      <c r="X25" s="143">
        <v>0</v>
      </c>
      <c r="Y25" s="109"/>
      <c r="Z25" s="146"/>
      <c r="AA25" s="196"/>
      <c r="AB25" s="1"/>
      <c r="AC25" s="143"/>
      <c r="AD25" s="142"/>
      <c r="AE25" s="143">
        <v>0</v>
      </c>
      <c r="AF25" s="109"/>
      <c r="AG25" s="146"/>
      <c r="AH25" s="196"/>
      <c r="AI25" s="1"/>
      <c r="AJ25" s="1"/>
      <c r="AK25" s="1"/>
      <c r="AL25" s="1"/>
      <c r="AM25" s="1"/>
      <c r="AN25" s="1"/>
      <c r="AO25" s="1"/>
      <c r="AP25" s="1"/>
      <c r="AQ25" s="1"/>
      <c r="AR25" s="1"/>
      <c r="AS25" s="1"/>
    </row>
    <row r="26" spans="1:45" x14ac:dyDescent="0.35">
      <c r="A26" s="37" t="s">
        <v>44</v>
      </c>
      <c r="B26" s="159"/>
      <c r="C26" s="1"/>
      <c r="D26" s="18"/>
      <c r="E26" s="20"/>
      <c r="F26" s="20"/>
      <c r="G26" s="34"/>
      <c r="H26" s="165">
        <v>0</v>
      </c>
      <c r="I26" s="132"/>
      <c r="J26" s="166"/>
      <c r="K26" s="180"/>
      <c r="L26" s="1"/>
      <c r="M26" s="136"/>
      <c r="N26" s="135"/>
      <c r="O26" s="135"/>
      <c r="P26" s="137"/>
      <c r="Q26" s="136">
        <v>0</v>
      </c>
      <c r="R26" s="135"/>
      <c r="S26" s="156"/>
      <c r="T26" s="187"/>
      <c r="U26" s="1"/>
      <c r="V26" s="143"/>
      <c r="W26" s="142"/>
      <c r="X26" s="143">
        <v>0</v>
      </c>
      <c r="Y26" s="109"/>
      <c r="Z26" s="146"/>
      <c r="AA26" s="196"/>
      <c r="AB26" s="1"/>
      <c r="AC26" s="143"/>
      <c r="AD26" s="142"/>
      <c r="AE26" s="143">
        <v>0</v>
      </c>
      <c r="AF26" s="109"/>
      <c r="AG26" s="146"/>
      <c r="AH26" s="196"/>
      <c r="AI26" s="1"/>
      <c r="AJ26" s="1"/>
      <c r="AK26" s="1"/>
      <c r="AL26" s="1"/>
      <c r="AM26" s="1"/>
      <c r="AN26" s="1"/>
      <c r="AO26" s="1"/>
      <c r="AP26" s="1"/>
      <c r="AQ26" s="1"/>
      <c r="AR26" s="1"/>
      <c r="AS26" s="1"/>
    </row>
    <row r="27" spans="1:45" x14ac:dyDescent="0.35">
      <c r="A27" s="37" t="s">
        <v>45</v>
      </c>
      <c r="B27" s="159"/>
      <c r="C27" s="1"/>
      <c r="D27" s="18"/>
      <c r="E27" s="20"/>
      <c r="F27" s="20"/>
      <c r="G27" s="34"/>
      <c r="H27" s="165">
        <v>0</v>
      </c>
      <c r="I27" s="132"/>
      <c r="J27" s="166"/>
      <c r="K27" s="180"/>
      <c r="L27" s="1"/>
      <c r="M27" s="136"/>
      <c r="N27" s="135"/>
      <c r="O27" s="135"/>
      <c r="P27" s="137"/>
      <c r="Q27" s="136">
        <v>0</v>
      </c>
      <c r="R27" s="135"/>
      <c r="S27" s="156"/>
      <c r="T27" s="187"/>
      <c r="U27" s="1"/>
      <c r="V27" s="143"/>
      <c r="W27" s="142"/>
      <c r="X27" s="143">
        <v>0</v>
      </c>
      <c r="Y27" s="109"/>
      <c r="Z27" s="146"/>
      <c r="AA27" s="196"/>
      <c r="AB27" s="1"/>
      <c r="AC27" s="143"/>
      <c r="AD27" s="142"/>
      <c r="AE27" s="143">
        <v>0</v>
      </c>
      <c r="AF27" s="109"/>
      <c r="AG27" s="146"/>
      <c r="AH27" s="196"/>
      <c r="AI27" s="1"/>
      <c r="AJ27" s="1"/>
      <c r="AK27" s="1"/>
      <c r="AL27" s="1"/>
      <c r="AM27" s="1"/>
      <c r="AN27" s="1"/>
      <c r="AO27" s="1"/>
      <c r="AP27" s="1"/>
      <c r="AQ27" s="1"/>
      <c r="AR27" s="1"/>
      <c r="AS27" s="1"/>
    </row>
    <row r="28" spans="1:45" x14ac:dyDescent="0.35">
      <c r="A28" s="37" t="s">
        <v>46</v>
      </c>
      <c r="B28" s="159"/>
      <c r="C28" s="1"/>
      <c r="D28" s="18"/>
      <c r="E28" s="20"/>
      <c r="F28" s="20"/>
      <c r="G28" s="34"/>
      <c r="H28" s="165">
        <v>0</v>
      </c>
      <c r="I28" s="132"/>
      <c r="J28" s="166"/>
      <c r="K28" s="180"/>
      <c r="L28" s="1"/>
      <c r="M28" s="136"/>
      <c r="N28" s="135"/>
      <c r="O28" s="135"/>
      <c r="P28" s="137"/>
      <c r="Q28" s="136">
        <v>0</v>
      </c>
      <c r="R28" s="135"/>
      <c r="S28" s="156"/>
      <c r="T28" s="187"/>
      <c r="U28" s="1"/>
      <c r="V28" s="143"/>
      <c r="W28" s="142"/>
      <c r="X28" s="143">
        <v>0</v>
      </c>
      <c r="Y28" s="109"/>
      <c r="Z28" s="146"/>
      <c r="AA28" s="196"/>
      <c r="AB28" s="1"/>
      <c r="AC28" s="143"/>
      <c r="AD28" s="142"/>
      <c r="AE28" s="143">
        <v>0</v>
      </c>
      <c r="AF28" s="109"/>
      <c r="AG28" s="146"/>
      <c r="AH28" s="196"/>
      <c r="AI28" s="1"/>
      <c r="AJ28" s="1"/>
      <c r="AK28" s="1"/>
      <c r="AL28" s="1"/>
      <c r="AM28" s="1"/>
      <c r="AN28" s="1"/>
      <c r="AO28" s="1"/>
      <c r="AP28" s="1"/>
      <c r="AQ28" s="1"/>
      <c r="AR28" s="1"/>
      <c r="AS28" s="1"/>
    </row>
    <row r="29" spans="1:45" ht="50" customHeight="1" x14ac:dyDescent="0.35">
      <c r="A29" s="37" t="s">
        <v>48</v>
      </c>
      <c r="B29" s="57">
        <v>52500</v>
      </c>
      <c r="C29" s="1"/>
      <c r="D29" s="82"/>
      <c r="E29" s="27">
        <f>1000*(79.5*96.9/100)</f>
        <v>77035.5</v>
      </c>
      <c r="F29" s="26"/>
      <c r="G29" s="87"/>
      <c r="H29" s="170">
        <f>AVERAGE(B29,E29)</f>
        <v>64767.75</v>
      </c>
      <c r="I29" s="134">
        <f>B29</f>
        <v>52500</v>
      </c>
      <c r="J29" s="171">
        <f>E29</f>
        <v>77035.5</v>
      </c>
      <c r="K29" s="179" t="s">
        <v>136</v>
      </c>
      <c r="L29" s="30"/>
      <c r="M29" s="143"/>
      <c r="N29" s="35">
        <f>1000*(89.3*5.3/100)</f>
        <v>4732.8999999999996</v>
      </c>
      <c r="O29" s="109"/>
      <c r="P29" s="142"/>
      <c r="Q29" s="143"/>
      <c r="R29" s="109"/>
      <c r="S29" s="146"/>
      <c r="T29" s="188" t="s">
        <v>137</v>
      </c>
      <c r="U29" s="1"/>
      <c r="V29" s="143"/>
      <c r="W29" s="142"/>
      <c r="X29" s="144">
        <v>0</v>
      </c>
      <c r="Y29" s="148"/>
      <c r="Z29" s="195"/>
      <c r="AA29" s="196"/>
      <c r="AB29" s="1"/>
      <c r="AC29" s="18"/>
      <c r="AD29" s="191">
        <f>1000*(17.4*89.3/100)</f>
        <v>15538.199999999999</v>
      </c>
      <c r="AE29" s="129">
        <f>1000*(17.4*89.3/100)</f>
        <v>15538.199999999999</v>
      </c>
      <c r="AF29" s="104">
        <f t="shared" ref="AF29:AG29" si="1">1000*(17.4*89.3/100)</f>
        <v>15538.199999999999</v>
      </c>
      <c r="AG29" s="130">
        <f t="shared" si="1"/>
        <v>15538.199999999999</v>
      </c>
      <c r="AH29" s="179" t="s">
        <v>130</v>
      </c>
      <c r="AI29" s="1"/>
      <c r="AJ29" s="1"/>
      <c r="AK29" s="1"/>
      <c r="AL29" s="1"/>
      <c r="AM29" s="1"/>
      <c r="AN29" s="1"/>
      <c r="AO29" s="1"/>
      <c r="AP29" s="1"/>
      <c r="AQ29" s="1"/>
      <c r="AR29" s="1"/>
      <c r="AS29" s="1"/>
    </row>
    <row r="30" spans="1:45" x14ac:dyDescent="0.35">
      <c r="A30" s="21" t="s">
        <v>50</v>
      </c>
      <c r="B30" s="159"/>
      <c r="C30" s="1"/>
      <c r="D30" s="18"/>
      <c r="E30" s="20"/>
      <c r="F30" s="20"/>
      <c r="G30" s="34"/>
      <c r="H30" s="165">
        <v>0</v>
      </c>
      <c r="I30" s="132"/>
      <c r="J30" s="166"/>
      <c r="K30" s="180"/>
      <c r="L30" s="1"/>
      <c r="M30" s="136"/>
      <c r="N30" s="135"/>
      <c r="O30" s="135"/>
      <c r="P30" s="137"/>
      <c r="Q30" s="136">
        <v>0</v>
      </c>
      <c r="R30" s="135"/>
      <c r="S30" s="156"/>
      <c r="T30" s="187"/>
      <c r="U30" s="1"/>
      <c r="V30" s="143"/>
      <c r="W30" s="142"/>
      <c r="X30" s="143">
        <v>0</v>
      </c>
      <c r="Y30" s="109"/>
      <c r="Z30" s="146"/>
      <c r="AA30" s="196"/>
      <c r="AB30" s="1"/>
      <c r="AC30" s="143"/>
      <c r="AD30" s="142"/>
      <c r="AE30" s="143">
        <v>0</v>
      </c>
      <c r="AF30" s="109"/>
      <c r="AG30" s="146"/>
      <c r="AH30" s="196"/>
      <c r="AI30" s="1"/>
      <c r="AJ30" s="1"/>
      <c r="AK30" s="1"/>
      <c r="AL30" s="1"/>
      <c r="AM30" s="1"/>
      <c r="AN30" s="1"/>
      <c r="AO30" s="1"/>
      <c r="AP30" s="1"/>
      <c r="AQ30" s="1"/>
      <c r="AR30" s="1"/>
      <c r="AS30" s="1"/>
    </row>
    <row r="31" spans="1:45" x14ac:dyDescent="0.35">
      <c r="A31" s="21" t="s">
        <v>51</v>
      </c>
      <c r="B31" s="159"/>
      <c r="C31" s="1"/>
      <c r="D31" s="18"/>
      <c r="E31" s="20"/>
      <c r="F31" s="20"/>
      <c r="G31" s="34"/>
      <c r="H31" s="165">
        <v>0</v>
      </c>
      <c r="I31" s="132"/>
      <c r="J31" s="166"/>
      <c r="K31" s="180"/>
      <c r="L31" s="1"/>
      <c r="M31" s="136"/>
      <c r="N31" s="135"/>
      <c r="O31" s="135"/>
      <c r="P31" s="137"/>
      <c r="Q31" s="136">
        <v>0</v>
      </c>
      <c r="R31" s="135"/>
      <c r="S31" s="156"/>
      <c r="T31" s="187"/>
      <c r="U31" s="1"/>
      <c r="V31" s="143"/>
      <c r="W31" s="142"/>
      <c r="X31" s="143">
        <v>0</v>
      </c>
      <c r="Y31" s="109"/>
      <c r="Z31" s="146"/>
      <c r="AA31" s="196"/>
      <c r="AB31" s="1"/>
      <c r="AC31" s="143"/>
      <c r="AD31" s="142"/>
      <c r="AE31" s="143">
        <v>0</v>
      </c>
      <c r="AF31" s="109"/>
      <c r="AG31" s="146"/>
      <c r="AH31" s="196"/>
      <c r="AI31" s="1"/>
      <c r="AJ31" s="1"/>
      <c r="AK31" s="1"/>
      <c r="AL31" s="1"/>
      <c r="AM31" s="1"/>
      <c r="AN31" s="1"/>
      <c r="AO31" s="1"/>
      <c r="AP31" s="1"/>
      <c r="AQ31" s="1"/>
      <c r="AR31" s="1"/>
      <c r="AS31" s="1"/>
    </row>
    <row r="32" spans="1:45" x14ac:dyDescent="0.35">
      <c r="A32" s="66" t="s">
        <v>53</v>
      </c>
      <c r="B32" s="159"/>
      <c r="C32" s="1"/>
      <c r="D32" s="18"/>
      <c r="E32" s="20"/>
      <c r="F32" s="20"/>
      <c r="G32" s="34"/>
      <c r="H32" s="165">
        <v>0</v>
      </c>
      <c r="I32" s="132"/>
      <c r="J32" s="166"/>
      <c r="K32" s="180"/>
      <c r="L32" s="1"/>
      <c r="M32" s="136"/>
      <c r="N32" s="135"/>
      <c r="O32" s="135"/>
      <c r="P32" s="137"/>
      <c r="Q32" s="136">
        <v>0</v>
      </c>
      <c r="R32" s="135"/>
      <c r="S32" s="156"/>
      <c r="T32" s="187"/>
      <c r="U32" s="1"/>
      <c r="V32" s="143"/>
      <c r="W32" s="142"/>
      <c r="X32" s="143">
        <v>0</v>
      </c>
      <c r="Y32" s="109"/>
      <c r="Z32" s="146"/>
      <c r="AA32" s="196"/>
      <c r="AB32" s="1"/>
      <c r="AC32" s="143"/>
      <c r="AD32" s="142"/>
      <c r="AE32" s="143">
        <v>0</v>
      </c>
      <c r="AF32" s="109"/>
      <c r="AG32" s="146"/>
      <c r="AH32" s="196"/>
      <c r="AI32" s="1"/>
      <c r="AJ32" s="1"/>
      <c r="AK32" s="1"/>
      <c r="AL32" s="1"/>
      <c r="AM32" s="1"/>
      <c r="AN32" s="1"/>
      <c r="AO32" s="1"/>
      <c r="AP32" s="1"/>
      <c r="AQ32" s="1"/>
      <c r="AR32" s="1"/>
      <c r="AS32" s="1"/>
    </row>
    <row r="33" spans="1:45" x14ac:dyDescent="0.35">
      <c r="A33" s="21" t="s">
        <v>54</v>
      </c>
      <c r="B33" s="159"/>
      <c r="C33" s="1"/>
      <c r="D33" s="18"/>
      <c r="E33" s="20"/>
      <c r="F33" s="20"/>
      <c r="G33" s="34"/>
      <c r="H33" s="165">
        <v>0</v>
      </c>
      <c r="I33" s="132"/>
      <c r="J33" s="166"/>
      <c r="K33" s="180"/>
      <c r="L33" s="1"/>
      <c r="M33" s="136"/>
      <c r="N33" s="135"/>
      <c r="O33" s="135"/>
      <c r="P33" s="137"/>
      <c r="Q33" s="136">
        <v>0</v>
      </c>
      <c r="R33" s="135"/>
      <c r="S33" s="156"/>
      <c r="T33" s="187"/>
      <c r="U33" s="1"/>
      <c r="V33" s="143"/>
      <c r="W33" s="142"/>
      <c r="X33" s="143">
        <v>0</v>
      </c>
      <c r="Y33" s="109"/>
      <c r="Z33" s="146"/>
      <c r="AA33" s="196"/>
      <c r="AB33" s="1"/>
      <c r="AC33" s="143"/>
      <c r="AD33" s="142"/>
      <c r="AE33" s="143">
        <v>0</v>
      </c>
      <c r="AF33" s="109"/>
      <c r="AG33" s="146"/>
      <c r="AH33" s="196"/>
      <c r="AI33" s="1"/>
      <c r="AJ33" s="1"/>
      <c r="AK33" s="1"/>
      <c r="AL33" s="1"/>
      <c r="AM33" s="1"/>
      <c r="AN33" s="1"/>
      <c r="AO33" s="1"/>
      <c r="AP33" s="1"/>
      <c r="AQ33" s="1"/>
      <c r="AR33" s="1"/>
      <c r="AS33" s="1"/>
    </row>
    <row r="34" spans="1:45" x14ac:dyDescent="0.35">
      <c r="A34" s="21" t="s">
        <v>55</v>
      </c>
      <c r="B34" s="159"/>
      <c r="C34" s="1"/>
      <c r="D34" s="18"/>
      <c r="E34" s="20"/>
      <c r="F34" s="20"/>
      <c r="G34" s="34"/>
      <c r="H34" s="165">
        <v>0</v>
      </c>
      <c r="I34" s="132"/>
      <c r="J34" s="166"/>
      <c r="K34" s="180"/>
      <c r="L34" s="1"/>
      <c r="M34" s="136"/>
      <c r="N34" s="135"/>
      <c r="O34" s="135"/>
      <c r="P34" s="137"/>
      <c r="Q34" s="136">
        <v>0</v>
      </c>
      <c r="R34" s="135"/>
      <c r="S34" s="156"/>
      <c r="T34" s="187"/>
      <c r="U34" s="1"/>
      <c r="V34" s="143"/>
      <c r="W34" s="142"/>
      <c r="X34" s="143">
        <v>0</v>
      </c>
      <c r="Y34" s="109"/>
      <c r="Z34" s="146"/>
      <c r="AA34" s="196"/>
      <c r="AB34" s="1"/>
      <c r="AC34" s="143"/>
      <c r="AD34" s="142"/>
      <c r="AE34" s="143">
        <v>0</v>
      </c>
      <c r="AF34" s="109"/>
      <c r="AG34" s="146"/>
      <c r="AH34" s="196"/>
      <c r="AI34" s="1"/>
      <c r="AJ34" s="1"/>
      <c r="AK34" s="1"/>
      <c r="AL34" s="1"/>
      <c r="AM34" s="1"/>
      <c r="AN34" s="1"/>
      <c r="AO34" s="1"/>
      <c r="AP34" s="1"/>
      <c r="AQ34" s="1"/>
      <c r="AR34" s="1"/>
      <c r="AS34" s="1"/>
    </row>
    <row r="35" spans="1:45" x14ac:dyDescent="0.35">
      <c r="A35" s="21" t="s">
        <v>72</v>
      </c>
      <c r="B35" s="159"/>
      <c r="C35" s="1"/>
      <c r="D35" s="18"/>
      <c r="E35" s="20"/>
      <c r="F35" s="20"/>
      <c r="G35" s="34"/>
      <c r="H35" s="165">
        <v>0</v>
      </c>
      <c r="I35" s="132"/>
      <c r="J35" s="166"/>
      <c r="K35" s="180"/>
      <c r="L35" s="1"/>
      <c r="M35" s="136"/>
      <c r="N35" s="135"/>
      <c r="O35" s="135"/>
      <c r="P35" s="137"/>
      <c r="Q35" s="136">
        <v>0</v>
      </c>
      <c r="R35" s="135"/>
      <c r="S35" s="156"/>
      <c r="T35" s="187"/>
      <c r="U35" s="1"/>
      <c r="V35" s="143"/>
      <c r="W35" s="142"/>
      <c r="X35" s="143">
        <v>0</v>
      </c>
      <c r="Y35" s="109"/>
      <c r="Z35" s="146"/>
      <c r="AA35" s="196"/>
      <c r="AB35" s="1"/>
      <c r="AC35" s="143"/>
      <c r="AD35" s="142"/>
      <c r="AE35" s="143">
        <v>0</v>
      </c>
      <c r="AF35" s="109"/>
      <c r="AG35" s="146"/>
      <c r="AH35" s="196"/>
      <c r="AI35" s="1"/>
      <c r="AJ35" s="1"/>
      <c r="AK35" s="1"/>
      <c r="AL35" s="1"/>
      <c r="AM35" s="1"/>
      <c r="AN35" s="1"/>
      <c r="AO35" s="1"/>
      <c r="AP35" s="1"/>
      <c r="AQ35" s="1"/>
      <c r="AR35" s="1"/>
      <c r="AS35" s="1"/>
    </row>
    <row r="36" spans="1:45" x14ac:dyDescent="0.35">
      <c r="A36" s="37" t="s">
        <v>56</v>
      </c>
      <c r="B36" s="159"/>
      <c r="C36" s="1"/>
      <c r="D36" s="18"/>
      <c r="E36" s="20"/>
      <c r="F36" s="20"/>
      <c r="G36" s="34"/>
      <c r="H36" s="165">
        <v>0</v>
      </c>
      <c r="I36" s="132"/>
      <c r="J36" s="166"/>
      <c r="K36" s="180"/>
      <c r="L36" s="1"/>
      <c r="M36" s="136"/>
      <c r="N36" s="135"/>
      <c r="O36" s="135"/>
      <c r="P36" s="137"/>
      <c r="Q36" s="136">
        <v>0</v>
      </c>
      <c r="R36" s="135"/>
      <c r="S36" s="156"/>
      <c r="T36" s="187"/>
      <c r="U36" s="1"/>
      <c r="V36" s="143"/>
      <c r="W36" s="142"/>
      <c r="X36" s="143">
        <v>0</v>
      </c>
      <c r="Y36" s="109"/>
      <c r="Z36" s="146"/>
      <c r="AA36" s="196"/>
      <c r="AB36" s="1"/>
      <c r="AC36" s="143"/>
      <c r="AD36" s="142"/>
      <c r="AE36" s="143">
        <v>0</v>
      </c>
      <c r="AF36" s="109"/>
      <c r="AG36" s="146"/>
      <c r="AH36" s="196"/>
      <c r="AI36" s="1"/>
      <c r="AJ36" s="1"/>
      <c r="AK36" s="1"/>
      <c r="AL36" s="1"/>
      <c r="AM36" s="1"/>
      <c r="AN36" s="1"/>
      <c r="AO36" s="1"/>
      <c r="AP36" s="1"/>
      <c r="AQ36" s="1"/>
      <c r="AR36" s="1"/>
      <c r="AS36" s="1"/>
    </row>
    <row r="37" spans="1:45" ht="29" x14ac:dyDescent="0.35">
      <c r="A37" s="21" t="s">
        <v>57</v>
      </c>
      <c r="B37" s="159"/>
      <c r="C37" s="1"/>
      <c r="D37" s="82"/>
      <c r="E37" s="26"/>
      <c r="F37" s="26"/>
      <c r="G37" s="87"/>
      <c r="H37" s="172">
        <v>0</v>
      </c>
      <c r="I37" s="133"/>
      <c r="J37" s="173"/>
      <c r="K37" s="181"/>
      <c r="L37" s="30"/>
      <c r="M37" s="18"/>
      <c r="N37" s="20"/>
      <c r="O37" s="20"/>
      <c r="P37" s="51">
        <v>20</v>
      </c>
      <c r="Q37" s="103">
        <v>20</v>
      </c>
      <c r="R37" s="97">
        <v>20</v>
      </c>
      <c r="S37" s="186">
        <v>20</v>
      </c>
      <c r="T37" s="179" t="s">
        <v>130</v>
      </c>
      <c r="U37" s="1"/>
      <c r="V37" s="18"/>
      <c r="W37" s="51">
        <v>40</v>
      </c>
      <c r="X37" s="103">
        <v>40</v>
      </c>
      <c r="Y37" s="97">
        <v>40</v>
      </c>
      <c r="Z37" s="186">
        <v>40</v>
      </c>
      <c r="AA37" s="179" t="s">
        <v>130</v>
      </c>
      <c r="AB37" s="1"/>
      <c r="AC37" s="143"/>
      <c r="AD37" s="142"/>
      <c r="AE37" s="143">
        <v>0</v>
      </c>
      <c r="AF37" s="109"/>
      <c r="AG37" s="146"/>
      <c r="AH37" s="196"/>
      <c r="AI37" s="1"/>
      <c r="AJ37" s="1"/>
      <c r="AK37" s="1"/>
      <c r="AL37" s="1"/>
      <c r="AM37" s="1"/>
      <c r="AN37" s="1"/>
      <c r="AO37" s="1"/>
      <c r="AP37" s="1"/>
      <c r="AQ37" s="1"/>
      <c r="AR37" s="1"/>
      <c r="AS37" s="1"/>
    </row>
    <row r="38" spans="1:45" ht="15" thickBot="1" x14ac:dyDescent="0.4">
      <c r="A38" s="37" t="s">
        <v>59</v>
      </c>
      <c r="B38" s="161"/>
      <c r="C38" s="1"/>
      <c r="D38" s="88"/>
      <c r="E38" s="89"/>
      <c r="F38" s="89"/>
      <c r="G38" s="90"/>
      <c r="H38" s="174">
        <v>0</v>
      </c>
      <c r="I38" s="175"/>
      <c r="J38" s="176"/>
      <c r="K38" s="182"/>
      <c r="L38" s="1"/>
      <c r="M38" s="152"/>
      <c r="N38" s="153"/>
      <c r="O38" s="153"/>
      <c r="P38" s="154"/>
      <c r="Q38" s="152">
        <v>0</v>
      </c>
      <c r="R38" s="153"/>
      <c r="S38" s="157"/>
      <c r="T38" s="190"/>
      <c r="U38" s="1"/>
      <c r="V38" s="149"/>
      <c r="W38" s="192"/>
      <c r="X38" s="149">
        <v>0</v>
      </c>
      <c r="Y38" s="150"/>
      <c r="Z38" s="151"/>
      <c r="AA38" s="197"/>
      <c r="AB38" s="1"/>
      <c r="AC38" s="149"/>
      <c r="AD38" s="192"/>
      <c r="AE38" s="149">
        <v>0</v>
      </c>
      <c r="AF38" s="150"/>
      <c r="AG38" s="151"/>
      <c r="AH38" s="197"/>
      <c r="AI38" s="1"/>
      <c r="AJ38" s="1"/>
      <c r="AK38" s="1"/>
      <c r="AL38" s="1"/>
      <c r="AM38" s="1"/>
      <c r="AN38" s="1"/>
      <c r="AO38" s="1"/>
      <c r="AP38" s="1"/>
      <c r="AQ38" s="1"/>
      <c r="AR38" s="1"/>
      <c r="AS38" s="1"/>
    </row>
    <row r="39" spans="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pans="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row>
    <row r="56" spans="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spans="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row>
    <row r="58" spans="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spans="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row>
    <row r="60" spans="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row>
    <row r="61" spans="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row>
    <row r="62" spans="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row>
    <row r="63" spans="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row>
    <row r="64" spans="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row>
    <row r="65" spans="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row>
    <row r="66" spans="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row>
    <row r="67" spans="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row>
    <row r="68" spans="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row>
    <row r="69" spans="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row>
    <row r="70" spans="1:45" ht="44" customHeight="1" x14ac:dyDescent="0.35">
      <c r="X70" s="1"/>
      <c r="Y70" s="1"/>
      <c r="Z70" s="1"/>
      <c r="AA70" s="1"/>
      <c r="AB70" s="1"/>
      <c r="AC70" s="1"/>
      <c r="AD70" s="1"/>
      <c r="AE70" s="1"/>
      <c r="AF70" s="1"/>
      <c r="AG70" s="1"/>
      <c r="AH70" s="1"/>
      <c r="AI70" s="1"/>
      <c r="AJ70" s="1"/>
      <c r="AK70" s="1"/>
      <c r="AL70" s="1"/>
      <c r="AM70" s="1"/>
      <c r="AN70" s="1"/>
      <c r="AO70" s="1"/>
      <c r="AP70" s="1"/>
      <c r="AQ70" s="1"/>
      <c r="AR70" s="1"/>
      <c r="AS70" s="1"/>
    </row>
    <row r="71" spans="1:45" s="1" customFormat="1" x14ac:dyDescent="0.35"/>
    <row r="72" spans="1:45" s="1" customFormat="1" x14ac:dyDescent="0.35"/>
    <row r="73" spans="1:45" s="1" customFormat="1" x14ac:dyDescent="0.35"/>
    <row r="74" spans="1:45" s="1" customFormat="1" x14ac:dyDescent="0.35"/>
    <row r="75" spans="1:45" s="1" customFormat="1" x14ac:dyDescent="0.35"/>
    <row r="76" spans="1:45" s="1" customFormat="1" x14ac:dyDescent="0.35">
      <c r="A76" s="365"/>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365"/>
      <c r="AA76" s="365"/>
      <c r="AB76" s="365"/>
      <c r="AC76" s="365"/>
      <c r="AD76" s="365"/>
      <c r="AE76" s="365"/>
      <c r="AF76" s="365"/>
      <c r="AG76" s="365"/>
      <c r="AH76" s="365"/>
      <c r="AI76" s="365"/>
      <c r="AJ76" s="365"/>
      <c r="AK76" s="365"/>
      <c r="AL76" s="365"/>
      <c r="AM76" s="365"/>
    </row>
    <row r="77" spans="1:45" s="1" customFormat="1" x14ac:dyDescent="0.35"/>
    <row r="78" spans="1:45" s="1" customFormat="1" x14ac:dyDescent="0.35"/>
    <row r="79" spans="1:45" s="1" customFormat="1" x14ac:dyDescent="0.35"/>
    <row r="80" spans="1:45"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row r="254" s="1" customFormat="1" x14ac:dyDescent="0.35"/>
    <row r="255" s="1" customFormat="1" x14ac:dyDescent="0.35"/>
    <row r="256" s="1" customFormat="1" x14ac:dyDescent="0.35"/>
    <row r="257" s="1" customFormat="1" x14ac:dyDescent="0.35"/>
    <row r="258" s="1" customFormat="1" x14ac:dyDescent="0.35"/>
    <row r="259" s="1" customFormat="1" x14ac:dyDescent="0.35"/>
    <row r="260" s="1" customFormat="1" x14ac:dyDescent="0.35"/>
    <row r="261" s="1" customFormat="1" x14ac:dyDescent="0.35"/>
    <row r="262" s="1" customFormat="1" x14ac:dyDescent="0.35"/>
    <row r="263" s="1" customFormat="1" x14ac:dyDescent="0.35"/>
    <row r="264" s="1" customFormat="1" x14ac:dyDescent="0.35"/>
    <row r="265" s="1" customFormat="1" x14ac:dyDescent="0.35"/>
    <row r="266" s="1" customFormat="1" x14ac:dyDescent="0.35"/>
    <row r="267" s="1" customFormat="1" x14ac:dyDescent="0.35"/>
    <row r="268" s="1" customFormat="1" x14ac:dyDescent="0.35"/>
    <row r="269" s="1" customFormat="1" x14ac:dyDescent="0.35"/>
    <row r="270" s="1" customFormat="1" x14ac:dyDescent="0.35"/>
    <row r="271" s="1" customFormat="1" x14ac:dyDescent="0.35"/>
    <row r="272" s="1" customFormat="1" x14ac:dyDescent="0.35"/>
    <row r="273" s="1" customFormat="1" x14ac:dyDescent="0.35"/>
    <row r="274" s="1" customFormat="1" x14ac:dyDescent="0.35"/>
    <row r="275" s="1" customFormat="1" x14ac:dyDescent="0.35"/>
    <row r="276" s="1" customFormat="1" x14ac:dyDescent="0.35"/>
    <row r="277" s="1" customFormat="1" x14ac:dyDescent="0.35"/>
    <row r="278" s="1" customFormat="1" x14ac:dyDescent="0.35"/>
    <row r="279" s="1" customFormat="1" x14ac:dyDescent="0.35"/>
    <row r="280" s="1" customFormat="1" x14ac:dyDescent="0.35"/>
    <row r="281" s="1" customFormat="1" x14ac:dyDescent="0.35"/>
    <row r="282" s="1" customFormat="1" x14ac:dyDescent="0.35"/>
    <row r="283" s="1" customFormat="1" x14ac:dyDescent="0.35"/>
    <row r="284" s="1" customFormat="1" x14ac:dyDescent="0.35"/>
  </sheetData>
  <mergeCells count="16">
    <mergeCell ref="AE1:AE2"/>
    <mergeCell ref="AF1:AF2"/>
    <mergeCell ref="AG1:AG2"/>
    <mergeCell ref="M1:P1"/>
    <mergeCell ref="H1:H2"/>
    <mergeCell ref="I1:I2"/>
    <mergeCell ref="J1:J2"/>
    <mergeCell ref="X1:X2"/>
    <mergeCell ref="Y1:Y2"/>
    <mergeCell ref="Z1:Z2"/>
    <mergeCell ref="D1:G1"/>
    <mergeCell ref="V1:W1"/>
    <mergeCell ref="AC1:AD1"/>
    <mergeCell ref="Q1:Q2"/>
    <mergeCell ref="R1:R2"/>
    <mergeCell ref="S1:S2"/>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CCEC-3890-454A-8D55-DB73AE859073}">
  <sheetPr>
    <tabColor theme="2" tint="-9.9978637043366805E-2"/>
  </sheetPr>
  <dimension ref="A1:H71"/>
  <sheetViews>
    <sheetView topLeftCell="A7" zoomScale="85" zoomScaleNormal="85" workbookViewId="0">
      <selection activeCell="B22" sqref="B22"/>
    </sheetView>
  </sheetViews>
  <sheetFormatPr baseColWidth="10" defaultRowHeight="14.5" x14ac:dyDescent="0.35"/>
  <cols>
    <col min="1" max="1" width="27.7265625" customWidth="1"/>
    <col min="2" max="2" width="43.26953125" style="513" customWidth="1"/>
    <col min="3" max="3" width="17.90625" customWidth="1"/>
    <col min="4" max="4" width="13.36328125" bestFit="1" customWidth="1"/>
    <col min="5" max="5" width="35.6328125" customWidth="1"/>
    <col min="6" max="6" width="23.81640625" bestFit="1" customWidth="1"/>
    <col min="7" max="7" width="13.36328125" bestFit="1" customWidth="1"/>
  </cols>
  <sheetData>
    <row r="1" spans="1:3" x14ac:dyDescent="0.35">
      <c r="A1" s="561" t="s">
        <v>311</v>
      </c>
      <c r="B1" s="751" t="s">
        <v>60</v>
      </c>
      <c r="C1" s="751"/>
    </row>
    <row r="2" spans="1:3" x14ac:dyDescent="0.35">
      <c r="A2" s="758" t="s">
        <v>312</v>
      </c>
      <c r="B2" s="555" t="s">
        <v>165</v>
      </c>
      <c r="C2" s="20" t="s">
        <v>273</v>
      </c>
    </row>
    <row r="3" spans="1:3" x14ac:dyDescent="0.35">
      <c r="A3" s="759"/>
      <c r="B3" s="556" t="s">
        <v>206</v>
      </c>
      <c r="C3" s="20" t="s">
        <v>274</v>
      </c>
    </row>
    <row r="4" spans="1:3" x14ac:dyDescent="0.35">
      <c r="A4" s="759"/>
      <c r="B4" s="555" t="s">
        <v>198</v>
      </c>
      <c r="C4" s="20" t="s">
        <v>271</v>
      </c>
    </row>
    <row r="5" spans="1:3" x14ac:dyDescent="0.35">
      <c r="A5" s="759"/>
      <c r="B5" s="555" t="s">
        <v>267</v>
      </c>
      <c r="C5" s="557" t="s">
        <v>275</v>
      </c>
    </row>
    <row r="6" spans="1:3" x14ac:dyDescent="0.35">
      <c r="A6" s="759"/>
      <c r="B6" s="558" t="s">
        <v>205</v>
      </c>
      <c r="C6" s="20" t="s">
        <v>272</v>
      </c>
    </row>
    <row r="7" spans="1:3" x14ac:dyDescent="0.35">
      <c r="A7" s="759"/>
      <c r="B7" s="555" t="s">
        <v>264</v>
      </c>
      <c r="C7" s="20" t="s">
        <v>3</v>
      </c>
    </row>
    <row r="8" spans="1:3" x14ac:dyDescent="0.35">
      <c r="A8" s="759"/>
      <c r="B8" s="559" t="s">
        <v>164</v>
      </c>
      <c r="C8" s="20" t="s">
        <v>276</v>
      </c>
    </row>
    <row r="9" spans="1:3" x14ac:dyDescent="0.35">
      <c r="A9" s="759"/>
      <c r="B9" s="555" t="s">
        <v>169</v>
      </c>
      <c r="C9" s="20" t="s">
        <v>277</v>
      </c>
    </row>
    <row r="10" spans="1:3" x14ac:dyDescent="0.35">
      <c r="A10" s="759"/>
      <c r="B10" s="560" t="s">
        <v>170</v>
      </c>
      <c r="C10" s="20" t="s">
        <v>126</v>
      </c>
    </row>
    <row r="11" spans="1:3" x14ac:dyDescent="0.35">
      <c r="A11" s="759"/>
      <c r="B11" s="555" t="s">
        <v>263</v>
      </c>
      <c r="C11" s="20" t="s">
        <v>192</v>
      </c>
    </row>
    <row r="12" spans="1:3" x14ac:dyDescent="0.35">
      <c r="A12" s="759"/>
      <c r="B12" s="555" t="s">
        <v>263</v>
      </c>
      <c r="C12" s="20" t="s">
        <v>197</v>
      </c>
    </row>
    <row r="13" spans="1:3" x14ac:dyDescent="0.35">
      <c r="A13" s="759"/>
      <c r="B13" s="555" t="s">
        <v>204</v>
      </c>
      <c r="C13" s="20" t="s">
        <v>266</v>
      </c>
    </row>
    <row r="14" spans="1:3" x14ac:dyDescent="0.35">
      <c r="A14" s="759"/>
      <c r="B14" s="555" t="s">
        <v>199</v>
      </c>
      <c r="C14" s="20" t="s">
        <v>278</v>
      </c>
    </row>
    <row r="15" spans="1:3" x14ac:dyDescent="0.35">
      <c r="A15" s="759"/>
      <c r="B15" s="555" t="s">
        <v>262</v>
      </c>
      <c r="C15" s="20" t="s">
        <v>63</v>
      </c>
    </row>
    <row r="16" spans="1:3" x14ac:dyDescent="0.35">
      <c r="A16" s="759"/>
      <c r="B16" s="555" t="s">
        <v>261</v>
      </c>
      <c r="C16" s="20" t="s">
        <v>279</v>
      </c>
    </row>
    <row r="17" spans="1:3" x14ac:dyDescent="0.35">
      <c r="A17" s="759"/>
      <c r="B17" s="556" t="s">
        <v>207</v>
      </c>
      <c r="C17" s="20" t="s">
        <v>265</v>
      </c>
    </row>
    <row r="18" spans="1:3" x14ac:dyDescent="0.35">
      <c r="A18" s="759"/>
      <c r="B18" s="555" t="s">
        <v>209</v>
      </c>
      <c r="C18" s="20" t="s">
        <v>208</v>
      </c>
    </row>
    <row r="19" spans="1:3" x14ac:dyDescent="0.35">
      <c r="A19" s="759"/>
      <c r="B19" s="555" t="s">
        <v>212</v>
      </c>
      <c r="C19" s="20" t="s">
        <v>280</v>
      </c>
    </row>
    <row r="20" spans="1:3" x14ac:dyDescent="0.35">
      <c r="A20" s="759"/>
      <c r="B20" s="555" t="s">
        <v>213</v>
      </c>
      <c r="C20" s="20" t="s">
        <v>281</v>
      </c>
    </row>
    <row r="21" spans="1:3" x14ac:dyDescent="0.35">
      <c r="A21" s="759"/>
      <c r="B21" s="555" t="s">
        <v>226</v>
      </c>
      <c r="C21" s="20" t="s">
        <v>282</v>
      </c>
    </row>
    <row r="22" spans="1:3" x14ac:dyDescent="0.35">
      <c r="A22" s="760"/>
      <c r="B22" s="555" t="s">
        <v>427</v>
      </c>
      <c r="C22" s="617" t="s">
        <v>426</v>
      </c>
    </row>
    <row r="23" spans="1:3" x14ac:dyDescent="0.35">
      <c r="A23" s="754" t="s">
        <v>327</v>
      </c>
      <c r="B23" s="563" t="s">
        <v>313</v>
      </c>
      <c r="C23" s="20"/>
    </row>
    <row r="24" spans="1:3" x14ac:dyDescent="0.35">
      <c r="A24" s="754"/>
      <c r="B24" s="564" t="s">
        <v>164</v>
      </c>
      <c r="C24" s="20" t="s">
        <v>276</v>
      </c>
    </row>
    <row r="25" spans="1:3" x14ac:dyDescent="0.35">
      <c r="A25" s="754"/>
      <c r="B25" s="564" t="s">
        <v>314</v>
      </c>
      <c r="C25" s="20"/>
    </row>
    <row r="26" spans="1:3" x14ac:dyDescent="0.35">
      <c r="A26" s="754"/>
      <c r="B26" s="563" t="s">
        <v>315</v>
      </c>
      <c r="C26" s="20"/>
    </row>
    <row r="27" spans="1:3" x14ac:dyDescent="0.35">
      <c r="A27" s="754"/>
      <c r="B27" s="564" t="s">
        <v>316</v>
      </c>
      <c r="C27" s="20"/>
    </row>
    <row r="28" spans="1:3" x14ac:dyDescent="0.35">
      <c r="A28" s="28" t="s">
        <v>337</v>
      </c>
      <c r="B28" s="555" t="s">
        <v>347</v>
      </c>
      <c r="C28" s="20" t="s">
        <v>336</v>
      </c>
    </row>
    <row r="29" spans="1:3" x14ac:dyDescent="0.35">
      <c r="A29" s="28" t="s">
        <v>338</v>
      </c>
      <c r="B29" s="20" t="s">
        <v>348</v>
      </c>
      <c r="C29" s="20" t="s">
        <v>345</v>
      </c>
    </row>
    <row r="34" spans="1:8" x14ac:dyDescent="0.35">
      <c r="A34" s="96" t="s">
        <v>405</v>
      </c>
      <c r="B34" s="755" t="s">
        <v>383</v>
      </c>
      <c r="C34" s="756"/>
      <c r="D34" s="756"/>
      <c r="E34" s="756"/>
      <c r="F34" s="756"/>
      <c r="G34" s="756"/>
      <c r="H34" s="757"/>
    </row>
    <row r="35" spans="1:8" x14ac:dyDescent="0.35">
      <c r="A35" s="752" t="s">
        <v>403</v>
      </c>
      <c r="B35" s="752"/>
      <c r="C35" s="554" t="s">
        <v>384</v>
      </c>
      <c r="D35" s="554" t="s">
        <v>385</v>
      </c>
      <c r="E35" s="554" t="s">
        <v>339</v>
      </c>
      <c r="F35" s="554" t="s">
        <v>386</v>
      </c>
      <c r="G35" s="554" t="s">
        <v>387</v>
      </c>
      <c r="H35" s="20" t="s">
        <v>323</v>
      </c>
    </row>
    <row r="36" spans="1:8" x14ac:dyDescent="0.35">
      <c r="A36" s="586" t="s">
        <v>388</v>
      </c>
      <c r="B36" s="587" t="s">
        <v>389</v>
      </c>
      <c r="C36" s="20">
        <v>2.25</v>
      </c>
      <c r="D36" s="20">
        <v>3.73</v>
      </c>
      <c r="E36" s="20">
        <v>0.34</v>
      </c>
      <c r="F36" s="20">
        <v>0.81</v>
      </c>
      <c r="G36" s="20">
        <v>2.36</v>
      </c>
      <c r="H36" s="20" t="s">
        <v>404</v>
      </c>
    </row>
    <row r="37" spans="1:8" x14ac:dyDescent="0.35">
      <c r="A37" s="586" t="s">
        <v>390</v>
      </c>
      <c r="B37" s="96" t="s">
        <v>391</v>
      </c>
      <c r="C37" s="20">
        <v>1.33</v>
      </c>
      <c r="D37" s="20">
        <v>2.2000000000000002</v>
      </c>
      <c r="E37" s="20">
        <v>0.24</v>
      </c>
      <c r="F37" s="20">
        <v>0.51</v>
      </c>
      <c r="G37" s="20">
        <v>1.39</v>
      </c>
      <c r="H37" s="20" t="s">
        <v>404</v>
      </c>
    </row>
    <row r="38" spans="1:8" x14ac:dyDescent="0.35">
      <c r="A38" s="575" t="s">
        <v>392</v>
      </c>
      <c r="B38" s="587" t="s">
        <v>389</v>
      </c>
      <c r="C38" s="20">
        <v>1.44</v>
      </c>
      <c r="D38" s="20">
        <v>2.12</v>
      </c>
      <c r="E38" s="20">
        <v>0.2</v>
      </c>
      <c r="F38" s="20">
        <v>0.36</v>
      </c>
      <c r="G38" s="20">
        <v>1.58</v>
      </c>
      <c r="H38" s="20" t="s">
        <v>404</v>
      </c>
    </row>
    <row r="39" spans="1:8" x14ac:dyDescent="0.35">
      <c r="A39" s="575" t="s">
        <v>392</v>
      </c>
      <c r="B39" s="96" t="s">
        <v>391</v>
      </c>
      <c r="C39" s="20">
        <v>0.77</v>
      </c>
      <c r="D39" s="20">
        <v>1.29</v>
      </c>
      <c r="E39" s="20">
        <v>0.15</v>
      </c>
      <c r="F39" s="20">
        <v>0.23</v>
      </c>
      <c r="G39" s="20">
        <v>0.85</v>
      </c>
      <c r="H39" s="20" t="s">
        <v>404</v>
      </c>
    </row>
    <row r="40" spans="1:8" x14ac:dyDescent="0.35">
      <c r="B40"/>
    </row>
    <row r="41" spans="1:8" x14ac:dyDescent="0.35">
      <c r="A41" s="751" t="s">
        <v>393</v>
      </c>
      <c r="B41" s="751"/>
      <c r="C41" s="751"/>
    </row>
    <row r="42" spans="1:8" x14ac:dyDescent="0.35">
      <c r="A42" s="20" t="s">
        <v>394</v>
      </c>
      <c r="B42" s="20">
        <f>1*10^6</f>
        <v>1000000</v>
      </c>
      <c r="C42" s="20" t="s">
        <v>395</v>
      </c>
    </row>
    <row r="43" spans="1:8" x14ac:dyDescent="0.35">
      <c r="A43" s="20" t="s">
        <v>396</v>
      </c>
      <c r="B43" s="20">
        <f>365.25*24</f>
        <v>8766</v>
      </c>
      <c r="C43" s="20" t="s">
        <v>397</v>
      </c>
    </row>
    <row r="44" spans="1:8" x14ac:dyDescent="0.35">
      <c r="A44" s="20" t="s">
        <v>407</v>
      </c>
      <c r="B44" s="20">
        <v>0.45</v>
      </c>
      <c r="C44" s="20" t="s">
        <v>408</v>
      </c>
    </row>
    <row r="45" spans="1:8" x14ac:dyDescent="0.35">
      <c r="A45" s="20"/>
      <c r="B45"/>
    </row>
    <row r="46" spans="1:8" x14ac:dyDescent="0.35">
      <c r="A46" s="96" t="s">
        <v>406</v>
      </c>
      <c r="B46"/>
    </row>
    <row r="47" spans="1:8" x14ac:dyDescent="0.35">
      <c r="A47" s="752" t="s">
        <v>398</v>
      </c>
      <c r="B47" s="752"/>
      <c r="C47" s="554" t="s">
        <v>399</v>
      </c>
      <c r="D47" s="554" t="s">
        <v>400</v>
      </c>
      <c r="E47" s="752" t="s">
        <v>401</v>
      </c>
      <c r="F47" s="752"/>
      <c r="G47" s="554" t="s">
        <v>402</v>
      </c>
      <c r="H47" s="753" t="s">
        <v>323</v>
      </c>
    </row>
    <row r="48" spans="1:8" x14ac:dyDescent="0.35">
      <c r="A48" s="752" t="s">
        <v>403</v>
      </c>
      <c r="B48" s="752"/>
      <c r="C48" s="554" t="s">
        <v>384</v>
      </c>
      <c r="D48" s="554" t="s">
        <v>385</v>
      </c>
      <c r="E48" s="554" t="s">
        <v>339</v>
      </c>
      <c r="F48" s="554" t="s">
        <v>386</v>
      </c>
      <c r="G48" s="554" t="s">
        <v>387</v>
      </c>
      <c r="H48" s="753"/>
    </row>
    <row r="49" spans="1:8" x14ac:dyDescent="0.35">
      <c r="A49" s="586" t="s">
        <v>388</v>
      </c>
      <c r="B49" s="587" t="s">
        <v>389</v>
      </c>
      <c r="C49" s="585">
        <f>C36*$B$42/($B$43*$B$44)</f>
        <v>570.38558065252107</v>
      </c>
      <c r="D49" s="585">
        <f t="shared" ref="D49:G49" si="0">D36*$B$42/($B$43*$B$44)</f>
        <v>945.57254037062376</v>
      </c>
      <c r="E49" s="585">
        <f t="shared" si="0"/>
        <v>86.191598854158741</v>
      </c>
      <c r="F49" s="585">
        <f t="shared" si="0"/>
        <v>205.33880903490757</v>
      </c>
      <c r="G49" s="585">
        <f t="shared" si="0"/>
        <v>598.27109792886654</v>
      </c>
      <c r="H49" s="11" t="s">
        <v>335</v>
      </c>
    </row>
    <row r="50" spans="1:8" x14ac:dyDescent="0.35">
      <c r="A50" s="586" t="s">
        <v>390</v>
      </c>
      <c r="B50" s="96" t="s">
        <v>391</v>
      </c>
      <c r="C50" s="585">
        <f t="shared" ref="C50:G52" si="1">C37*$B$42/($B$43*$B$44)</f>
        <v>337.16125434126803</v>
      </c>
      <c r="D50" s="585">
        <f t="shared" si="1"/>
        <v>557.71034552690946</v>
      </c>
      <c r="E50" s="585">
        <f t="shared" si="1"/>
        <v>60.841128602935584</v>
      </c>
      <c r="F50" s="585">
        <f t="shared" si="1"/>
        <v>129.2873982812381</v>
      </c>
      <c r="G50" s="585">
        <f t="shared" si="1"/>
        <v>352.37153649200189</v>
      </c>
      <c r="H50" s="11" t="s">
        <v>335</v>
      </c>
    </row>
    <row r="51" spans="1:8" x14ac:dyDescent="0.35">
      <c r="A51" s="575" t="s">
        <v>392</v>
      </c>
      <c r="B51" s="587" t="s">
        <v>389</v>
      </c>
      <c r="C51" s="585">
        <f t="shared" si="1"/>
        <v>365.0467716176135</v>
      </c>
      <c r="D51" s="585">
        <f t="shared" si="1"/>
        <v>537.42996932593098</v>
      </c>
      <c r="E51" s="585">
        <f t="shared" si="1"/>
        <v>50.700940502446315</v>
      </c>
      <c r="F51" s="585">
        <f t="shared" si="1"/>
        <v>91.261692904403375</v>
      </c>
      <c r="G51" s="585">
        <f t="shared" si="1"/>
        <v>400.5374299693259</v>
      </c>
      <c r="H51" s="11" t="s">
        <v>335</v>
      </c>
    </row>
    <row r="52" spans="1:8" x14ac:dyDescent="0.35">
      <c r="A52" s="575" t="s">
        <v>392</v>
      </c>
      <c r="B52" s="96" t="s">
        <v>391</v>
      </c>
      <c r="C52" s="585">
        <f t="shared" si="1"/>
        <v>195.19862093441833</v>
      </c>
      <c r="D52" s="585">
        <f t="shared" si="1"/>
        <v>327.02106624077874</v>
      </c>
      <c r="E52" s="585">
        <f t="shared" si="1"/>
        <v>38.025705376834736</v>
      </c>
      <c r="F52" s="585">
        <f t="shared" si="1"/>
        <v>58.306081577813266</v>
      </c>
      <c r="G52" s="585">
        <f t="shared" si="1"/>
        <v>215.47899713539684</v>
      </c>
      <c r="H52" s="11" t="s">
        <v>335</v>
      </c>
    </row>
    <row r="55" spans="1:8" x14ac:dyDescent="0.35">
      <c r="B55" s="554" t="s">
        <v>409</v>
      </c>
      <c r="C55" s="554" t="s">
        <v>410</v>
      </c>
      <c r="D55" s="553"/>
    </row>
    <row r="56" spans="1:8" x14ac:dyDescent="0.35">
      <c r="A56" s="96" t="s">
        <v>417</v>
      </c>
      <c r="B56" s="554">
        <v>2020</v>
      </c>
      <c r="C56" s="554">
        <v>2050</v>
      </c>
      <c r="D56" s="554" t="s">
        <v>323</v>
      </c>
    </row>
    <row r="57" spans="1:8" x14ac:dyDescent="0.35">
      <c r="A57" s="148" t="s">
        <v>332</v>
      </c>
      <c r="B57" s="585">
        <v>57.5</v>
      </c>
      <c r="C57" s="585">
        <v>63.7</v>
      </c>
      <c r="D57" s="20" t="s">
        <v>411</v>
      </c>
    </row>
    <row r="58" spans="1:8" x14ac:dyDescent="0.35">
      <c r="A58" s="148" t="s">
        <v>412</v>
      </c>
      <c r="B58" s="585">
        <v>57.5</v>
      </c>
      <c r="C58" s="585">
        <v>312.7</v>
      </c>
      <c r="D58" s="20" t="s">
        <v>411</v>
      </c>
    </row>
    <row r="59" spans="1:8" x14ac:dyDescent="0.35">
      <c r="A59" s="148" t="s">
        <v>334</v>
      </c>
      <c r="B59" s="585">
        <v>57.5</v>
      </c>
      <c r="C59" s="585">
        <v>1191.5</v>
      </c>
      <c r="D59" s="20" t="s">
        <v>411</v>
      </c>
    </row>
    <row r="60" spans="1:8" x14ac:dyDescent="0.35">
      <c r="B60"/>
    </row>
    <row r="61" spans="1:8" x14ac:dyDescent="0.35">
      <c r="A61" s="751" t="s">
        <v>393</v>
      </c>
      <c r="B61" s="751"/>
      <c r="C61" s="751"/>
    </row>
    <row r="62" spans="1:8" x14ac:dyDescent="0.35">
      <c r="A62" s="20" t="s">
        <v>396</v>
      </c>
      <c r="B62" s="20">
        <f>365.25*24*3600</f>
        <v>31557600</v>
      </c>
      <c r="C62" s="20" t="s">
        <v>413</v>
      </c>
    </row>
    <row r="63" spans="1:8" x14ac:dyDescent="0.35">
      <c r="A63" s="20" t="s">
        <v>414</v>
      </c>
      <c r="B63" s="588">
        <f>10^9</f>
        <v>1000000000</v>
      </c>
      <c r="C63" s="20" t="s">
        <v>335</v>
      </c>
    </row>
    <row r="64" spans="1:8" x14ac:dyDescent="0.35">
      <c r="A64" s="20" t="s">
        <v>407</v>
      </c>
      <c r="B64" s="20">
        <v>0.8</v>
      </c>
      <c r="C64" s="20" t="s">
        <v>408</v>
      </c>
    </row>
    <row r="65" spans="1:6" x14ac:dyDescent="0.35">
      <c r="B65"/>
    </row>
    <row r="66" spans="1:6" x14ac:dyDescent="0.35">
      <c r="A66" s="553" t="s">
        <v>416</v>
      </c>
      <c r="B66" s="554" t="s">
        <v>409</v>
      </c>
      <c r="C66" s="554" t="s">
        <v>415</v>
      </c>
      <c r="D66" s="554" t="s">
        <v>415</v>
      </c>
      <c r="E66" s="554" t="s">
        <v>410</v>
      </c>
      <c r="F66" s="553"/>
    </row>
    <row r="67" spans="1:6" x14ac:dyDescent="0.35">
      <c r="A67" s="96" t="s">
        <v>418</v>
      </c>
      <c r="B67" s="554">
        <v>2020</v>
      </c>
      <c r="C67" s="554">
        <v>2030</v>
      </c>
      <c r="D67" s="554">
        <v>2040</v>
      </c>
      <c r="E67" s="554">
        <v>2050</v>
      </c>
      <c r="F67" s="554" t="s">
        <v>323</v>
      </c>
    </row>
    <row r="68" spans="1:6" x14ac:dyDescent="0.35">
      <c r="A68" s="148" t="s">
        <v>332</v>
      </c>
      <c r="B68" s="14">
        <f>B57*$B$63/($B$62*$B$64)</f>
        <v>2277.5813116333306</v>
      </c>
      <c r="C68" s="589">
        <f>$B68+($E68-$B68)/($E$67-$B$67)*(C$67-$B$67)</f>
        <v>2359.4422051529054</v>
      </c>
      <c r="D68" s="589">
        <f>$B68+($E68-$B68)/($E$67-$B$67)*(D$67-$B$67)</f>
        <v>2441.3030986724802</v>
      </c>
      <c r="E68" s="14">
        <f>C57*$B$63/($B$62*$B$64)</f>
        <v>2523.163992192055</v>
      </c>
      <c r="F68" s="20" t="s">
        <v>335</v>
      </c>
    </row>
    <row r="69" spans="1:6" x14ac:dyDescent="0.35">
      <c r="A69" s="148" t="s">
        <v>412</v>
      </c>
      <c r="B69" s="14">
        <f t="shared" ref="B69:B70" si="2">B58*$B$63/($B$62*$B$64)</f>
        <v>2277.5813116333306</v>
      </c>
      <c r="C69" s="589">
        <f t="shared" ref="C69:D70" si="3">$B69+($E69-$B69)/($E$67-$B$67)*(C$67-$B$67)</f>
        <v>5647.0813158584097</v>
      </c>
      <c r="D69" s="589">
        <f t="shared" si="3"/>
        <v>9016.5813200834891</v>
      </c>
      <c r="E69" s="14">
        <f t="shared" ref="E69:E70" si="4">C58*$B$63/($B$62*$B$64)</f>
        <v>12386.081324308567</v>
      </c>
      <c r="F69" s="20" t="s">
        <v>335</v>
      </c>
    </row>
    <row r="70" spans="1:6" x14ac:dyDescent="0.35">
      <c r="A70" s="148" t="s">
        <v>334</v>
      </c>
      <c r="B70" s="14">
        <f t="shared" si="2"/>
        <v>2277.5813116333306</v>
      </c>
      <c r="C70" s="589">
        <f t="shared" si="3"/>
        <v>17250.202803762008</v>
      </c>
      <c r="D70" s="589">
        <f t="shared" si="3"/>
        <v>32222.824295890685</v>
      </c>
      <c r="E70" s="14">
        <f t="shared" si="4"/>
        <v>47195.445788019366</v>
      </c>
      <c r="F70" s="20" t="s">
        <v>335</v>
      </c>
    </row>
    <row r="71" spans="1:6" x14ac:dyDescent="0.35">
      <c r="B71"/>
    </row>
  </sheetData>
  <mergeCells count="11">
    <mergeCell ref="B1:C1"/>
    <mergeCell ref="A23:A27"/>
    <mergeCell ref="A41:C41"/>
    <mergeCell ref="A47:B47"/>
    <mergeCell ref="B34:H34"/>
    <mergeCell ref="A2:A22"/>
    <mergeCell ref="A61:C61"/>
    <mergeCell ref="E47:F47"/>
    <mergeCell ref="H47:H48"/>
    <mergeCell ref="A48:B48"/>
    <mergeCell ref="A35:B35"/>
  </mergeCells>
  <hyperlinks>
    <hyperlink ref="C22" r:id="rId1" display="https://doi.org/10.1038/s41467-025-56592-5" xr:uid="{303D7B44-E1A4-4EC8-83E3-4A099EF8464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CBBB-7F59-43D6-B604-C46B26367D53}">
  <sheetPr>
    <tabColor rgb="FFF5DFF9"/>
  </sheetPr>
  <dimension ref="A1:D14"/>
  <sheetViews>
    <sheetView workbookViewId="0">
      <selection activeCell="B12" sqref="B12"/>
    </sheetView>
  </sheetViews>
  <sheetFormatPr baseColWidth="10" defaultRowHeight="14.5" x14ac:dyDescent="0.35"/>
  <cols>
    <col min="1" max="1" width="13.08984375" bestFit="1" customWidth="1"/>
    <col min="2" max="2" width="6.36328125" bestFit="1" customWidth="1"/>
    <col min="3" max="3" width="6" customWidth="1"/>
    <col min="4" max="4" width="20.26953125" bestFit="1" customWidth="1"/>
  </cols>
  <sheetData>
    <row r="1" spans="1:4" x14ac:dyDescent="0.35">
      <c r="A1" s="571" t="s">
        <v>317</v>
      </c>
      <c r="B1" s="571" t="s">
        <v>327</v>
      </c>
      <c r="C1" s="571" t="s">
        <v>323</v>
      </c>
      <c r="D1" s="571" t="s">
        <v>60</v>
      </c>
    </row>
    <row r="2" spans="1:4" x14ac:dyDescent="0.35">
      <c r="A2" s="552" t="s">
        <v>128</v>
      </c>
      <c r="B2" s="567">
        <v>0.7</v>
      </c>
      <c r="C2" s="548" t="s">
        <v>324</v>
      </c>
      <c r="D2" s="16" t="s">
        <v>313</v>
      </c>
    </row>
    <row r="3" spans="1:4" x14ac:dyDescent="0.35">
      <c r="A3" s="552" t="s">
        <v>73</v>
      </c>
      <c r="B3" s="567">
        <v>0.80499999999999994</v>
      </c>
      <c r="C3" s="548" t="s">
        <v>324</v>
      </c>
      <c r="D3" s="569" t="s">
        <v>164</v>
      </c>
    </row>
    <row r="4" spans="1:4" x14ac:dyDescent="0.35">
      <c r="A4" s="552" t="s">
        <v>322</v>
      </c>
      <c r="B4" s="567">
        <v>0.42</v>
      </c>
      <c r="C4" s="548" t="s">
        <v>324</v>
      </c>
      <c r="D4" s="16" t="s">
        <v>313</v>
      </c>
    </row>
    <row r="5" spans="1:4" x14ac:dyDescent="0.35">
      <c r="A5" s="552" t="s">
        <v>318</v>
      </c>
      <c r="B5" s="567">
        <v>0.8</v>
      </c>
      <c r="C5" s="548" t="s">
        <v>324</v>
      </c>
      <c r="D5" s="569" t="s">
        <v>314</v>
      </c>
    </row>
    <row r="6" spans="1:4" x14ac:dyDescent="0.35">
      <c r="A6" s="552" t="s">
        <v>305</v>
      </c>
      <c r="B6" s="567">
        <v>0.81</v>
      </c>
      <c r="C6" s="548" t="s">
        <v>324</v>
      </c>
      <c r="D6" s="16" t="s">
        <v>313</v>
      </c>
    </row>
    <row r="7" spans="1:4" x14ac:dyDescent="0.35">
      <c r="A7" s="552" t="s">
        <v>243</v>
      </c>
      <c r="B7" s="567">
        <v>0.45</v>
      </c>
      <c r="C7" s="548" t="s">
        <v>324</v>
      </c>
      <c r="D7" s="16" t="s">
        <v>313</v>
      </c>
    </row>
    <row r="8" spans="1:4" x14ac:dyDescent="0.35">
      <c r="A8" s="552" t="s">
        <v>244</v>
      </c>
      <c r="B8" s="567">
        <v>0.8125</v>
      </c>
      <c r="C8" s="548" t="s">
        <v>324</v>
      </c>
      <c r="D8" s="16" t="s">
        <v>315</v>
      </c>
    </row>
    <row r="9" spans="1:4" x14ac:dyDescent="0.35">
      <c r="A9" s="552" t="s">
        <v>75</v>
      </c>
      <c r="B9" s="567">
        <v>0.13</v>
      </c>
      <c r="C9" s="548" t="s">
        <v>324</v>
      </c>
      <c r="D9" s="569" t="s">
        <v>316</v>
      </c>
    </row>
    <row r="10" spans="1:4" x14ac:dyDescent="0.35">
      <c r="A10" s="552" t="s">
        <v>319</v>
      </c>
      <c r="B10" s="567">
        <v>0.161</v>
      </c>
      <c r="C10" s="548" t="s">
        <v>324</v>
      </c>
      <c r="D10" s="16" t="s">
        <v>313</v>
      </c>
    </row>
    <row r="11" spans="1:4" x14ac:dyDescent="0.35">
      <c r="A11" s="552" t="s">
        <v>92</v>
      </c>
      <c r="B11" s="567">
        <v>0.375</v>
      </c>
      <c r="C11" s="548" t="s">
        <v>324</v>
      </c>
      <c r="D11" s="16" t="s">
        <v>313</v>
      </c>
    </row>
    <row r="12" spans="1:4" x14ac:dyDescent="0.35">
      <c r="A12" s="552" t="s">
        <v>321</v>
      </c>
      <c r="B12" s="567">
        <v>0.39</v>
      </c>
      <c r="C12" s="548" t="s">
        <v>324</v>
      </c>
      <c r="D12" s="16" t="s">
        <v>313</v>
      </c>
    </row>
    <row r="13" spans="1:4" x14ac:dyDescent="0.35">
      <c r="A13" s="552" t="s">
        <v>320</v>
      </c>
      <c r="B13" s="567">
        <v>0.36</v>
      </c>
      <c r="C13" s="548" t="s">
        <v>324</v>
      </c>
      <c r="D13" s="16" t="s">
        <v>313</v>
      </c>
    </row>
    <row r="14" spans="1:4" x14ac:dyDescent="0.35">
      <c r="A14" s="1"/>
    </row>
  </sheetData>
  <sortState xmlns:xlrd2="http://schemas.microsoft.com/office/spreadsheetml/2017/richdata2" ref="A2:D14">
    <sortCondition ref="A1:A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10A60-1654-4E40-B446-5CAA87DA7139}">
  <sheetPr>
    <tabColor rgb="FFF5DFF9"/>
  </sheetPr>
  <dimension ref="A1:R11"/>
  <sheetViews>
    <sheetView topLeftCell="E1" workbookViewId="0">
      <selection activeCell="E1" sqref="E1"/>
    </sheetView>
  </sheetViews>
  <sheetFormatPr baseColWidth="10" defaultRowHeight="14.5" x14ac:dyDescent="0.35"/>
  <cols>
    <col min="1" max="1" width="13.08984375" bestFit="1" customWidth="1"/>
    <col min="2" max="2" width="9.7265625" customWidth="1"/>
    <col min="3" max="3" width="12.36328125" bestFit="1" customWidth="1"/>
    <col min="4" max="4" width="14.81640625" bestFit="1" customWidth="1"/>
    <col min="5" max="5" width="13.36328125" bestFit="1" customWidth="1"/>
    <col min="6" max="6" width="13.7265625" bestFit="1" customWidth="1"/>
    <col min="7" max="7" width="12.36328125" customWidth="1"/>
    <col min="8" max="8" width="8.81640625" customWidth="1"/>
    <col min="16" max="16" width="15" bestFit="1" customWidth="1"/>
  </cols>
  <sheetData>
    <row r="1" spans="1:18" x14ac:dyDescent="0.35">
      <c r="A1" s="570" t="s">
        <v>325</v>
      </c>
      <c r="B1" s="570" t="s">
        <v>326</v>
      </c>
      <c r="C1" s="570" t="s">
        <v>269</v>
      </c>
      <c r="D1" s="570" t="s">
        <v>295</v>
      </c>
      <c r="E1" s="570" t="s">
        <v>296</v>
      </c>
      <c r="F1" s="570" t="s">
        <v>270</v>
      </c>
      <c r="G1" s="570" t="s">
        <v>301</v>
      </c>
      <c r="H1" s="570" t="s">
        <v>302</v>
      </c>
      <c r="I1" s="570" t="s">
        <v>303</v>
      </c>
      <c r="J1" s="570" t="s">
        <v>304</v>
      </c>
      <c r="K1" s="570" t="s">
        <v>244</v>
      </c>
      <c r="L1" s="570" t="s">
        <v>243</v>
      </c>
      <c r="M1" s="570" t="s">
        <v>128</v>
      </c>
      <c r="N1" s="570" t="s">
        <v>305</v>
      </c>
      <c r="O1" s="570" t="s">
        <v>306</v>
      </c>
      <c r="P1" s="570" t="s">
        <v>307</v>
      </c>
      <c r="Q1" s="570" t="s">
        <v>308</v>
      </c>
      <c r="R1" s="570" t="s">
        <v>309</v>
      </c>
    </row>
    <row r="2" spans="1:18" x14ac:dyDescent="0.35">
      <c r="A2" s="67" t="s">
        <v>128</v>
      </c>
      <c r="B2" s="20">
        <v>0</v>
      </c>
      <c r="C2" s="20">
        <v>0</v>
      </c>
      <c r="D2" s="20">
        <v>0</v>
      </c>
      <c r="E2" s="20">
        <v>0</v>
      </c>
      <c r="F2" s="20">
        <v>0</v>
      </c>
      <c r="G2" s="20">
        <v>0</v>
      </c>
      <c r="H2" s="20">
        <v>0</v>
      </c>
      <c r="I2" s="20">
        <v>0</v>
      </c>
      <c r="J2" s="20">
        <v>0</v>
      </c>
      <c r="K2" s="20">
        <v>0</v>
      </c>
      <c r="L2" s="20">
        <v>0</v>
      </c>
      <c r="M2" s="20">
        <v>1</v>
      </c>
      <c r="N2" s="20">
        <v>0</v>
      </c>
      <c r="O2" s="20">
        <v>0</v>
      </c>
      <c r="P2" s="20">
        <v>0</v>
      </c>
      <c r="Q2" s="20">
        <v>0</v>
      </c>
      <c r="R2" s="20">
        <v>0</v>
      </c>
    </row>
    <row r="3" spans="1:18" x14ac:dyDescent="0.35">
      <c r="A3" s="67" t="s">
        <v>73</v>
      </c>
      <c r="B3" s="20">
        <v>0</v>
      </c>
      <c r="C3" s="20">
        <v>0</v>
      </c>
      <c r="D3" s="20">
        <v>0</v>
      </c>
      <c r="E3" s="20">
        <v>0</v>
      </c>
      <c r="F3" s="20">
        <v>0</v>
      </c>
      <c r="G3" s="20">
        <v>0</v>
      </c>
      <c r="H3" s="20">
        <v>0</v>
      </c>
      <c r="I3" s="20">
        <v>0</v>
      </c>
      <c r="J3" s="20">
        <v>0</v>
      </c>
      <c r="K3" s="20">
        <v>0</v>
      </c>
      <c r="L3" s="20">
        <v>0</v>
      </c>
      <c r="M3" s="20">
        <v>0</v>
      </c>
      <c r="N3" s="20">
        <v>0</v>
      </c>
      <c r="O3" s="20">
        <v>1</v>
      </c>
      <c r="P3" s="20">
        <v>0</v>
      </c>
      <c r="Q3" s="20">
        <v>0</v>
      </c>
      <c r="R3" s="20">
        <v>0</v>
      </c>
    </row>
    <row r="4" spans="1:18" x14ac:dyDescent="0.35">
      <c r="A4" s="67" t="s">
        <v>318</v>
      </c>
      <c r="B4" s="20">
        <v>0</v>
      </c>
      <c r="C4" s="20">
        <v>0</v>
      </c>
      <c r="D4" s="20">
        <v>0</v>
      </c>
      <c r="E4" s="20">
        <v>0</v>
      </c>
      <c r="F4" s="20">
        <v>0</v>
      </c>
      <c r="G4" s="20">
        <v>0</v>
      </c>
      <c r="H4" s="20">
        <v>0</v>
      </c>
      <c r="I4" s="20">
        <v>0</v>
      </c>
      <c r="J4" s="20">
        <v>0</v>
      </c>
      <c r="K4" s="20">
        <v>0</v>
      </c>
      <c r="L4" s="20">
        <v>0</v>
      </c>
      <c r="M4" s="20">
        <v>0</v>
      </c>
      <c r="N4" s="20">
        <v>0</v>
      </c>
      <c r="O4" s="20">
        <v>0</v>
      </c>
      <c r="P4" s="20">
        <v>1</v>
      </c>
      <c r="Q4" s="20">
        <v>0</v>
      </c>
      <c r="R4" s="20">
        <v>1</v>
      </c>
    </row>
    <row r="5" spans="1:18" x14ac:dyDescent="0.35">
      <c r="A5" s="67" t="s">
        <v>305</v>
      </c>
      <c r="B5" s="20">
        <v>0</v>
      </c>
      <c r="C5" s="20">
        <v>0</v>
      </c>
      <c r="D5" s="20">
        <v>0</v>
      </c>
      <c r="E5" s="20">
        <v>0</v>
      </c>
      <c r="F5" s="20">
        <v>0</v>
      </c>
      <c r="G5" s="20">
        <v>0</v>
      </c>
      <c r="H5" s="20">
        <v>0</v>
      </c>
      <c r="I5" s="20">
        <v>0</v>
      </c>
      <c r="J5" s="20">
        <v>0</v>
      </c>
      <c r="K5" s="20">
        <v>0</v>
      </c>
      <c r="L5" s="20">
        <v>0</v>
      </c>
      <c r="M5" s="20">
        <v>0</v>
      </c>
      <c r="N5" s="20">
        <v>1</v>
      </c>
      <c r="O5" s="20">
        <v>0</v>
      </c>
      <c r="P5" s="20">
        <v>0</v>
      </c>
      <c r="Q5" s="20">
        <v>0</v>
      </c>
      <c r="R5" s="20">
        <v>0</v>
      </c>
    </row>
    <row r="6" spans="1:18" x14ac:dyDescent="0.35">
      <c r="A6" s="67" t="s">
        <v>243</v>
      </c>
      <c r="B6" s="20">
        <v>0</v>
      </c>
      <c r="C6" s="20">
        <v>0</v>
      </c>
      <c r="D6" s="20">
        <v>0</v>
      </c>
      <c r="E6" s="20">
        <v>0</v>
      </c>
      <c r="F6" s="20">
        <v>0</v>
      </c>
      <c r="G6" s="20">
        <v>0</v>
      </c>
      <c r="H6" s="20">
        <v>0</v>
      </c>
      <c r="I6" s="20">
        <v>0</v>
      </c>
      <c r="J6" s="20">
        <v>0</v>
      </c>
      <c r="K6" s="20">
        <v>0</v>
      </c>
      <c r="L6" s="20">
        <v>1</v>
      </c>
      <c r="M6" s="20">
        <v>0</v>
      </c>
      <c r="N6" s="20">
        <v>0</v>
      </c>
      <c r="O6" s="20">
        <v>0</v>
      </c>
      <c r="P6" s="20">
        <v>0</v>
      </c>
      <c r="Q6" s="20">
        <v>0</v>
      </c>
      <c r="R6" s="20">
        <v>0</v>
      </c>
    </row>
    <row r="7" spans="1:18" x14ac:dyDescent="0.35">
      <c r="A7" s="67" t="s">
        <v>244</v>
      </c>
      <c r="B7" s="20">
        <v>0</v>
      </c>
      <c r="C7" s="20">
        <v>0</v>
      </c>
      <c r="D7" s="20">
        <v>0</v>
      </c>
      <c r="E7" s="20">
        <v>0</v>
      </c>
      <c r="F7" s="20">
        <v>0</v>
      </c>
      <c r="G7" s="20">
        <v>0</v>
      </c>
      <c r="H7" s="20">
        <v>0</v>
      </c>
      <c r="I7" s="20">
        <v>0</v>
      </c>
      <c r="J7" s="20">
        <v>0</v>
      </c>
      <c r="K7" s="20">
        <v>1</v>
      </c>
      <c r="L7" s="20">
        <v>0</v>
      </c>
      <c r="M7" s="20">
        <v>0</v>
      </c>
      <c r="N7" s="20">
        <v>0</v>
      </c>
      <c r="O7" s="20">
        <v>0</v>
      </c>
      <c r="P7" s="20">
        <v>0</v>
      </c>
      <c r="Q7" s="20">
        <v>0</v>
      </c>
      <c r="R7" s="20">
        <v>0</v>
      </c>
    </row>
    <row r="8" spans="1:18" x14ac:dyDescent="0.35">
      <c r="A8" s="67" t="s">
        <v>75</v>
      </c>
      <c r="B8" s="20">
        <v>0</v>
      </c>
      <c r="C8" s="20">
        <v>0</v>
      </c>
      <c r="D8" s="20">
        <v>0</v>
      </c>
      <c r="E8" s="20">
        <v>0</v>
      </c>
      <c r="F8" s="20">
        <v>0</v>
      </c>
      <c r="G8" s="20">
        <v>0</v>
      </c>
      <c r="H8" s="20">
        <v>0</v>
      </c>
      <c r="I8" s="20">
        <v>0</v>
      </c>
      <c r="J8" s="20">
        <v>0</v>
      </c>
      <c r="K8" s="20">
        <v>0</v>
      </c>
      <c r="L8" s="20">
        <v>0</v>
      </c>
      <c r="M8" s="20">
        <v>0</v>
      </c>
      <c r="N8" s="20">
        <v>0</v>
      </c>
      <c r="O8" s="20">
        <v>0</v>
      </c>
      <c r="P8" s="20">
        <v>0</v>
      </c>
      <c r="Q8" s="20">
        <v>1</v>
      </c>
      <c r="R8" s="20">
        <v>0</v>
      </c>
    </row>
    <row r="9" spans="1:18" x14ac:dyDescent="0.35">
      <c r="A9" s="67" t="s">
        <v>319</v>
      </c>
      <c r="B9" s="20">
        <v>1</v>
      </c>
      <c r="C9" s="20">
        <v>1</v>
      </c>
      <c r="D9" s="20">
        <v>1</v>
      </c>
      <c r="E9" s="20">
        <v>1</v>
      </c>
      <c r="F9" s="20">
        <v>0</v>
      </c>
      <c r="G9" s="20">
        <v>0</v>
      </c>
      <c r="H9" s="20">
        <v>0</v>
      </c>
      <c r="I9" s="20">
        <v>0</v>
      </c>
      <c r="J9" s="20">
        <v>0</v>
      </c>
      <c r="K9" s="20">
        <v>0</v>
      </c>
      <c r="L9" s="20">
        <v>0</v>
      </c>
      <c r="M9" s="20">
        <v>0</v>
      </c>
      <c r="N9" s="20">
        <v>0</v>
      </c>
      <c r="O9" s="20">
        <v>0</v>
      </c>
      <c r="P9" s="20">
        <v>0</v>
      </c>
      <c r="Q9" s="20">
        <v>0</v>
      </c>
      <c r="R9" s="20">
        <v>0</v>
      </c>
    </row>
    <row r="10" spans="1:18" x14ac:dyDescent="0.35">
      <c r="A10" s="67" t="s">
        <v>321</v>
      </c>
      <c r="B10" s="20">
        <v>0</v>
      </c>
      <c r="C10" s="20">
        <v>0</v>
      </c>
      <c r="D10" s="20">
        <v>0</v>
      </c>
      <c r="E10" s="20">
        <v>0</v>
      </c>
      <c r="F10" s="20">
        <v>0</v>
      </c>
      <c r="G10" s="20">
        <v>1</v>
      </c>
      <c r="H10" s="20">
        <v>1</v>
      </c>
      <c r="I10" s="20">
        <v>1</v>
      </c>
      <c r="J10" s="20">
        <v>1</v>
      </c>
      <c r="K10" s="20">
        <v>0</v>
      </c>
      <c r="L10" s="20">
        <v>0</v>
      </c>
      <c r="M10" s="20">
        <v>0</v>
      </c>
      <c r="N10" s="20">
        <v>0</v>
      </c>
      <c r="O10" s="20">
        <v>0</v>
      </c>
      <c r="P10" s="20">
        <v>0</v>
      </c>
      <c r="Q10" s="20">
        <v>0</v>
      </c>
      <c r="R10" s="20">
        <v>0</v>
      </c>
    </row>
    <row r="11" spans="1:18" x14ac:dyDescent="0.35">
      <c r="A11" s="67" t="s">
        <v>320</v>
      </c>
      <c r="B11" s="20">
        <v>0</v>
      </c>
      <c r="C11" s="20">
        <v>0</v>
      </c>
      <c r="D11" s="20">
        <v>0</v>
      </c>
      <c r="E11" s="20">
        <v>0</v>
      </c>
      <c r="F11" s="20">
        <v>1</v>
      </c>
      <c r="G11" s="20">
        <v>0</v>
      </c>
      <c r="H11" s="20">
        <v>0</v>
      </c>
      <c r="I11" s="20">
        <v>0</v>
      </c>
      <c r="J11" s="20">
        <v>0</v>
      </c>
      <c r="K11" s="20">
        <v>0</v>
      </c>
      <c r="L11" s="20">
        <v>0</v>
      </c>
      <c r="M11" s="20">
        <v>0</v>
      </c>
      <c r="N11" s="20">
        <v>0</v>
      </c>
      <c r="O11" s="20">
        <v>0</v>
      </c>
      <c r="P11" s="20">
        <v>0</v>
      </c>
      <c r="Q11" s="20">
        <v>0</v>
      </c>
      <c r="R11" s="20">
        <v>0</v>
      </c>
    </row>
  </sheetData>
  <sortState xmlns:xlrd2="http://schemas.microsoft.com/office/spreadsheetml/2017/richdata2" ref="A2:R11">
    <sortCondition ref="A1:A11"/>
  </sortState>
  <conditionalFormatting sqref="A1:B1 D1:R1 A2:R11">
    <cfRule type="cellIs" dxfId="2"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1211-65D9-4018-ABBA-8066A82D4C11}">
  <sheetPr>
    <tabColor theme="9" tint="0.79998168889431442"/>
  </sheetPr>
  <dimension ref="A1:G5"/>
  <sheetViews>
    <sheetView workbookViewId="0">
      <selection activeCell="E15" sqref="E15"/>
    </sheetView>
  </sheetViews>
  <sheetFormatPr baseColWidth="10" defaultRowHeight="14.5" x14ac:dyDescent="0.35"/>
  <cols>
    <col min="1" max="1" width="21.54296875" bestFit="1" customWidth="1"/>
    <col min="6" max="6" width="4.36328125" bestFit="1" customWidth="1"/>
    <col min="7" max="8" width="16.81640625" bestFit="1" customWidth="1"/>
  </cols>
  <sheetData>
    <row r="1" spans="1:7" x14ac:dyDescent="0.35">
      <c r="A1" s="568" t="s">
        <v>346</v>
      </c>
      <c r="B1" s="578" t="s">
        <v>328</v>
      </c>
      <c r="C1" s="578" t="s">
        <v>329</v>
      </c>
      <c r="D1" s="578" t="s">
        <v>330</v>
      </c>
      <c r="E1" s="578" t="s">
        <v>331</v>
      </c>
      <c r="F1" s="578" t="s">
        <v>323</v>
      </c>
      <c r="G1" s="578" t="s">
        <v>60</v>
      </c>
    </row>
    <row r="2" spans="1:7" x14ac:dyDescent="0.35">
      <c r="A2" s="579" t="s">
        <v>332</v>
      </c>
      <c r="B2" s="566">
        <v>2277.5813116333306</v>
      </c>
      <c r="C2" s="111">
        <v>2359.4422051529054</v>
      </c>
      <c r="D2" s="111">
        <v>2441.3030986724802</v>
      </c>
      <c r="E2" s="566">
        <v>2523.163992192055</v>
      </c>
      <c r="F2" s="562" t="s">
        <v>335</v>
      </c>
      <c r="G2" s="562" t="s">
        <v>347</v>
      </c>
    </row>
    <row r="3" spans="1:7" x14ac:dyDescent="0.35">
      <c r="A3" s="579" t="s">
        <v>333</v>
      </c>
      <c r="B3" s="566">
        <v>2277.5813116333306</v>
      </c>
      <c r="C3" s="111">
        <v>5647.0813158584097</v>
      </c>
      <c r="D3" s="111">
        <v>9016.5813200834891</v>
      </c>
      <c r="E3" s="566">
        <v>12386.081324308567</v>
      </c>
      <c r="F3" s="562" t="s">
        <v>335</v>
      </c>
      <c r="G3" s="562" t="s">
        <v>347</v>
      </c>
    </row>
    <row r="4" spans="1:7" x14ac:dyDescent="0.35">
      <c r="A4" s="579" t="s">
        <v>334</v>
      </c>
      <c r="B4" s="566">
        <v>2277.5813116333306</v>
      </c>
      <c r="C4" s="111">
        <v>17250.202803762008</v>
      </c>
      <c r="D4" s="111">
        <v>32222.824295890685</v>
      </c>
      <c r="E4" s="566">
        <v>47195.445788019366</v>
      </c>
      <c r="F4" s="562" t="s">
        <v>335</v>
      </c>
      <c r="G4" s="562" t="s">
        <v>347</v>
      </c>
    </row>
    <row r="5" spans="1:7" x14ac:dyDescent="0.35">
      <c r="A5" s="7"/>
      <c r="B5" s="7"/>
      <c r="C5" s="7"/>
      <c r="D5" s="7"/>
      <c r="E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61C-9BD8-435C-A3C2-F43EA60268B9}">
  <sheetPr>
    <tabColor theme="9" tint="0.79998168889431442"/>
  </sheetPr>
  <dimension ref="A1:H5"/>
  <sheetViews>
    <sheetView workbookViewId="0">
      <selection activeCell="E16" sqref="E16"/>
    </sheetView>
  </sheetViews>
  <sheetFormatPr baseColWidth="10" defaultRowHeight="14.5" x14ac:dyDescent="0.35"/>
  <cols>
    <col min="1" max="1" width="24.453125" bestFit="1" customWidth="1"/>
    <col min="6" max="6" width="12.90625" bestFit="1" customWidth="1"/>
    <col min="8" max="8" width="18.36328125" bestFit="1" customWidth="1"/>
  </cols>
  <sheetData>
    <row r="1" spans="1:8" x14ac:dyDescent="0.35">
      <c r="A1" s="568" t="s">
        <v>346</v>
      </c>
      <c r="B1" s="568" t="s">
        <v>400</v>
      </c>
      <c r="C1" s="568" t="s">
        <v>402</v>
      </c>
      <c r="D1" s="568" t="s">
        <v>399</v>
      </c>
      <c r="E1" s="568" t="s">
        <v>339</v>
      </c>
      <c r="F1" s="568" t="s">
        <v>340</v>
      </c>
      <c r="G1" s="568" t="s">
        <v>323</v>
      </c>
      <c r="H1" s="568" t="s">
        <v>60</v>
      </c>
    </row>
    <row r="2" spans="1:8" x14ac:dyDescent="0.35">
      <c r="A2" s="550" t="s">
        <v>341</v>
      </c>
      <c r="B2" s="565">
        <v>945.57254037062376</v>
      </c>
      <c r="C2" s="565">
        <v>598.27109792886654</v>
      </c>
      <c r="D2" s="585">
        <v>570.38558065252107</v>
      </c>
      <c r="E2" s="565">
        <v>86.191598854158741</v>
      </c>
      <c r="F2" s="565">
        <v>205.33880903490757</v>
      </c>
      <c r="G2" s="562" t="s">
        <v>335</v>
      </c>
      <c r="H2" s="20" t="s">
        <v>348</v>
      </c>
    </row>
    <row r="3" spans="1:8" x14ac:dyDescent="0.35">
      <c r="A3" s="550" t="s">
        <v>342</v>
      </c>
      <c r="B3" s="565">
        <v>557.71034552690946</v>
      </c>
      <c r="C3" s="565">
        <v>352.37153649200189</v>
      </c>
      <c r="D3" s="585">
        <v>337.16125434126803</v>
      </c>
      <c r="E3" s="565">
        <v>60.841128602935584</v>
      </c>
      <c r="F3" s="565">
        <v>129.2873982812381</v>
      </c>
      <c r="G3" s="562" t="s">
        <v>335</v>
      </c>
      <c r="H3" s="20" t="s">
        <v>348</v>
      </c>
    </row>
    <row r="4" spans="1:8" x14ac:dyDescent="0.35">
      <c r="A4" s="550" t="s">
        <v>343</v>
      </c>
      <c r="B4" s="565">
        <v>537.42996932593098</v>
      </c>
      <c r="C4" s="565">
        <v>400.5374299693259</v>
      </c>
      <c r="D4" s="585">
        <v>365.0467716176135</v>
      </c>
      <c r="E4" s="565">
        <v>50.700940502446315</v>
      </c>
      <c r="F4" s="565">
        <v>91.261692904403375</v>
      </c>
      <c r="G4" s="562" t="s">
        <v>335</v>
      </c>
      <c r="H4" s="20" t="s">
        <v>348</v>
      </c>
    </row>
    <row r="5" spans="1:8" x14ac:dyDescent="0.35">
      <c r="A5" s="550" t="s">
        <v>344</v>
      </c>
      <c r="B5" s="565">
        <v>327.02106624077874</v>
      </c>
      <c r="C5" s="565">
        <v>215.47899713539684</v>
      </c>
      <c r="D5" s="585">
        <v>195.19862093441833</v>
      </c>
      <c r="E5" s="565">
        <v>38.025705376834736</v>
      </c>
      <c r="F5" s="565">
        <v>58.306081577813266</v>
      </c>
      <c r="G5" s="562" t="s">
        <v>335</v>
      </c>
      <c r="H5" s="20"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7F1FD-69C7-4CB0-AF2E-F487CCC77D94}">
  <sheetPr>
    <tabColor theme="5" tint="0.79998168889431442"/>
  </sheetPr>
  <dimension ref="A1:AB18"/>
  <sheetViews>
    <sheetView tabSelected="1" topLeftCell="L1" zoomScale="85" zoomScaleNormal="85" workbookViewId="0">
      <selection activeCell="U21" sqref="U21"/>
    </sheetView>
  </sheetViews>
  <sheetFormatPr baseColWidth="10" defaultRowHeight="14.5" x14ac:dyDescent="0.35"/>
  <cols>
    <col min="1" max="1" width="28.08984375" style="3" customWidth="1"/>
    <col min="2" max="2" width="12.7265625" bestFit="1" customWidth="1"/>
    <col min="3" max="3" width="14.36328125" bestFit="1" customWidth="1"/>
    <col min="7" max="7" width="23.7265625" bestFit="1" customWidth="1"/>
    <col min="8" max="8" width="22.36328125" bestFit="1" customWidth="1"/>
    <col min="9" max="9" width="23.7265625" bestFit="1" customWidth="1"/>
    <col min="10" max="10" width="22.36328125" bestFit="1" customWidth="1"/>
    <col min="28" max="28" width="13.54296875" bestFit="1" customWidth="1"/>
  </cols>
  <sheetData>
    <row r="1" spans="1:28" s="577" customFormat="1" ht="73.5" customHeight="1" thickBot="1" x14ac:dyDescent="0.4">
      <c r="A1" s="572" t="s">
        <v>349</v>
      </c>
      <c r="B1" s="576" t="s">
        <v>290</v>
      </c>
      <c r="C1" s="576" t="s">
        <v>291</v>
      </c>
      <c r="D1" s="576" t="s">
        <v>292</v>
      </c>
      <c r="E1" s="576" t="s">
        <v>293</v>
      </c>
      <c r="F1" s="576" t="s">
        <v>294</v>
      </c>
      <c r="G1" s="576" t="s">
        <v>423</v>
      </c>
      <c r="H1" s="576" t="s">
        <v>424</v>
      </c>
      <c r="I1" s="576" t="s">
        <v>421</v>
      </c>
      <c r="J1" s="576" t="s">
        <v>422</v>
      </c>
      <c r="K1" s="576" t="s">
        <v>297</v>
      </c>
      <c r="L1" s="576" t="s">
        <v>298</v>
      </c>
      <c r="M1" s="576" t="s">
        <v>299</v>
      </c>
      <c r="N1" s="576" t="s">
        <v>300</v>
      </c>
      <c r="O1" s="576" t="s">
        <v>301</v>
      </c>
      <c r="P1" s="576" t="s">
        <v>302</v>
      </c>
      <c r="Q1" s="576" t="s">
        <v>303</v>
      </c>
      <c r="R1" s="576" t="s">
        <v>304</v>
      </c>
      <c r="S1" s="619" t="s">
        <v>430</v>
      </c>
      <c r="T1" s="619" t="s">
        <v>431</v>
      </c>
      <c r="U1" s="619" t="s">
        <v>432</v>
      </c>
      <c r="V1" s="576" t="s">
        <v>243</v>
      </c>
      <c r="W1" s="576" t="s">
        <v>128</v>
      </c>
      <c r="X1" s="576" t="s">
        <v>305</v>
      </c>
      <c r="Y1" s="576" t="s">
        <v>306</v>
      </c>
      <c r="Z1" s="576" t="s">
        <v>307</v>
      </c>
      <c r="AA1" s="576" t="s">
        <v>308</v>
      </c>
      <c r="AB1" s="576" t="s">
        <v>309</v>
      </c>
    </row>
    <row r="2" spans="1:28" x14ac:dyDescent="0.35">
      <c r="A2" s="573" t="s">
        <v>326</v>
      </c>
      <c r="B2" s="20">
        <v>1</v>
      </c>
      <c r="C2" s="20">
        <v>1</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row>
    <row r="3" spans="1:28" x14ac:dyDescent="0.35">
      <c r="A3" s="574" t="s">
        <v>269</v>
      </c>
      <c r="B3" s="20">
        <v>0</v>
      </c>
      <c r="C3" s="20">
        <v>0</v>
      </c>
      <c r="D3" s="20">
        <v>1</v>
      </c>
      <c r="E3" s="20">
        <v>1</v>
      </c>
      <c r="F3" s="20">
        <v>1</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row>
    <row r="4" spans="1:28" x14ac:dyDescent="0.35">
      <c r="A4" s="573" t="s">
        <v>295</v>
      </c>
      <c r="B4" s="20">
        <v>0</v>
      </c>
      <c r="C4" s="20">
        <v>0</v>
      </c>
      <c r="D4" s="20">
        <v>0</v>
      </c>
      <c r="E4" s="20">
        <v>0</v>
      </c>
      <c r="F4" s="20">
        <v>0</v>
      </c>
      <c r="G4" s="20">
        <v>1</v>
      </c>
      <c r="H4" s="20">
        <v>0</v>
      </c>
      <c r="I4" s="20">
        <v>1</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row>
    <row r="5" spans="1:28" x14ac:dyDescent="0.35">
      <c r="A5" s="573" t="s">
        <v>296</v>
      </c>
      <c r="B5" s="20">
        <v>0</v>
      </c>
      <c r="C5" s="20">
        <v>0</v>
      </c>
      <c r="D5" s="20">
        <v>0</v>
      </c>
      <c r="E5" s="20">
        <v>0</v>
      </c>
      <c r="F5" s="20">
        <v>0</v>
      </c>
      <c r="G5" s="20">
        <v>0</v>
      </c>
      <c r="H5" s="20">
        <v>1</v>
      </c>
      <c r="I5" s="20">
        <v>0</v>
      </c>
      <c r="J5" s="20">
        <v>1</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row>
    <row r="6" spans="1:28" x14ac:dyDescent="0.35">
      <c r="A6" s="573" t="s">
        <v>270</v>
      </c>
      <c r="B6" s="20">
        <v>0</v>
      </c>
      <c r="C6" s="20">
        <v>0</v>
      </c>
      <c r="D6" s="20">
        <v>0</v>
      </c>
      <c r="E6" s="20">
        <v>0</v>
      </c>
      <c r="F6" s="20">
        <v>0</v>
      </c>
      <c r="G6" s="20">
        <v>0</v>
      </c>
      <c r="H6" s="20">
        <v>0</v>
      </c>
      <c r="I6" s="20">
        <v>0</v>
      </c>
      <c r="J6" s="20">
        <v>0</v>
      </c>
      <c r="K6" s="20">
        <v>1</v>
      </c>
      <c r="L6" s="20">
        <v>1</v>
      </c>
      <c r="M6" s="20">
        <v>1</v>
      </c>
      <c r="N6" s="20">
        <v>1</v>
      </c>
      <c r="O6" s="20">
        <v>0</v>
      </c>
      <c r="P6" s="20">
        <v>0</v>
      </c>
      <c r="Q6" s="20">
        <v>0</v>
      </c>
      <c r="R6" s="20">
        <v>0</v>
      </c>
      <c r="S6" s="20">
        <v>0</v>
      </c>
      <c r="T6" s="20">
        <v>0</v>
      </c>
      <c r="U6" s="20">
        <v>0</v>
      </c>
      <c r="V6" s="20">
        <v>0</v>
      </c>
      <c r="W6" s="20">
        <v>0</v>
      </c>
      <c r="X6" s="20">
        <v>0</v>
      </c>
      <c r="Y6" s="20">
        <v>0</v>
      </c>
      <c r="Z6" s="20">
        <v>0</v>
      </c>
      <c r="AA6" s="20">
        <v>0</v>
      </c>
      <c r="AB6" s="20">
        <v>0</v>
      </c>
    </row>
    <row r="7" spans="1:28" x14ac:dyDescent="0.35">
      <c r="A7" s="575" t="s">
        <v>301</v>
      </c>
      <c r="B7" s="20">
        <v>0</v>
      </c>
      <c r="C7" s="20">
        <v>0</v>
      </c>
      <c r="D7" s="20">
        <v>0</v>
      </c>
      <c r="E7" s="20">
        <v>0</v>
      </c>
      <c r="F7" s="20">
        <v>0</v>
      </c>
      <c r="G7" s="20">
        <v>0</v>
      </c>
      <c r="H7" s="20">
        <v>0</v>
      </c>
      <c r="I7" s="20">
        <v>0</v>
      </c>
      <c r="J7" s="20">
        <v>0</v>
      </c>
      <c r="K7" s="20">
        <v>0</v>
      </c>
      <c r="L7" s="20">
        <v>0</v>
      </c>
      <c r="M7" s="20">
        <v>0</v>
      </c>
      <c r="N7" s="20">
        <v>0</v>
      </c>
      <c r="O7" s="20">
        <v>1</v>
      </c>
      <c r="P7" s="20">
        <v>0</v>
      </c>
      <c r="Q7" s="20">
        <v>0</v>
      </c>
      <c r="R7" s="20">
        <v>0</v>
      </c>
      <c r="S7" s="20">
        <v>0</v>
      </c>
      <c r="T7" s="20">
        <v>0</v>
      </c>
      <c r="U7" s="20">
        <v>0</v>
      </c>
      <c r="V7" s="20">
        <v>0</v>
      </c>
      <c r="W7" s="20">
        <v>0</v>
      </c>
      <c r="X7" s="20">
        <v>0</v>
      </c>
      <c r="Y7" s="20">
        <v>0</v>
      </c>
      <c r="Z7" s="20">
        <v>0</v>
      </c>
      <c r="AA7" s="20">
        <v>0</v>
      </c>
      <c r="AB7" s="20">
        <v>0</v>
      </c>
    </row>
    <row r="8" spans="1:28" x14ac:dyDescent="0.35">
      <c r="A8" s="575" t="s">
        <v>302</v>
      </c>
      <c r="B8" s="20">
        <v>0</v>
      </c>
      <c r="C8" s="20">
        <v>0</v>
      </c>
      <c r="D8" s="20">
        <v>0</v>
      </c>
      <c r="E8" s="20">
        <v>0</v>
      </c>
      <c r="F8" s="20">
        <v>0</v>
      </c>
      <c r="G8" s="20">
        <v>0</v>
      </c>
      <c r="H8" s="20">
        <v>0</v>
      </c>
      <c r="I8" s="20">
        <v>0</v>
      </c>
      <c r="J8" s="20">
        <v>0</v>
      </c>
      <c r="K8" s="20">
        <v>0</v>
      </c>
      <c r="L8" s="20">
        <v>0</v>
      </c>
      <c r="M8" s="20">
        <v>0</v>
      </c>
      <c r="N8" s="20">
        <v>0</v>
      </c>
      <c r="O8" s="20">
        <v>0</v>
      </c>
      <c r="P8" s="20">
        <v>1</v>
      </c>
      <c r="Q8" s="20">
        <v>0</v>
      </c>
      <c r="R8" s="20">
        <v>0</v>
      </c>
      <c r="S8" s="20">
        <v>0</v>
      </c>
      <c r="T8" s="20">
        <v>0</v>
      </c>
      <c r="U8" s="20">
        <v>0</v>
      </c>
      <c r="V8" s="20">
        <v>0</v>
      </c>
      <c r="W8" s="20">
        <v>0</v>
      </c>
      <c r="X8" s="20">
        <v>0</v>
      </c>
      <c r="Y8" s="20">
        <v>0</v>
      </c>
      <c r="Z8" s="20">
        <v>0</v>
      </c>
      <c r="AA8" s="20">
        <v>0</v>
      </c>
      <c r="AB8" s="20">
        <v>0</v>
      </c>
    </row>
    <row r="9" spans="1:28" x14ac:dyDescent="0.35">
      <c r="A9" s="575" t="s">
        <v>303</v>
      </c>
      <c r="B9" s="20">
        <v>0</v>
      </c>
      <c r="C9" s="20">
        <v>0</v>
      </c>
      <c r="D9" s="20">
        <v>0</v>
      </c>
      <c r="E9" s="20">
        <v>0</v>
      </c>
      <c r="F9" s="20">
        <v>0</v>
      </c>
      <c r="G9" s="20">
        <v>0</v>
      </c>
      <c r="H9" s="20">
        <v>0</v>
      </c>
      <c r="I9" s="20">
        <v>0</v>
      </c>
      <c r="J9" s="20">
        <v>0</v>
      </c>
      <c r="K9" s="20">
        <v>0</v>
      </c>
      <c r="L9" s="20">
        <v>0</v>
      </c>
      <c r="M9" s="20">
        <v>0</v>
      </c>
      <c r="N9" s="20">
        <v>0</v>
      </c>
      <c r="O9" s="20">
        <v>0</v>
      </c>
      <c r="P9" s="20">
        <v>0</v>
      </c>
      <c r="Q9" s="20">
        <v>1</v>
      </c>
      <c r="R9" s="20">
        <v>0</v>
      </c>
      <c r="S9" s="20">
        <v>0</v>
      </c>
      <c r="T9" s="20">
        <v>0</v>
      </c>
      <c r="U9" s="20">
        <v>0</v>
      </c>
      <c r="V9" s="20">
        <v>0</v>
      </c>
      <c r="W9" s="20">
        <v>0</v>
      </c>
      <c r="X9" s="20">
        <v>0</v>
      </c>
      <c r="Y9" s="20">
        <v>0</v>
      </c>
      <c r="Z9" s="20">
        <v>0</v>
      </c>
      <c r="AA9" s="20">
        <v>0</v>
      </c>
      <c r="AB9" s="20">
        <v>0</v>
      </c>
    </row>
    <row r="10" spans="1:28" x14ac:dyDescent="0.35">
      <c r="A10" s="575" t="s">
        <v>304</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1</v>
      </c>
      <c r="S10" s="20">
        <v>0</v>
      </c>
      <c r="T10" s="20">
        <v>0</v>
      </c>
      <c r="U10" s="20">
        <v>0</v>
      </c>
      <c r="V10" s="20">
        <v>0</v>
      </c>
      <c r="W10" s="20">
        <v>0</v>
      </c>
      <c r="X10" s="20">
        <v>0</v>
      </c>
      <c r="Y10" s="20">
        <v>0</v>
      </c>
      <c r="Z10" s="20">
        <v>0</v>
      </c>
      <c r="AA10" s="20">
        <v>0</v>
      </c>
      <c r="AB10" s="20">
        <v>0</v>
      </c>
    </row>
    <row r="11" spans="1:28" x14ac:dyDescent="0.35">
      <c r="A11" s="573" t="s">
        <v>244</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0">
        <v>0</v>
      </c>
      <c r="S11" s="20">
        <v>1</v>
      </c>
      <c r="T11" s="20">
        <v>1</v>
      </c>
      <c r="U11" s="20">
        <v>1</v>
      </c>
      <c r="V11" s="20">
        <v>0</v>
      </c>
      <c r="W11" s="20">
        <v>0</v>
      </c>
      <c r="X11" s="20">
        <v>0</v>
      </c>
      <c r="Y11" s="20">
        <v>0</v>
      </c>
      <c r="Z11" s="20">
        <v>0</v>
      </c>
      <c r="AA11" s="20">
        <v>0</v>
      </c>
      <c r="AB11" s="20">
        <v>0</v>
      </c>
    </row>
    <row r="12" spans="1:28" x14ac:dyDescent="0.35">
      <c r="A12" s="573" t="s">
        <v>243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1</v>
      </c>
      <c r="W12" s="20">
        <v>0</v>
      </c>
      <c r="X12" s="20">
        <v>0</v>
      </c>
      <c r="Y12" s="20">
        <v>0</v>
      </c>
      <c r="Z12" s="20">
        <v>0</v>
      </c>
      <c r="AA12" s="20">
        <v>0</v>
      </c>
      <c r="AB12" s="20">
        <v>0</v>
      </c>
    </row>
    <row r="13" spans="1:28" x14ac:dyDescent="0.35">
      <c r="A13" s="573" t="s">
        <v>128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1</v>
      </c>
      <c r="X13" s="20">
        <v>0</v>
      </c>
      <c r="Y13" s="20">
        <v>0</v>
      </c>
      <c r="Z13" s="20">
        <v>0</v>
      </c>
      <c r="AA13" s="20">
        <v>0</v>
      </c>
      <c r="AB13" s="20">
        <v>0</v>
      </c>
    </row>
    <row r="14" spans="1:28" x14ac:dyDescent="0.35">
      <c r="A14" s="573" t="s">
        <v>305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1</v>
      </c>
      <c r="Y14" s="20">
        <v>0</v>
      </c>
      <c r="Z14" s="20">
        <v>0</v>
      </c>
      <c r="AA14" s="20">
        <v>0</v>
      </c>
      <c r="AB14" s="20">
        <v>0</v>
      </c>
    </row>
    <row r="15" spans="1:28" x14ac:dyDescent="0.35">
      <c r="A15" s="573" t="s">
        <v>306</v>
      </c>
      <c r="B15" s="20">
        <v>0</v>
      </c>
      <c r="C15" s="20">
        <v>0</v>
      </c>
      <c r="D15" s="20">
        <v>0</v>
      </c>
      <c r="E15" s="20">
        <v>0</v>
      </c>
      <c r="F15" s="20">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0">
        <v>0</v>
      </c>
      <c r="X15" s="20">
        <v>0</v>
      </c>
      <c r="Y15" s="20">
        <v>1</v>
      </c>
      <c r="Z15" s="20">
        <v>0</v>
      </c>
      <c r="AA15" s="20">
        <v>0</v>
      </c>
      <c r="AB15" s="20">
        <v>0</v>
      </c>
    </row>
    <row r="16" spans="1:28" x14ac:dyDescent="0.35">
      <c r="A16" s="573" t="s">
        <v>307</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1</v>
      </c>
      <c r="AA16" s="20">
        <v>0</v>
      </c>
      <c r="AB16" s="20">
        <v>0</v>
      </c>
    </row>
    <row r="17" spans="1:28" x14ac:dyDescent="0.35">
      <c r="A17" s="573" t="s">
        <v>308</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1</v>
      </c>
      <c r="AB17" s="20">
        <v>0</v>
      </c>
    </row>
    <row r="18" spans="1:28" x14ac:dyDescent="0.35">
      <c r="A18" s="573" t="s">
        <v>309</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1</v>
      </c>
    </row>
  </sheetData>
  <conditionalFormatting sqref="A1">
    <cfRule type="cellIs" dxfId="1" priority="1" operator="greaterThan">
      <formula>0.5</formula>
    </cfRule>
  </conditionalFormatting>
  <conditionalFormatting sqref="B2:AB18">
    <cfRule type="cellIs" dxfId="0" priority="2" operator="greaterThan">
      <formula>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6BB1-FA87-4BCF-B55A-56DD2FB9B0FC}">
  <sheetPr>
    <tabColor theme="7" tint="0.79998168889431442"/>
  </sheetPr>
  <dimension ref="A1:N37"/>
  <sheetViews>
    <sheetView workbookViewId="0">
      <selection activeCell="K33" sqref="K33"/>
    </sheetView>
  </sheetViews>
  <sheetFormatPr baseColWidth="10" defaultRowHeight="14.5" x14ac:dyDescent="0.35"/>
  <cols>
    <col min="1" max="1" width="20.54296875" bestFit="1" customWidth="1"/>
    <col min="2" max="2" width="13.453125" bestFit="1" customWidth="1"/>
    <col min="3" max="3" width="12.36328125" bestFit="1" customWidth="1"/>
  </cols>
  <sheetData>
    <row r="1" spans="1:14" x14ac:dyDescent="0.35">
      <c r="A1" s="554" t="s">
        <v>310</v>
      </c>
      <c r="B1" s="554" t="s">
        <v>270</v>
      </c>
      <c r="C1" s="612" t="s">
        <v>269</v>
      </c>
      <c r="D1" s="549" t="s">
        <v>283</v>
      </c>
    </row>
    <row r="2" spans="1:14" x14ac:dyDescent="0.35">
      <c r="A2" s="67" t="s">
        <v>420</v>
      </c>
      <c r="B2" s="34">
        <v>1217.3015873015872</v>
      </c>
      <c r="C2" s="20">
        <v>10953</v>
      </c>
    </row>
    <row r="3" spans="1:14" x14ac:dyDescent="0.35">
      <c r="A3" s="67" t="s">
        <v>22</v>
      </c>
      <c r="B3" s="34">
        <v>1.2809523809523804</v>
      </c>
      <c r="C3" s="20">
        <v>0</v>
      </c>
      <c r="D3">
        <v>0.52173913043478259</v>
      </c>
      <c r="E3">
        <v>0.41304347826086957</v>
      </c>
      <c r="F3">
        <v>6.5217391304347824E-2</v>
      </c>
    </row>
    <row r="4" spans="1:14" x14ac:dyDescent="0.35">
      <c r="A4" s="67" t="s">
        <v>23</v>
      </c>
      <c r="B4" s="34">
        <v>0</v>
      </c>
      <c r="C4" s="20">
        <v>47.826086956521742</v>
      </c>
    </row>
    <row r="5" spans="1:14" x14ac:dyDescent="0.35">
      <c r="A5" s="67" t="s">
        <v>67</v>
      </c>
      <c r="B5" s="34">
        <v>499.94444444444434</v>
      </c>
      <c r="C5" s="20">
        <v>3761</v>
      </c>
    </row>
    <row r="6" spans="1:14" x14ac:dyDescent="0.35">
      <c r="A6" s="67" t="s">
        <v>68</v>
      </c>
      <c r="B6" s="34">
        <v>0</v>
      </c>
      <c r="C6" s="20">
        <v>0</v>
      </c>
      <c r="K6">
        <v>6.0317460317460103E-2</v>
      </c>
      <c r="L6">
        <v>0.60317460317460403</v>
      </c>
      <c r="M6">
        <v>0.18888888888888888</v>
      </c>
      <c r="N6">
        <v>0.14761904761904698</v>
      </c>
    </row>
    <row r="7" spans="1:14" x14ac:dyDescent="0.35">
      <c r="A7" s="67" t="s">
        <v>24</v>
      </c>
      <c r="B7" s="34">
        <v>343250.79365079361</v>
      </c>
      <c r="C7" s="20">
        <v>60700</v>
      </c>
    </row>
    <row r="8" spans="1:14" x14ac:dyDescent="0.35">
      <c r="A8" s="67" t="s">
        <v>69</v>
      </c>
      <c r="B8" s="34">
        <v>2797.3809523809514</v>
      </c>
      <c r="C8" s="20">
        <v>3427.4182608695655</v>
      </c>
    </row>
    <row r="9" spans="1:14" x14ac:dyDescent="0.35">
      <c r="A9" s="67" t="s">
        <v>27</v>
      </c>
      <c r="B9" s="34">
        <v>5.6650793650793618</v>
      </c>
      <c r="C9" s="20">
        <v>0</v>
      </c>
    </row>
    <row r="10" spans="1:14" x14ac:dyDescent="0.35">
      <c r="A10" s="67" t="s">
        <v>284</v>
      </c>
      <c r="B10" s="34">
        <v>0</v>
      </c>
      <c r="C10" s="20">
        <v>3.7173913043478262</v>
      </c>
    </row>
    <row r="11" spans="1:14" x14ac:dyDescent="0.35">
      <c r="A11" s="67" t="s">
        <v>285</v>
      </c>
      <c r="B11" s="34">
        <v>0</v>
      </c>
      <c r="C11" s="20">
        <v>3.1304347826086953</v>
      </c>
    </row>
    <row r="12" spans="1:14" x14ac:dyDescent="0.35">
      <c r="A12" s="67" t="s">
        <v>29</v>
      </c>
      <c r="B12" s="34">
        <v>7903.0158730158719</v>
      </c>
      <c r="C12" s="20">
        <v>46399.999999999993</v>
      </c>
    </row>
    <row r="13" spans="1:14" x14ac:dyDescent="0.35">
      <c r="A13" s="67" t="s">
        <v>30</v>
      </c>
      <c r="B13" s="34">
        <v>0</v>
      </c>
      <c r="C13" s="20">
        <v>0</v>
      </c>
    </row>
    <row r="14" spans="1:14" x14ac:dyDescent="0.35">
      <c r="A14" s="67" t="s">
        <v>31</v>
      </c>
      <c r="B14" s="34">
        <v>0</v>
      </c>
      <c r="C14" s="20">
        <v>9.3306521739130446</v>
      </c>
    </row>
    <row r="15" spans="1:14" x14ac:dyDescent="0.35">
      <c r="A15" s="67" t="s">
        <v>32</v>
      </c>
      <c r="B15" s="34">
        <v>161676.00427977776</v>
      </c>
      <c r="C15" s="20">
        <v>4333.496086956522</v>
      </c>
    </row>
    <row r="16" spans="1:14" x14ac:dyDescent="0.35">
      <c r="A16" s="67" t="s">
        <v>34</v>
      </c>
      <c r="B16" s="34">
        <v>0</v>
      </c>
      <c r="C16" s="20">
        <v>4.1739130434782608</v>
      </c>
    </row>
    <row r="17" spans="1:3" x14ac:dyDescent="0.35">
      <c r="A17" s="67" t="s">
        <v>289</v>
      </c>
      <c r="B17" s="34">
        <v>0</v>
      </c>
      <c r="C17" s="20">
        <v>0</v>
      </c>
    </row>
    <row r="18" spans="1:3" x14ac:dyDescent="0.35">
      <c r="A18" s="67" t="s">
        <v>36</v>
      </c>
      <c r="B18" s="34">
        <v>0</v>
      </c>
      <c r="C18" s="20">
        <v>0</v>
      </c>
    </row>
    <row r="19" spans="1:3" x14ac:dyDescent="0.35">
      <c r="A19" s="67" t="s">
        <v>37</v>
      </c>
      <c r="B19" s="34">
        <v>785.44444444444457</v>
      </c>
      <c r="C19" s="20">
        <v>0</v>
      </c>
    </row>
    <row r="20" spans="1:3" x14ac:dyDescent="0.35">
      <c r="A20" s="67" t="s">
        <v>71</v>
      </c>
      <c r="B20" s="34">
        <v>104.44444444444443</v>
      </c>
      <c r="C20" s="20">
        <v>81.021739130434781</v>
      </c>
    </row>
    <row r="21" spans="1:3" x14ac:dyDescent="0.35">
      <c r="A21" s="67" t="s">
        <v>38</v>
      </c>
      <c r="B21" s="34">
        <v>51.58888888888886</v>
      </c>
      <c r="C21" s="20">
        <v>0</v>
      </c>
    </row>
    <row r="22" spans="1:3" x14ac:dyDescent="0.35">
      <c r="A22" s="67" t="s">
        <v>39</v>
      </c>
      <c r="B22" s="34">
        <v>390.15873015873018</v>
      </c>
      <c r="C22" s="20">
        <v>8.3478260869565215</v>
      </c>
    </row>
    <row r="23" spans="1:3" x14ac:dyDescent="0.35">
      <c r="A23" s="67" t="s">
        <v>41</v>
      </c>
      <c r="B23" s="34">
        <v>0</v>
      </c>
      <c r="C23" s="20">
        <v>0</v>
      </c>
    </row>
    <row r="24" spans="1:3" x14ac:dyDescent="0.35">
      <c r="A24" s="67" t="s">
        <v>42</v>
      </c>
      <c r="B24" s="34">
        <v>4600</v>
      </c>
      <c r="C24" s="20">
        <v>8600</v>
      </c>
    </row>
    <row r="25" spans="1:3" x14ac:dyDescent="0.35">
      <c r="A25" s="67" t="s">
        <v>43</v>
      </c>
      <c r="B25" s="34">
        <v>7.74444444444444</v>
      </c>
      <c r="C25" s="20">
        <v>0</v>
      </c>
    </row>
    <row r="26" spans="1:3" x14ac:dyDescent="0.35">
      <c r="A26" s="67" t="s">
        <v>286</v>
      </c>
      <c r="B26" s="34">
        <v>0</v>
      </c>
      <c r="C26" s="20">
        <v>37.917391304347824</v>
      </c>
    </row>
    <row r="27" spans="1:3" x14ac:dyDescent="0.35">
      <c r="A27" s="67" t="s">
        <v>287</v>
      </c>
      <c r="B27" s="34">
        <v>0</v>
      </c>
      <c r="C27" s="20">
        <v>9.7826086956521738</v>
      </c>
    </row>
    <row r="28" spans="1:3" x14ac:dyDescent="0.35">
      <c r="A28" s="67" t="s">
        <v>46</v>
      </c>
      <c r="B28" s="34">
        <v>0</v>
      </c>
      <c r="C28" s="20">
        <v>0</v>
      </c>
    </row>
    <row r="29" spans="1:3" x14ac:dyDescent="0.35">
      <c r="A29" s="67" t="s">
        <v>50</v>
      </c>
      <c r="B29" s="34">
        <v>0</v>
      </c>
      <c r="C29" s="20">
        <v>0</v>
      </c>
    </row>
    <row r="30" spans="1:3" x14ac:dyDescent="0.35">
      <c r="A30" s="67" t="s">
        <v>288</v>
      </c>
      <c r="B30" s="34">
        <v>0</v>
      </c>
      <c r="C30" s="20">
        <v>40.194782608695647</v>
      </c>
    </row>
    <row r="31" spans="1:3" x14ac:dyDescent="0.35">
      <c r="A31" s="67" t="s">
        <v>53</v>
      </c>
      <c r="B31" s="34">
        <v>1.5301587301587292</v>
      </c>
      <c r="C31" s="20">
        <v>0</v>
      </c>
    </row>
    <row r="32" spans="1:3" x14ac:dyDescent="0.35">
      <c r="A32" s="67" t="s">
        <v>54</v>
      </c>
      <c r="B32" s="34">
        <v>0</v>
      </c>
      <c r="C32" s="20">
        <v>332</v>
      </c>
    </row>
    <row r="33" spans="1:3" x14ac:dyDescent="0.35">
      <c r="A33" s="67" t="s">
        <v>55</v>
      </c>
      <c r="B33" s="34">
        <v>0</v>
      </c>
      <c r="C33" s="20">
        <v>0</v>
      </c>
    </row>
    <row r="34" spans="1:3" x14ac:dyDescent="0.35">
      <c r="A34" s="67" t="s">
        <v>72</v>
      </c>
      <c r="B34" s="34">
        <v>0</v>
      </c>
      <c r="C34" s="20">
        <v>0</v>
      </c>
    </row>
    <row r="35" spans="1:3" x14ac:dyDescent="0.35">
      <c r="A35" s="67" t="s">
        <v>56</v>
      </c>
      <c r="B35" s="34">
        <v>0</v>
      </c>
      <c r="C35" s="20">
        <v>0</v>
      </c>
    </row>
    <row r="36" spans="1:3" x14ac:dyDescent="0.35">
      <c r="A36" s="67" t="s">
        <v>57</v>
      </c>
      <c r="B36" s="34">
        <v>5500</v>
      </c>
      <c r="C36" s="20">
        <v>505.32999999999993</v>
      </c>
    </row>
    <row r="37" spans="1:3" x14ac:dyDescent="0.35">
      <c r="A37" s="67" t="s">
        <v>59</v>
      </c>
      <c r="B37" s="34">
        <v>0</v>
      </c>
      <c r="C37" s="20">
        <v>0</v>
      </c>
    </row>
  </sheetData>
  <sortState xmlns:xlrd2="http://schemas.microsoft.com/office/spreadsheetml/2017/richdata2" ref="A2:B37">
    <sortCondition ref="A1: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CADE-710A-4383-8C07-1F50E7851CD2}">
  <sheetPr>
    <tabColor theme="7" tint="0.79998168889431442"/>
  </sheetPr>
  <dimension ref="A1:AB37"/>
  <sheetViews>
    <sheetView zoomScale="70" zoomScaleNormal="70" workbookViewId="0">
      <pane xSplit="1" ySplit="1" topLeftCell="B2" activePane="bottomRight" state="frozen"/>
      <selection activeCell="D17" sqref="D17"/>
      <selection pane="topRight" activeCell="D17" sqref="D17"/>
      <selection pane="bottomLeft" activeCell="D17" sqref="D17"/>
      <selection pane="bottomRight" activeCell="G9" sqref="G9:G10"/>
    </sheetView>
  </sheetViews>
  <sheetFormatPr baseColWidth="10" defaultRowHeight="14.5" x14ac:dyDescent="0.35"/>
  <cols>
    <col min="1" max="1" width="22.81640625" bestFit="1" customWidth="1"/>
    <col min="2" max="2" width="15.81640625" bestFit="1" customWidth="1"/>
    <col min="3" max="3" width="17.7265625" bestFit="1" customWidth="1"/>
    <col min="4" max="4" width="15.54296875" bestFit="1" customWidth="1"/>
    <col min="6" max="6" width="17.7265625" bestFit="1" customWidth="1"/>
    <col min="7" max="7" width="25.6328125" bestFit="1" customWidth="1"/>
    <col min="8" max="8" width="24.54296875" bestFit="1" customWidth="1"/>
    <col min="9" max="9" width="24.26953125" bestFit="1" customWidth="1"/>
    <col min="10" max="10" width="21.81640625" bestFit="1" customWidth="1"/>
    <col min="11" max="11" width="23.36328125" bestFit="1" customWidth="1"/>
    <col min="12" max="12" width="28.36328125" bestFit="1" customWidth="1"/>
    <col min="13" max="13" width="24.08984375" bestFit="1" customWidth="1"/>
    <col min="14" max="14" width="23.90625" bestFit="1" customWidth="1"/>
    <col min="15" max="15" width="23.54296875" bestFit="1" customWidth="1"/>
    <col min="16" max="16" width="28.54296875" bestFit="1" customWidth="1"/>
    <col min="17" max="17" width="24.1796875" bestFit="1" customWidth="1"/>
    <col min="18" max="18" width="24.08984375" bestFit="1" customWidth="1"/>
    <col min="19" max="20" width="24.08984375" customWidth="1"/>
    <col min="21" max="21" width="19.1796875" bestFit="1" customWidth="1"/>
  </cols>
  <sheetData>
    <row r="1" spans="1:28" x14ac:dyDescent="0.35">
      <c r="A1" s="553" t="s">
        <v>310</v>
      </c>
      <c r="B1" s="554" t="s">
        <v>290</v>
      </c>
      <c r="C1" s="554" t="s">
        <v>291</v>
      </c>
      <c r="D1" s="554" t="s">
        <v>292</v>
      </c>
      <c r="E1" s="554" t="s">
        <v>293</v>
      </c>
      <c r="F1" s="554" t="s">
        <v>294</v>
      </c>
      <c r="G1" s="554" t="s">
        <v>423</v>
      </c>
      <c r="H1" s="554" t="s">
        <v>424</v>
      </c>
      <c r="I1" s="554" t="s">
        <v>421</v>
      </c>
      <c r="J1" s="554" t="s">
        <v>422</v>
      </c>
      <c r="K1" s="554" t="s">
        <v>297</v>
      </c>
      <c r="L1" s="554" t="s">
        <v>298</v>
      </c>
      <c r="M1" s="554" t="s">
        <v>299</v>
      </c>
      <c r="N1" s="554" t="s">
        <v>300</v>
      </c>
      <c r="O1" s="554" t="s">
        <v>301</v>
      </c>
      <c r="P1" s="554" t="s">
        <v>302</v>
      </c>
      <c r="Q1" s="554" t="s">
        <v>303</v>
      </c>
      <c r="R1" s="554" t="s">
        <v>304</v>
      </c>
      <c r="S1" s="554" t="s">
        <v>430</v>
      </c>
      <c r="T1" s="554" t="s">
        <v>431</v>
      </c>
      <c r="U1" s="554" t="s">
        <v>432</v>
      </c>
      <c r="V1" s="554" t="s">
        <v>243</v>
      </c>
      <c r="W1" s="554" t="s">
        <v>128</v>
      </c>
      <c r="X1" s="554" t="s">
        <v>305</v>
      </c>
      <c r="Y1" s="554" t="s">
        <v>306</v>
      </c>
      <c r="Z1" s="554" t="s">
        <v>307</v>
      </c>
      <c r="AA1" s="554" t="s">
        <v>308</v>
      </c>
      <c r="AB1" s="554" t="s">
        <v>309</v>
      </c>
    </row>
    <row r="2" spans="1:28" x14ac:dyDescent="0.35">
      <c r="A2" s="551" t="s">
        <v>420</v>
      </c>
      <c r="B2" s="20">
        <v>10953</v>
      </c>
      <c r="C2" s="20">
        <v>10953</v>
      </c>
      <c r="D2" s="20">
        <v>10953</v>
      </c>
      <c r="E2" s="20">
        <v>10953</v>
      </c>
      <c r="F2" s="20">
        <v>10953</v>
      </c>
      <c r="G2" s="20">
        <f>242.5+I28</f>
        <v>257.5</v>
      </c>
      <c r="H2" s="20">
        <f>41983.5+J28</f>
        <v>41998.5</v>
      </c>
      <c r="I2" s="20">
        <v>242.5</v>
      </c>
      <c r="J2" s="20">
        <v>41983.5</v>
      </c>
      <c r="K2" s="20">
        <v>700</v>
      </c>
      <c r="L2" s="20">
        <v>1400</v>
      </c>
      <c r="M2" s="20">
        <v>500</v>
      </c>
      <c r="N2" s="20">
        <v>1600</v>
      </c>
      <c r="O2" s="20">
        <v>700</v>
      </c>
      <c r="P2" s="20">
        <v>1400</v>
      </c>
      <c r="Q2" s="20">
        <v>500</v>
      </c>
      <c r="R2" s="20">
        <v>1600</v>
      </c>
      <c r="S2" s="20">
        <v>61104.4</v>
      </c>
      <c r="T2" s="20">
        <v>61104.4</v>
      </c>
      <c r="U2" s="20">
        <v>61104.4</v>
      </c>
      <c r="V2" s="20">
        <v>3400</v>
      </c>
      <c r="W2" s="20">
        <v>2600</v>
      </c>
      <c r="X2" s="20">
        <v>2386</v>
      </c>
      <c r="Y2" s="20">
        <v>500</v>
      </c>
      <c r="Z2" s="20">
        <v>724.59999999999991</v>
      </c>
      <c r="AA2" s="20">
        <v>517.6</v>
      </c>
      <c r="AB2" s="20">
        <v>922.19999999999982</v>
      </c>
    </row>
    <row r="3" spans="1:28" x14ac:dyDescent="0.35">
      <c r="A3" s="551" t="s">
        <v>22</v>
      </c>
      <c r="B3" s="20">
        <v>0</v>
      </c>
      <c r="C3" s="20">
        <v>0</v>
      </c>
      <c r="D3">
        <v>0.46341463414634143</v>
      </c>
      <c r="E3">
        <v>0.44308943089430886</v>
      </c>
      <c r="F3">
        <v>9.3495934959349589E-2</v>
      </c>
      <c r="G3" s="20">
        <v>0</v>
      </c>
      <c r="H3" s="20">
        <v>0</v>
      </c>
      <c r="I3" s="20">
        <v>0</v>
      </c>
      <c r="J3" s="20">
        <v>0</v>
      </c>
      <c r="K3" s="20">
        <v>0</v>
      </c>
      <c r="L3" s="20">
        <v>0</v>
      </c>
      <c r="M3" s="20">
        <v>6</v>
      </c>
      <c r="N3" s="20">
        <v>1</v>
      </c>
      <c r="O3" s="20">
        <v>0</v>
      </c>
      <c r="P3" s="20">
        <v>0</v>
      </c>
      <c r="Q3" s="20">
        <v>6</v>
      </c>
      <c r="R3" s="20">
        <v>1</v>
      </c>
      <c r="S3" s="20">
        <v>0</v>
      </c>
      <c r="T3" s="20">
        <v>0</v>
      </c>
      <c r="U3" s="20">
        <v>0</v>
      </c>
      <c r="V3" s="20">
        <v>0</v>
      </c>
      <c r="W3" s="20">
        <v>0</v>
      </c>
      <c r="X3" s="20">
        <v>0</v>
      </c>
      <c r="Y3" s="20">
        <v>0</v>
      </c>
      <c r="Z3" s="20">
        <v>0</v>
      </c>
      <c r="AA3" s="20">
        <v>0</v>
      </c>
      <c r="AB3" s="20">
        <v>0</v>
      </c>
    </row>
    <row r="4" spans="1:28" x14ac:dyDescent="0.35">
      <c r="A4" s="551" t="s">
        <v>23</v>
      </c>
      <c r="B4" s="20">
        <v>0</v>
      </c>
      <c r="C4" s="20">
        <v>0</v>
      </c>
      <c r="D4" s="20">
        <v>91.666666666666671</v>
      </c>
      <c r="E4" s="20">
        <v>0</v>
      </c>
      <c r="F4" s="20">
        <v>0</v>
      </c>
      <c r="G4" s="20">
        <v>0</v>
      </c>
      <c r="H4" s="20">
        <v>0</v>
      </c>
      <c r="I4" s="20">
        <v>0</v>
      </c>
      <c r="J4" s="20">
        <v>0</v>
      </c>
      <c r="K4" s="20">
        <v>0</v>
      </c>
      <c r="L4" s="20">
        <v>0</v>
      </c>
      <c r="M4" s="20">
        <v>0</v>
      </c>
      <c r="N4" s="20">
        <v>0</v>
      </c>
      <c r="O4" s="20">
        <v>0</v>
      </c>
      <c r="P4" s="20">
        <v>0</v>
      </c>
      <c r="Q4" s="20">
        <v>0</v>
      </c>
      <c r="R4" s="20">
        <v>0</v>
      </c>
      <c r="S4" s="23">
        <v>0.4</v>
      </c>
      <c r="T4" s="20">
        <v>0</v>
      </c>
      <c r="U4" s="20">
        <v>0</v>
      </c>
      <c r="V4" s="20">
        <v>0</v>
      </c>
      <c r="W4" s="20">
        <v>0</v>
      </c>
      <c r="X4" s="20">
        <v>0</v>
      </c>
      <c r="Y4" s="20">
        <v>0</v>
      </c>
      <c r="Z4" s="20">
        <v>0</v>
      </c>
      <c r="AA4" s="20">
        <v>0</v>
      </c>
      <c r="AB4" s="20">
        <v>0</v>
      </c>
    </row>
    <row r="5" spans="1:28" x14ac:dyDescent="0.35">
      <c r="A5" s="551" t="s">
        <v>67</v>
      </c>
      <c r="B5" s="20">
        <v>3761</v>
      </c>
      <c r="C5" s="20">
        <v>3761</v>
      </c>
      <c r="D5" s="20">
        <v>3761</v>
      </c>
      <c r="E5" s="20">
        <v>3761</v>
      </c>
      <c r="F5" s="20">
        <v>3761</v>
      </c>
      <c r="G5" s="20">
        <v>4733</v>
      </c>
      <c r="H5" s="20">
        <v>3700</v>
      </c>
      <c r="I5" s="20">
        <v>4733</v>
      </c>
      <c r="J5" s="20">
        <v>3700</v>
      </c>
      <c r="K5" s="20">
        <v>525</v>
      </c>
      <c r="L5" s="20">
        <v>470</v>
      </c>
      <c r="M5" s="20">
        <v>525</v>
      </c>
      <c r="N5" s="20">
        <v>580</v>
      </c>
      <c r="O5" s="20">
        <v>525</v>
      </c>
      <c r="P5" s="20">
        <v>470</v>
      </c>
      <c r="Q5" s="20">
        <v>525</v>
      </c>
      <c r="R5" s="20">
        <v>580</v>
      </c>
      <c r="S5" s="20">
        <v>2190</v>
      </c>
      <c r="T5" s="20">
        <v>2190</v>
      </c>
      <c r="U5" s="20">
        <v>2190</v>
      </c>
      <c r="V5" s="20">
        <v>1500</v>
      </c>
      <c r="W5" s="20">
        <v>2</v>
      </c>
      <c r="X5" s="20">
        <v>64405</v>
      </c>
      <c r="Y5" s="20">
        <v>307.5</v>
      </c>
      <c r="Z5" s="20">
        <v>52.67</v>
      </c>
      <c r="AA5" s="20">
        <v>904</v>
      </c>
      <c r="AB5" s="20">
        <v>0</v>
      </c>
    </row>
    <row r="6" spans="1:28" x14ac:dyDescent="0.35">
      <c r="A6" s="551" t="s">
        <v>68</v>
      </c>
      <c r="B6" s="20">
        <v>0</v>
      </c>
      <c r="C6" s="20">
        <v>0</v>
      </c>
      <c r="D6" s="20">
        <v>0</v>
      </c>
      <c r="E6" s="20">
        <v>0</v>
      </c>
      <c r="F6" s="20">
        <v>0</v>
      </c>
      <c r="G6" s="20">
        <v>326</v>
      </c>
      <c r="H6" s="20">
        <v>326</v>
      </c>
      <c r="I6" s="20">
        <v>326</v>
      </c>
      <c r="J6" s="20">
        <v>326</v>
      </c>
      <c r="K6" s="20">
        <v>1.4285714285714299E-2</v>
      </c>
      <c r="L6" s="20">
        <v>0.553968253968255</v>
      </c>
      <c r="M6" s="20">
        <v>0.2349206349206347</v>
      </c>
      <c r="N6" s="20">
        <v>0.19682539682539602</v>
      </c>
      <c r="O6" s="20">
        <v>0</v>
      </c>
      <c r="P6" s="20">
        <v>0</v>
      </c>
      <c r="Q6" s="20">
        <v>0</v>
      </c>
      <c r="R6" s="20">
        <v>0</v>
      </c>
      <c r="S6" s="20">
        <v>0</v>
      </c>
      <c r="T6" s="20">
        <v>0</v>
      </c>
      <c r="U6" s="20">
        <v>0</v>
      </c>
      <c r="V6" s="20">
        <v>0</v>
      </c>
      <c r="W6" s="20">
        <v>2</v>
      </c>
      <c r="X6" s="20">
        <v>0</v>
      </c>
      <c r="Y6" s="20">
        <v>201.46</v>
      </c>
      <c r="Z6" s="20">
        <v>0</v>
      </c>
      <c r="AA6" s="20">
        <v>0</v>
      </c>
      <c r="AB6" s="20">
        <v>0</v>
      </c>
    </row>
    <row r="7" spans="1:28" x14ac:dyDescent="0.35">
      <c r="A7" s="551" t="s">
        <v>24</v>
      </c>
      <c r="B7" s="20">
        <v>60700</v>
      </c>
      <c r="C7" s="20">
        <v>60700</v>
      </c>
      <c r="D7" s="20">
        <v>60700</v>
      </c>
      <c r="E7" s="20">
        <v>60700</v>
      </c>
      <c r="F7" s="20">
        <v>60700</v>
      </c>
      <c r="G7" s="20">
        <v>1000000</v>
      </c>
      <c r="H7" s="20">
        <v>0</v>
      </c>
      <c r="I7" s="20">
        <v>1000000</v>
      </c>
      <c r="J7" s="20">
        <v>0</v>
      </c>
      <c r="K7" s="20">
        <v>369000</v>
      </c>
      <c r="L7" s="20">
        <v>355000</v>
      </c>
      <c r="M7" s="20">
        <v>243000</v>
      </c>
      <c r="N7" s="20">
        <v>413000</v>
      </c>
      <c r="O7" s="20">
        <v>369000</v>
      </c>
      <c r="P7" s="20">
        <v>355000</v>
      </c>
      <c r="Q7" s="20">
        <v>243000</v>
      </c>
      <c r="R7" s="20">
        <v>413000</v>
      </c>
      <c r="S7" s="20">
        <v>0</v>
      </c>
      <c r="T7" s="20">
        <v>0</v>
      </c>
      <c r="U7" s="20">
        <v>0</v>
      </c>
      <c r="V7" s="20">
        <v>0</v>
      </c>
      <c r="W7" s="20">
        <v>159000</v>
      </c>
      <c r="X7" s="20">
        <v>459000</v>
      </c>
      <c r="Y7" s="20">
        <v>0</v>
      </c>
      <c r="Z7" s="20">
        <v>0</v>
      </c>
      <c r="AA7" s="20">
        <v>0</v>
      </c>
      <c r="AB7" s="20">
        <v>0</v>
      </c>
    </row>
    <row r="8" spans="1:28" x14ac:dyDescent="0.35">
      <c r="A8" s="551" t="s">
        <v>69</v>
      </c>
      <c r="B8" s="20">
        <v>3352.7983333333336</v>
      </c>
      <c r="C8" s="20">
        <v>9274.5483333333341</v>
      </c>
      <c r="D8" s="20">
        <v>3698.0333333333333</v>
      </c>
      <c r="E8" s="20">
        <v>3123.42</v>
      </c>
      <c r="F8" s="20">
        <v>3187.82</v>
      </c>
      <c r="G8" s="20">
        <v>3175</v>
      </c>
      <c r="H8" s="20">
        <v>1400</v>
      </c>
      <c r="I8" s="20">
        <v>3175</v>
      </c>
      <c r="J8" s="20">
        <v>1400</v>
      </c>
      <c r="K8" s="20">
        <v>5000</v>
      </c>
      <c r="L8" s="20">
        <v>1400</v>
      </c>
      <c r="M8" s="20">
        <v>8000</v>
      </c>
      <c r="N8" s="20">
        <v>950</v>
      </c>
      <c r="O8" s="20">
        <v>5000</v>
      </c>
      <c r="P8" s="20">
        <v>1400</v>
      </c>
      <c r="Q8" s="20">
        <v>8000</v>
      </c>
      <c r="R8" s="20">
        <v>950</v>
      </c>
      <c r="S8" s="20">
        <v>1473.4</v>
      </c>
      <c r="T8" s="20">
        <v>1473.4</v>
      </c>
      <c r="U8" s="20">
        <v>1473.4</v>
      </c>
      <c r="V8" s="20">
        <v>3160</v>
      </c>
      <c r="W8" s="20">
        <v>2175</v>
      </c>
      <c r="X8" s="20">
        <v>2175</v>
      </c>
      <c r="Y8" s="20">
        <v>1183.5</v>
      </c>
      <c r="Z8" s="20">
        <v>954.05</v>
      </c>
      <c r="AA8" s="20">
        <v>1306.5</v>
      </c>
      <c r="AB8" s="20">
        <v>1016.0999999999999</v>
      </c>
    </row>
    <row r="9" spans="1:28" x14ac:dyDescent="0.35">
      <c r="A9" s="551" t="s">
        <v>27</v>
      </c>
      <c r="B9" s="20">
        <v>0</v>
      </c>
      <c r="C9" s="20">
        <v>0</v>
      </c>
      <c r="D9" s="20">
        <v>0</v>
      </c>
      <c r="E9" s="20">
        <v>0</v>
      </c>
      <c r="F9" s="20">
        <v>0</v>
      </c>
      <c r="G9" s="20">
        <v>0</v>
      </c>
      <c r="H9" s="20">
        <v>0</v>
      </c>
      <c r="I9" s="20">
        <v>0</v>
      </c>
      <c r="J9" s="20">
        <v>0</v>
      </c>
      <c r="K9" s="20">
        <v>6</v>
      </c>
      <c r="L9" s="20">
        <v>2</v>
      </c>
      <c r="M9" s="20">
        <v>17</v>
      </c>
      <c r="N9" s="20">
        <v>6</v>
      </c>
      <c r="O9" s="20">
        <v>6</v>
      </c>
      <c r="P9" s="20">
        <v>2</v>
      </c>
      <c r="Q9" s="20">
        <v>17</v>
      </c>
      <c r="R9" s="20">
        <v>6</v>
      </c>
      <c r="S9" s="20">
        <v>0</v>
      </c>
      <c r="T9" s="20">
        <v>0</v>
      </c>
      <c r="U9" s="20">
        <v>0</v>
      </c>
      <c r="V9" s="20">
        <v>0</v>
      </c>
      <c r="W9" s="20">
        <v>0</v>
      </c>
      <c r="X9" s="20">
        <v>0</v>
      </c>
      <c r="Y9" s="20">
        <v>0</v>
      </c>
      <c r="Z9" s="20">
        <v>0</v>
      </c>
      <c r="AA9" s="20">
        <v>0</v>
      </c>
      <c r="AB9" s="20">
        <v>0</v>
      </c>
    </row>
    <row r="10" spans="1:28" x14ac:dyDescent="0.35">
      <c r="A10" s="551" t="s">
        <v>284</v>
      </c>
      <c r="B10" s="20">
        <v>0</v>
      </c>
      <c r="C10" s="20">
        <v>0</v>
      </c>
      <c r="D10" s="20">
        <v>0</v>
      </c>
      <c r="E10" s="20">
        <v>9</v>
      </c>
      <c r="F10" s="20">
        <v>0</v>
      </c>
      <c r="G10" s="20">
        <v>0</v>
      </c>
      <c r="H10" s="20">
        <v>0</v>
      </c>
      <c r="I10" s="20">
        <v>692</v>
      </c>
      <c r="J10" s="20">
        <v>692</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row>
    <row r="11" spans="1:28" x14ac:dyDescent="0.35">
      <c r="A11" s="551" t="s">
        <v>285</v>
      </c>
      <c r="B11" s="20">
        <v>0</v>
      </c>
      <c r="C11" s="20">
        <v>0</v>
      </c>
      <c r="D11" s="20">
        <v>0</v>
      </c>
      <c r="E11" s="20">
        <v>0</v>
      </c>
      <c r="F11" s="20">
        <v>48</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row>
    <row r="12" spans="1:28" x14ac:dyDescent="0.35">
      <c r="A12" s="551" t="s">
        <v>29</v>
      </c>
      <c r="B12" s="20">
        <v>46400</v>
      </c>
      <c r="C12" s="20">
        <v>46400</v>
      </c>
      <c r="D12" s="20">
        <v>46400</v>
      </c>
      <c r="E12" s="20">
        <v>46400</v>
      </c>
      <c r="F12" s="20">
        <v>46400</v>
      </c>
      <c r="G12" s="20">
        <v>100000</v>
      </c>
      <c r="H12" s="20">
        <v>100000</v>
      </c>
      <c r="I12" s="20">
        <v>100000</v>
      </c>
      <c r="J12" s="20">
        <v>100000</v>
      </c>
      <c r="K12" s="20">
        <v>8100</v>
      </c>
      <c r="L12" s="20">
        <v>7700</v>
      </c>
      <c r="M12" s="20">
        <v>8100</v>
      </c>
      <c r="N12" s="20">
        <v>8400</v>
      </c>
      <c r="O12" s="20">
        <v>8100</v>
      </c>
      <c r="P12" s="20">
        <v>7700</v>
      </c>
      <c r="Q12" s="20">
        <v>8100</v>
      </c>
      <c r="R12" s="20">
        <v>8400</v>
      </c>
      <c r="S12" s="20">
        <v>0</v>
      </c>
      <c r="T12" s="20">
        <v>0</v>
      </c>
      <c r="U12" s="20">
        <v>0</v>
      </c>
      <c r="V12" s="20">
        <v>0</v>
      </c>
      <c r="W12" s="20">
        <v>0</v>
      </c>
      <c r="X12" s="20">
        <v>0</v>
      </c>
      <c r="Y12" s="20">
        <v>0</v>
      </c>
      <c r="Z12" s="20">
        <v>0</v>
      </c>
      <c r="AA12" s="20">
        <v>0</v>
      </c>
      <c r="AB12" s="20">
        <v>0</v>
      </c>
    </row>
    <row r="13" spans="1:28" x14ac:dyDescent="0.35">
      <c r="A13" s="551"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0.5</v>
      </c>
      <c r="T13" s="20">
        <v>0</v>
      </c>
      <c r="U13" s="20">
        <v>0</v>
      </c>
      <c r="V13" s="20">
        <v>0</v>
      </c>
      <c r="W13" s="20">
        <v>0</v>
      </c>
      <c r="X13" s="20">
        <v>0</v>
      </c>
      <c r="Y13" s="20">
        <v>0</v>
      </c>
      <c r="Z13" s="20">
        <v>0</v>
      </c>
      <c r="AA13" s="20">
        <v>0</v>
      </c>
      <c r="AB13" s="20">
        <v>0</v>
      </c>
    </row>
    <row r="14" spans="1:28" x14ac:dyDescent="0.35">
      <c r="A14" s="551" t="s">
        <v>31</v>
      </c>
      <c r="B14" s="20">
        <v>0</v>
      </c>
      <c r="C14" s="20">
        <v>0</v>
      </c>
      <c r="D14" s="20">
        <v>0</v>
      </c>
      <c r="E14" s="20">
        <v>21.75</v>
      </c>
      <c r="F14" s="20">
        <v>5.32</v>
      </c>
      <c r="G14" s="20">
        <v>0</v>
      </c>
      <c r="H14" s="20">
        <v>0</v>
      </c>
      <c r="I14" s="20">
        <v>0</v>
      </c>
      <c r="J14" s="20">
        <v>0</v>
      </c>
      <c r="K14" s="20">
        <v>0</v>
      </c>
      <c r="L14" s="20">
        <v>0</v>
      </c>
      <c r="M14" s="20">
        <v>0</v>
      </c>
      <c r="N14" s="20">
        <v>0</v>
      </c>
      <c r="O14" s="20">
        <v>0</v>
      </c>
      <c r="P14" s="20">
        <v>0</v>
      </c>
      <c r="Q14" s="20">
        <v>0</v>
      </c>
      <c r="R14" s="20">
        <v>0</v>
      </c>
      <c r="S14" s="20">
        <v>1.4</v>
      </c>
      <c r="T14" s="20">
        <v>0</v>
      </c>
      <c r="U14" s="20">
        <v>0</v>
      </c>
      <c r="V14" s="20">
        <v>0</v>
      </c>
      <c r="W14" s="20">
        <v>0</v>
      </c>
      <c r="X14" s="20">
        <v>0</v>
      </c>
      <c r="Y14" s="20">
        <v>0</v>
      </c>
      <c r="Z14" s="20">
        <v>0</v>
      </c>
      <c r="AA14" s="20">
        <v>0</v>
      </c>
      <c r="AB14" s="20">
        <v>0</v>
      </c>
    </row>
    <row r="15" spans="1:28" x14ac:dyDescent="0.35">
      <c r="A15" s="551" t="s">
        <v>32</v>
      </c>
      <c r="B15" s="20">
        <v>0</v>
      </c>
      <c r="C15" s="20">
        <v>0</v>
      </c>
      <c r="D15" s="20">
        <v>0</v>
      </c>
      <c r="E15" s="20">
        <v>0</v>
      </c>
      <c r="F15" s="20">
        <v>66446.94</v>
      </c>
      <c r="G15" s="20">
        <v>650000</v>
      </c>
      <c r="H15" s="20">
        <v>393000</v>
      </c>
      <c r="I15" s="20">
        <v>650000</v>
      </c>
      <c r="J15" s="20">
        <v>393000</v>
      </c>
      <c r="K15" s="20">
        <v>149275.20000000001</v>
      </c>
      <c r="L15" s="20">
        <v>128581.8</v>
      </c>
      <c r="M15" s="20">
        <v>299578.92853999999</v>
      </c>
      <c r="N15" s="20">
        <v>125510.2</v>
      </c>
      <c r="O15" s="20">
        <v>149275.20000000001</v>
      </c>
      <c r="P15" s="20">
        <v>128581.8</v>
      </c>
      <c r="Q15" s="20">
        <v>299578.92853999999</v>
      </c>
      <c r="R15" s="20">
        <v>125510.2</v>
      </c>
      <c r="S15" s="14">
        <v>476186.76</v>
      </c>
      <c r="T15" s="14">
        <v>476186.76</v>
      </c>
      <c r="U15" s="14">
        <v>476186.76</v>
      </c>
      <c r="V15" s="20">
        <v>222090.14300000001</v>
      </c>
      <c r="W15" s="20">
        <v>135046.79999999999</v>
      </c>
      <c r="X15" s="20">
        <v>2097520</v>
      </c>
      <c r="Y15" s="20">
        <v>63381.720149999994</v>
      </c>
      <c r="Z15" s="20">
        <v>6341</v>
      </c>
      <c r="AA15" s="20">
        <v>78791</v>
      </c>
      <c r="AB15" s="20">
        <v>15205.682519999998</v>
      </c>
    </row>
    <row r="16" spans="1:28" x14ac:dyDescent="0.35">
      <c r="A16" s="551" t="s">
        <v>34</v>
      </c>
      <c r="B16" s="20">
        <v>39</v>
      </c>
      <c r="C16" s="20">
        <v>39</v>
      </c>
      <c r="D16" s="20">
        <v>8</v>
      </c>
      <c r="E16" s="20">
        <v>0</v>
      </c>
      <c r="F16" s="20">
        <v>0</v>
      </c>
      <c r="G16" s="20">
        <v>0</v>
      </c>
      <c r="H16" s="20">
        <v>0</v>
      </c>
      <c r="I16" s="20">
        <v>0</v>
      </c>
      <c r="J16" s="20">
        <v>0</v>
      </c>
      <c r="K16" s="20">
        <v>0</v>
      </c>
      <c r="L16" s="20">
        <v>0</v>
      </c>
      <c r="M16" s="20">
        <v>0</v>
      </c>
      <c r="N16" s="20">
        <v>0</v>
      </c>
      <c r="O16" s="20">
        <v>0</v>
      </c>
      <c r="P16" s="20">
        <v>0</v>
      </c>
      <c r="Q16" s="20">
        <v>0</v>
      </c>
      <c r="R16" s="20">
        <v>0</v>
      </c>
      <c r="S16" s="20">
        <v>4</v>
      </c>
      <c r="T16" s="20">
        <v>4</v>
      </c>
      <c r="U16" s="20">
        <v>4</v>
      </c>
      <c r="V16" s="20">
        <v>300</v>
      </c>
      <c r="W16" s="20">
        <v>104</v>
      </c>
      <c r="X16" s="20">
        <v>0</v>
      </c>
      <c r="Y16" s="20">
        <v>0</v>
      </c>
      <c r="Z16" s="20">
        <v>5</v>
      </c>
      <c r="AA16" s="20">
        <v>9</v>
      </c>
      <c r="AB16" s="20">
        <v>0</v>
      </c>
    </row>
    <row r="17" spans="1:28" x14ac:dyDescent="0.35">
      <c r="A17" s="551" t="s">
        <v>289</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row>
    <row r="18" spans="1:28" x14ac:dyDescent="0.35">
      <c r="A18" s="551" t="s">
        <v>36</v>
      </c>
      <c r="B18" s="20">
        <v>0</v>
      </c>
      <c r="C18" s="20">
        <v>0</v>
      </c>
      <c r="D18" s="20">
        <v>0</v>
      </c>
      <c r="E18" s="20">
        <v>0</v>
      </c>
      <c r="F18" s="20">
        <v>0</v>
      </c>
      <c r="G18" s="20">
        <f>1400+I10</f>
        <v>2092</v>
      </c>
      <c r="H18" s="20">
        <f>2600+J10</f>
        <v>3292</v>
      </c>
      <c r="I18" s="20">
        <v>1400</v>
      </c>
      <c r="J18" s="20">
        <v>2600</v>
      </c>
      <c r="K18" s="20">
        <v>0</v>
      </c>
      <c r="L18" s="20">
        <v>0</v>
      </c>
      <c r="M18" s="20">
        <v>0</v>
      </c>
      <c r="N18" s="20">
        <v>0</v>
      </c>
      <c r="O18" s="20">
        <v>0</v>
      </c>
      <c r="P18" s="20">
        <v>0</v>
      </c>
      <c r="Q18" s="20">
        <v>0</v>
      </c>
      <c r="R18" s="20">
        <v>0</v>
      </c>
      <c r="S18" s="20">
        <v>0</v>
      </c>
      <c r="T18" s="20">
        <v>0</v>
      </c>
      <c r="U18" s="20">
        <v>0</v>
      </c>
      <c r="V18" s="20">
        <v>100</v>
      </c>
      <c r="W18" s="20">
        <v>0</v>
      </c>
      <c r="X18" s="20">
        <v>0</v>
      </c>
      <c r="Y18" s="20">
        <v>0</v>
      </c>
      <c r="Z18" s="20">
        <v>2</v>
      </c>
      <c r="AA18" s="20">
        <v>0</v>
      </c>
      <c r="AB18" s="20">
        <v>0</v>
      </c>
    </row>
    <row r="19" spans="1:28" x14ac:dyDescent="0.35">
      <c r="A19" s="551" t="s">
        <v>37</v>
      </c>
      <c r="B19" s="20">
        <v>0</v>
      </c>
      <c r="C19" s="20">
        <v>0</v>
      </c>
      <c r="D19" s="20">
        <v>0</v>
      </c>
      <c r="E19" s="20">
        <v>0</v>
      </c>
      <c r="F19" s="20">
        <v>0</v>
      </c>
      <c r="G19" s="20">
        <v>1368</v>
      </c>
      <c r="H19" s="20">
        <v>5700</v>
      </c>
      <c r="I19" s="20">
        <v>1368</v>
      </c>
      <c r="J19" s="20">
        <v>5700</v>
      </c>
      <c r="K19" s="20">
        <v>790</v>
      </c>
      <c r="L19" s="20">
        <v>780</v>
      </c>
      <c r="M19" s="20">
        <v>790</v>
      </c>
      <c r="N19" s="20">
        <v>800</v>
      </c>
      <c r="O19" s="20">
        <v>790</v>
      </c>
      <c r="P19" s="20">
        <v>780</v>
      </c>
      <c r="Q19" s="20">
        <v>790</v>
      </c>
      <c r="R19" s="20">
        <v>800</v>
      </c>
      <c r="S19" s="20">
        <v>147.69</v>
      </c>
      <c r="T19" s="20">
        <v>147.69</v>
      </c>
      <c r="U19" s="20">
        <v>147.69</v>
      </c>
      <c r="V19" s="20">
        <v>200</v>
      </c>
      <c r="W19" s="20">
        <v>0</v>
      </c>
      <c r="X19" s="20">
        <v>4325</v>
      </c>
      <c r="Y19" s="20">
        <v>4.63</v>
      </c>
      <c r="Z19" s="20">
        <v>27</v>
      </c>
      <c r="AA19" s="20">
        <v>359</v>
      </c>
      <c r="AB19" s="20">
        <v>0</v>
      </c>
    </row>
    <row r="20" spans="1:28" x14ac:dyDescent="0.35">
      <c r="A20" s="551" t="s">
        <v>71</v>
      </c>
      <c r="B20" s="20">
        <v>0</v>
      </c>
      <c r="C20" s="20">
        <v>0</v>
      </c>
      <c r="D20" s="20">
        <v>154.5</v>
      </c>
      <c r="E20" s="20">
        <v>1</v>
      </c>
      <c r="F20" s="20">
        <v>0</v>
      </c>
      <c r="G20" s="20">
        <v>200</v>
      </c>
      <c r="H20" s="20">
        <v>56</v>
      </c>
      <c r="I20" s="20">
        <v>200</v>
      </c>
      <c r="J20" s="20">
        <v>56</v>
      </c>
      <c r="K20" s="20">
        <v>109</v>
      </c>
      <c r="L20" s="20">
        <v>99</v>
      </c>
      <c r="M20" s="20">
        <v>109</v>
      </c>
      <c r="N20" s="20">
        <v>119</v>
      </c>
      <c r="O20" s="20">
        <v>109</v>
      </c>
      <c r="P20" s="20">
        <v>99</v>
      </c>
      <c r="Q20" s="20">
        <v>109</v>
      </c>
      <c r="R20" s="20">
        <v>119</v>
      </c>
      <c r="S20" s="20">
        <v>70.8</v>
      </c>
      <c r="T20" s="20">
        <v>70.8</v>
      </c>
      <c r="U20" s="20">
        <v>70.8</v>
      </c>
      <c r="V20" s="20">
        <v>250</v>
      </c>
      <c r="W20" s="20">
        <v>0</v>
      </c>
      <c r="X20" s="20">
        <v>7209</v>
      </c>
      <c r="Y20" s="20">
        <v>0</v>
      </c>
      <c r="Z20" s="20">
        <v>0</v>
      </c>
      <c r="AA20" s="20">
        <v>0</v>
      </c>
      <c r="AB20" s="20">
        <v>0</v>
      </c>
    </row>
    <row r="21" spans="1:28" x14ac:dyDescent="0.35">
      <c r="A21" s="551" t="s">
        <v>38</v>
      </c>
      <c r="B21" s="20">
        <v>0</v>
      </c>
      <c r="C21" s="20">
        <v>0</v>
      </c>
      <c r="D21" s="20">
        <v>0</v>
      </c>
      <c r="E21" s="20">
        <v>0</v>
      </c>
      <c r="F21" s="20">
        <v>0</v>
      </c>
      <c r="G21" s="20">
        <v>0</v>
      </c>
      <c r="H21" s="20">
        <v>0</v>
      </c>
      <c r="I21" s="20">
        <v>0</v>
      </c>
      <c r="J21" s="20">
        <v>0</v>
      </c>
      <c r="K21" s="20">
        <v>28</v>
      </c>
      <c r="L21" s="20">
        <v>12</v>
      </c>
      <c r="M21" s="20">
        <v>186</v>
      </c>
      <c r="N21" s="20">
        <v>51</v>
      </c>
      <c r="O21" s="20">
        <v>28</v>
      </c>
      <c r="P21" s="20">
        <v>12</v>
      </c>
      <c r="Q21" s="20">
        <v>186</v>
      </c>
      <c r="R21" s="20">
        <v>51</v>
      </c>
      <c r="S21" s="20">
        <v>0</v>
      </c>
      <c r="T21" s="20">
        <v>0</v>
      </c>
      <c r="U21" s="20">
        <v>0</v>
      </c>
      <c r="V21" s="20">
        <v>0</v>
      </c>
      <c r="W21" s="20">
        <v>0</v>
      </c>
      <c r="X21" s="20">
        <v>0</v>
      </c>
      <c r="Y21" s="20">
        <v>0</v>
      </c>
      <c r="Z21" s="20">
        <v>0</v>
      </c>
      <c r="AA21" s="20">
        <v>0</v>
      </c>
      <c r="AB21" s="20">
        <v>0</v>
      </c>
    </row>
    <row r="22" spans="1:28" x14ac:dyDescent="0.35">
      <c r="A22" s="551" t="s">
        <v>39</v>
      </c>
      <c r="B22" s="20">
        <v>1.3</v>
      </c>
      <c r="C22" s="20">
        <v>1.3</v>
      </c>
      <c r="D22" s="20">
        <v>16</v>
      </c>
      <c r="E22" s="20">
        <v>0</v>
      </c>
      <c r="F22" s="20">
        <v>0</v>
      </c>
      <c r="G22" s="20">
        <v>705.5</v>
      </c>
      <c r="H22" s="20">
        <v>1800</v>
      </c>
      <c r="I22" s="20">
        <v>705.5</v>
      </c>
      <c r="J22" s="20">
        <v>1800</v>
      </c>
      <c r="K22" s="20">
        <v>340</v>
      </c>
      <c r="L22" s="20">
        <v>430</v>
      </c>
      <c r="M22" s="20">
        <v>240</v>
      </c>
      <c r="N22" s="20">
        <v>440</v>
      </c>
      <c r="O22" s="20">
        <v>340</v>
      </c>
      <c r="P22" s="20">
        <v>430</v>
      </c>
      <c r="Q22" s="20">
        <v>240</v>
      </c>
      <c r="R22" s="20">
        <v>440</v>
      </c>
      <c r="S22" s="20">
        <v>1297.4000000000001</v>
      </c>
      <c r="T22" s="20">
        <v>1297.4000000000001</v>
      </c>
      <c r="U22" s="20">
        <v>1297.4000000000001</v>
      </c>
      <c r="V22" s="20">
        <v>0</v>
      </c>
      <c r="W22" s="20">
        <v>20</v>
      </c>
      <c r="X22" s="20">
        <v>120155</v>
      </c>
      <c r="Y22" s="20">
        <v>721.04</v>
      </c>
      <c r="Z22" s="20">
        <v>32.375</v>
      </c>
      <c r="AA22" s="20">
        <v>676</v>
      </c>
      <c r="AB22" s="20">
        <v>0</v>
      </c>
    </row>
    <row r="23" spans="1:28" x14ac:dyDescent="0.35">
      <c r="A23" s="551" t="s">
        <v>41</v>
      </c>
      <c r="B23" s="20">
        <v>0</v>
      </c>
      <c r="C23" s="20">
        <v>0</v>
      </c>
      <c r="D23" s="20">
        <v>0</v>
      </c>
      <c r="E23" s="20">
        <v>0</v>
      </c>
      <c r="F23" s="20">
        <v>0</v>
      </c>
      <c r="G23" s="20">
        <v>0</v>
      </c>
      <c r="H23" s="20">
        <v>140</v>
      </c>
      <c r="I23" s="20">
        <v>0</v>
      </c>
      <c r="J23" s="20">
        <v>140</v>
      </c>
      <c r="K23" s="20">
        <v>0</v>
      </c>
      <c r="L23" s="20">
        <v>0</v>
      </c>
      <c r="M23" s="20">
        <v>0</v>
      </c>
      <c r="N23" s="20">
        <v>0</v>
      </c>
      <c r="O23" s="20">
        <v>0</v>
      </c>
      <c r="P23" s="20">
        <v>0</v>
      </c>
      <c r="Q23" s="20">
        <v>0</v>
      </c>
      <c r="R23" s="20">
        <v>0</v>
      </c>
      <c r="S23" s="20">
        <v>2</v>
      </c>
      <c r="T23" s="20">
        <v>2</v>
      </c>
      <c r="U23" s="20">
        <v>2</v>
      </c>
      <c r="V23" s="20">
        <v>0</v>
      </c>
      <c r="W23" s="20">
        <v>0</v>
      </c>
      <c r="X23" s="20">
        <v>128</v>
      </c>
      <c r="Y23" s="20">
        <v>0</v>
      </c>
      <c r="Z23" s="20">
        <v>0</v>
      </c>
      <c r="AA23" s="20">
        <v>0</v>
      </c>
      <c r="AB23" s="20">
        <v>0</v>
      </c>
    </row>
    <row r="24" spans="1:28" x14ac:dyDescent="0.35">
      <c r="A24" s="551" t="s">
        <v>42</v>
      </c>
      <c r="B24" s="20">
        <v>8600</v>
      </c>
      <c r="C24" s="20">
        <v>8600</v>
      </c>
      <c r="D24" s="20">
        <v>8600</v>
      </c>
      <c r="E24" s="20">
        <v>8600</v>
      </c>
      <c r="F24" s="20">
        <v>8600</v>
      </c>
      <c r="G24" s="20">
        <v>100</v>
      </c>
      <c r="H24" s="20">
        <v>100</v>
      </c>
      <c r="I24" s="20">
        <v>100</v>
      </c>
      <c r="J24" s="20">
        <v>100</v>
      </c>
      <c r="K24" s="20">
        <v>4600</v>
      </c>
      <c r="L24" s="20">
        <v>4600</v>
      </c>
      <c r="M24" s="20">
        <v>4600</v>
      </c>
      <c r="N24" s="20">
        <v>4600</v>
      </c>
      <c r="O24" s="20">
        <v>4600</v>
      </c>
      <c r="P24" s="20">
        <v>4600</v>
      </c>
      <c r="Q24" s="20">
        <v>4600</v>
      </c>
      <c r="R24" s="20">
        <v>4600</v>
      </c>
      <c r="S24" s="20">
        <v>0</v>
      </c>
      <c r="T24" s="20">
        <v>0</v>
      </c>
      <c r="U24" s="20">
        <v>0</v>
      </c>
      <c r="V24" s="20">
        <v>0</v>
      </c>
      <c r="W24" s="20">
        <v>0</v>
      </c>
      <c r="X24" s="20">
        <v>732</v>
      </c>
      <c r="Y24" s="20">
        <v>0</v>
      </c>
      <c r="Z24" s="20">
        <v>0</v>
      </c>
      <c r="AA24" s="20">
        <v>0</v>
      </c>
      <c r="AB24" s="20">
        <v>0</v>
      </c>
    </row>
    <row r="25" spans="1:28" x14ac:dyDescent="0.35">
      <c r="A25" s="551" t="s">
        <v>43</v>
      </c>
      <c r="B25" s="20">
        <v>0</v>
      </c>
      <c r="C25" s="20">
        <v>0</v>
      </c>
      <c r="D25" s="20">
        <v>0</v>
      </c>
      <c r="E25" s="20">
        <v>0</v>
      </c>
      <c r="F25" s="20">
        <v>0</v>
      </c>
      <c r="G25" s="20">
        <v>0</v>
      </c>
      <c r="H25" s="20">
        <v>0</v>
      </c>
      <c r="I25" s="20">
        <v>0</v>
      </c>
      <c r="J25" s="20">
        <v>0</v>
      </c>
      <c r="K25" s="20">
        <v>9</v>
      </c>
      <c r="L25" s="20">
        <v>0</v>
      </c>
      <c r="M25" s="20">
        <v>35</v>
      </c>
      <c r="N25" s="20">
        <v>4</v>
      </c>
      <c r="O25" s="20">
        <v>9</v>
      </c>
      <c r="P25" s="20">
        <v>0</v>
      </c>
      <c r="Q25" s="20">
        <v>35</v>
      </c>
      <c r="R25" s="20">
        <v>4</v>
      </c>
      <c r="S25" s="20">
        <v>0</v>
      </c>
      <c r="T25" s="20">
        <v>0</v>
      </c>
      <c r="U25" s="20">
        <v>0</v>
      </c>
      <c r="V25" s="20">
        <v>0</v>
      </c>
      <c r="W25" s="20">
        <v>0</v>
      </c>
      <c r="X25" s="20">
        <v>0</v>
      </c>
      <c r="Y25" s="20">
        <v>0</v>
      </c>
      <c r="Z25" s="20">
        <v>0</v>
      </c>
      <c r="AA25" s="20">
        <v>0</v>
      </c>
      <c r="AB25" s="20">
        <v>0</v>
      </c>
    </row>
    <row r="26" spans="1:28" x14ac:dyDescent="0.35">
      <c r="A26" s="551" t="s">
        <v>286</v>
      </c>
      <c r="B26" s="20">
        <v>0</v>
      </c>
      <c r="C26" s="20">
        <v>0</v>
      </c>
      <c r="D26" s="20">
        <v>0</v>
      </c>
      <c r="E26" s="20">
        <v>91.8</v>
      </c>
      <c r="F26" s="20">
        <v>0</v>
      </c>
      <c r="G26" s="20">
        <v>0</v>
      </c>
      <c r="H26" s="20">
        <v>0</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20">
        <v>0</v>
      </c>
    </row>
    <row r="27" spans="1:28" x14ac:dyDescent="0.35">
      <c r="A27" s="551" t="s">
        <v>287</v>
      </c>
      <c r="B27" s="20">
        <v>5921.75</v>
      </c>
      <c r="C27" s="20">
        <v>5921.75</v>
      </c>
      <c r="D27" s="20">
        <v>0</v>
      </c>
      <c r="E27" s="20">
        <v>0</v>
      </c>
      <c r="F27" s="20">
        <v>150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row>
    <row r="28" spans="1:28" x14ac:dyDescent="0.35">
      <c r="A28" s="551" t="s">
        <v>46</v>
      </c>
      <c r="B28" s="20">
        <v>24.3</v>
      </c>
      <c r="C28" s="20">
        <v>0</v>
      </c>
      <c r="D28" s="20">
        <v>0</v>
      </c>
      <c r="E28" s="20">
        <v>0</v>
      </c>
      <c r="F28" s="20">
        <v>0</v>
      </c>
      <c r="G28" s="20">
        <v>0</v>
      </c>
      <c r="H28" s="20">
        <v>0</v>
      </c>
      <c r="I28" s="20">
        <v>15</v>
      </c>
      <c r="J28" s="20">
        <v>15</v>
      </c>
      <c r="K28" s="20">
        <v>0</v>
      </c>
      <c r="L28" s="20">
        <v>0</v>
      </c>
      <c r="M28" s="20">
        <v>0</v>
      </c>
      <c r="N28" s="20">
        <v>0</v>
      </c>
      <c r="O28" s="20">
        <v>0</v>
      </c>
      <c r="P28" s="20">
        <v>0</v>
      </c>
      <c r="Q28" s="20">
        <v>0</v>
      </c>
      <c r="R28" s="20">
        <v>0</v>
      </c>
      <c r="S28" s="20">
        <v>7.5</v>
      </c>
      <c r="T28" s="20">
        <v>0</v>
      </c>
      <c r="U28" s="20">
        <v>0</v>
      </c>
      <c r="V28" s="20">
        <v>0</v>
      </c>
      <c r="W28" s="20">
        <v>0</v>
      </c>
      <c r="X28" s="20">
        <v>0</v>
      </c>
      <c r="Y28" s="20">
        <v>0</v>
      </c>
      <c r="Z28" s="20">
        <v>0</v>
      </c>
      <c r="AA28" s="20">
        <v>0</v>
      </c>
      <c r="AB28" s="20">
        <v>0</v>
      </c>
    </row>
    <row r="29" spans="1:28" x14ac:dyDescent="0.35">
      <c r="A29" s="551" t="s">
        <v>50</v>
      </c>
      <c r="B29" s="20">
        <v>0</v>
      </c>
      <c r="C29" s="20">
        <v>0</v>
      </c>
      <c r="D29" s="20">
        <v>0</v>
      </c>
      <c r="E29" s="20">
        <v>0</v>
      </c>
      <c r="F29" s="20">
        <v>0</v>
      </c>
      <c r="G29" s="20">
        <v>0</v>
      </c>
      <c r="H29" s="20">
        <v>0</v>
      </c>
      <c r="I29" s="20">
        <v>0</v>
      </c>
      <c r="J29" s="20">
        <v>0</v>
      </c>
      <c r="K29" s="20">
        <v>0</v>
      </c>
      <c r="L29" s="20">
        <v>0</v>
      </c>
      <c r="M29" s="20">
        <v>0</v>
      </c>
      <c r="N29" s="20">
        <v>0</v>
      </c>
      <c r="O29" s="20">
        <v>0</v>
      </c>
      <c r="P29" s="20">
        <v>0</v>
      </c>
      <c r="Q29" s="20">
        <v>0</v>
      </c>
      <c r="R29" s="20">
        <v>0</v>
      </c>
      <c r="S29" s="20">
        <v>0</v>
      </c>
      <c r="T29" s="20">
        <v>0</v>
      </c>
      <c r="U29" s="20">
        <v>0</v>
      </c>
      <c r="V29" s="20">
        <v>0</v>
      </c>
      <c r="W29" s="20">
        <v>0</v>
      </c>
      <c r="X29" s="20">
        <v>64</v>
      </c>
      <c r="Y29" s="20">
        <v>0</v>
      </c>
      <c r="Z29" s="20">
        <v>0</v>
      </c>
      <c r="AA29" s="20">
        <v>0</v>
      </c>
      <c r="AB29" s="20">
        <v>0</v>
      </c>
    </row>
    <row r="30" spans="1:28" x14ac:dyDescent="0.35">
      <c r="A30" s="551" t="s">
        <v>288</v>
      </c>
      <c r="B30" s="20">
        <v>0</v>
      </c>
      <c r="C30" s="20">
        <v>0</v>
      </c>
      <c r="D30" s="20">
        <v>77.039999999999992</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row>
    <row r="31" spans="1:28" x14ac:dyDescent="0.35">
      <c r="A31" s="551" t="s">
        <v>53</v>
      </c>
      <c r="B31" s="20">
        <v>0</v>
      </c>
      <c r="C31" s="20">
        <v>0</v>
      </c>
      <c r="D31" s="20">
        <v>0</v>
      </c>
      <c r="E31" s="20">
        <v>0</v>
      </c>
      <c r="F31" s="20">
        <v>0</v>
      </c>
      <c r="G31" s="20">
        <v>0</v>
      </c>
      <c r="H31" s="20">
        <v>0</v>
      </c>
      <c r="I31" s="20">
        <v>0</v>
      </c>
      <c r="J31" s="20">
        <v>0</v>
      </c>
      <c r="K31" s="20">
        <v>1</v>
      </c>
      <c r="L31" s="20">
        <v>0</v>
      </c>
      <c r="M31" s="20">
        <v>7</v>
      </c>
      <c r="N31" s="20">
        <v>1</v>
      </c>
      <c r="O31" s="20">
        <v>1</v>
      </c>
      <c r="P31" s="20">
        <v>0</v>
      </c>
      <c r="Q31" s="20">
        <v>7</v>
      </c>
      <c r="R31" s="20">
        <v>1</v>
      </c>
      <c r="S31" s="20">
        <v>0</v>
      </c>
      <c r="T31" s="20">
        <v>0</v>
      </c>
      <c r="U31" s="20">
        <v>0</v>
      </c>
      <c r="V31" s="20">
        <v>0</v>
      </c>
      <c r="W31" s="20">
        <v>0</v>
      </c>
      <c r="X31" s="20">
        <v>0</v>
      </c>
      <c r="Y31" s="20">
        <v>0</v>
      </c>
      <c r="Z31" s="20">
        <v>0</v>
      </c>
      <c r="AA31" s="20">
        <v>0</v>
      </c>
      <c r="AB31" s="20">
        <v>0</v>
      </c>
    </row>
    <row r="32" spans="1:28" x14ac:dyDescent="0.35">
      <c r="A32" s="551" t="s">
        <v>54</v>
      </c>
      <c r="B32" s="20">
        <v>454.5</v>
      </c>
      <c r="C32" s="20">
        <v>454.5</v>
      </c>
      <c r="D32" s="20">
        <v>332</v>
      </c>
      <c r="E32" s="20">
        <v>332</v>
      </c>
      <c r="F32" s="20">
        <v>332</v>
      </c>
      <c r="G32" s="20">
        <v>0</v>
      </c>
      <c r="H32" s="20">
        <v>0</v>
      </c>
      <c r="I32" s="20">
        <v>0</v>
      </c>
      <c r="J32" s="20">
        <v>0</v>
      </c>
      <c r="K32" s="20">
        <v>0</v>
      </c>
      <c r="L32" s="20">
        <v>0</v>
      </c>
      <c r="M32" s="20">
        <v>0</v>
      </c>
      <c r="N32" s="20">
        <v>0</v>
      </c>
      <c r="O32" s="20">
        <v>0</v>
      </c>
      <c r="P32" s="20">
        <v>0</v>
      </c>
      <c r="Q32" s="20">
        <v>0</v>
      </c>
      <c r="R32" s="20">
        <v>0</v>
      </c>
      <c r="S32" s="20">
        <v>5</v>
      </c>
      <c r="T32" s="20">
        <v>5</v>
      </c>
      <c r="U32" s="20">
        <v>5</v>
      </c>
      <c r="V32" s="20">
        <v>0</v>
      </c>
      <c r="W32" s="20">
        <v>0</v>
      </c>
      <c r="X32" s="20">
        <v>0</v>
      </c>
      <c r="Y32" s="20">
        <v>0</v>
      </c>
      <c r="Z32" s="20">
        <v>0</v>
      </c>
      <c r="AA32" s="20">
        <v>0</v>
      </c>
      <c r="AB32" s="20">
        <v>0</v>
      </c>
    </row>
    <row r="33" spans="1:28" x14ac:dyDescent="0.35">
      <c r="A33" s="551" t="s">
        <v>55</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5</v>
      </c>
      <c r="T33" s="20">
        <v>5</v>
      </c>
      <c r="U33" s="20">
        <v>5</v>
      </c>
      <c r="V33" s="20">
        <v>0</v>
      </c>
      <c r="W33" s="20">
        <v>0</v>
      </c>
      <c r="X33" s="20">
        <v>0</v>
      </c>
      <c r="Y33" s="20">
        <v>0</v>
      </c>
      <c r="Z33" s="20">
        <v>0</v>
      </c>
      <c r="AA33" s="20">
        <v>0</v>
      </c>
      <c r="AB33" s="20">
        <v>0</v>
      </c>
    </row>
    <row r="34" spans="1:28" x14ac:dyDescent="0.35">
      <c r="A34" s="551" t="s">
        <v>72</v>
      </c>
      <c r="B34" s="20">
        <v>0</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3</v>
      </c>
      <c r="T34" s="20">
        <v>1.2</v>
      </c>
      <c r="U34" s="20">
        <v>1.7</v>
      </c>
      <c r="V34" s="20">
        <v>0</v>
      </c>
      <c r="W34" s="20">
        <v>0</v>
      </c>
      <c r="X34" s="20">
        <v>0</v>
      </c>
      <c r="Y34" s="20">
        <v>0</v>
      </c>
      <c r="Z34" s="20">
        <v>0</v>
      </c>
      <c r="AA34" s="20">
        <v>0</v>
      </c>
      <c r="AB34" s="20">
        <v>0</v>
      </c>
    </row>
    <row r="35" spans="1:28" x14ac:dyDescent="0.35">
      <c r="A35" s="551" t="s">
        <v>56</v>
      </c>
      <c r="B35" s="20">
        <v>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1</v>
      </c>
      <c r="T35" s="20">
        <v>1</v>
      </c>
      <c r="U35" s="20">
        <v>1</v>
      </c>
      <c r="V35" s="20">
        <v>0</v>
      </c>
      <c r="W35" s="20">
        <v>0</v>
      </c>
      <c r="X35" s="20">
        <v>0</v>
      </c>
      <c r="Y35" s="20">
        <v>0</v>
      </c>
      <c r="Z35" s="20">
        <v>0</v>
      </c>
      <c r="AA35" s="20">
        <v>0</v>
      </c>
      <c r="AB35" s="20">
        <v>0</v>
      </c>
    </row>
    <row r="36" spans="1:28" x14ac:dyDescent="0.35">
      <c r="A36" s="551" t="s">
        <v>57</v>
      </c>
      <c r="B36" s="20">
        <v>1009.7574999999999</v>
      </c>
      <c r="C36" s="20">
        <v>1009.7574999999999</v>
      </c>
      <c r="D36" s="20">
        <v>505.33</v>
      </c>
      <c r="E36" s="20">
        <v>505.33</v>
      </c>
      <c r="F36" s="20">
        <v>505.33</v>
      </c>
      <c r="G36" s="20">
        <v>650</v>
      </c>
      <c r="H36" s="20">
        <v>1400</v>
      </c>
      <c r="I36" s="20">
        <v>650</v>
      </c>
      <c r="J36" s="20">
        <v>1400</v>
      </c>
      <c r="K36" s="20">
        <v>5500</v>
      </c>
      <c r="L36" s="20">
        <v>5500</v>
      </c>
      <c r="M36" s="20">
        <v>5500</v>
      </c>
      <c r="N36" s="20">
        <v>5500</v>
      </c>
      <c r="O36" s="20">
        <v>5500</v>
      </c>
      <c r="P36" s="20">
        <v>5500</v>
      </c>
      <c r="Q36" s="20">
        <v>5500</v>
      </c>
      <c r="R36" s="20">
        <v>5500</v>
      </c>
      <c r="S36" s="20">
        <v>48</v>
      </c>
      <c r="T36" s="20">
        <v>48</v>
      </c>
      <c r="U36" s="20">
        <v>48</v>
      </c>
      <c r="V36" s="20">
        <v>400</v>
      </c>
      <c r="W36" s="20">
        <v>160</v>
      </c>
      <c r="X36" s="20">
        <v>0</v>
      </c>
      <c r="Y36" s="20">
        <v>0</v>
      </c>
      <c r="Z36" s="20">
        <v>20</v>
      </c>
      <c r="AA36" s="20">
        <v>40</v>
      </c>
      <c r="AB36" s="20">
        <v>0</v>
      </c>
    </row>
    <row r="37" spans="1:28" x14ac:dyDescent="0.35">
      <c r="A37" s="552" t="s">
        <v>59</v>
      </c>
      <c r="B37" s="20">
        <v>0</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31</v>
      </c>
      <c r="T37" s="20">
        <v>31</v>
      </c>
      <c r="U37" s="20">
        <v>31</v>
      </c>
      <c r="V37" s="20">
        <v>0</v>
      </c>
      <c r="W37" s="20">
        <v>0</v>
      </c>
      <c r="X37" s="20">
        <v>0</v>
      </c>
      <c r="Y37" s="20">
        <v>0</v>
      </c>
      <c r="Z37" s="20">
        <v>0</v>
      </c>
      <c r="AA37" s="20">
        <v>0</v>
      </c>
      <c r="AB37" s="20">
        <v>0</v>
      </c>
    </row>
  </sheetData>
  <autoFilter ref="A1:AB1" xr:uid="{48F5CADE-710A-4383-8C07-1F50E7851CD2}">
    <sortState xmlns:xlrd2="http://schemas.microsoft.com/office/spreadsheetml/2017/richdata2" ref="A2:AB37">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B46F6-D1AD-4ADA-A4DC-DB031174D8EB}">
  <sheetPr>
    <tabColor theme="7" tint="0.59999389629810485"/>
  </sheetPr>
  <dimension ref="A1:A13"/>
  <sheetViews>
    <sheetView workbookViewId="0">
      <selection activeCell="A9" sqref="A9:A13"/>
    </sheetView>
  </sheetViews>
  <sheetFormatPr baseColWidth="10" defaultRowHeight="14.5" x14ac:dyDescent="0.35"/>
  <sheetData>
    <row r="1" spans="1:1" x14ac:dyDescent="0.35">
      <c r="A1" s="3" t="s">
        <v>241</v>
      </c>
    </row>
    <row r="2" spans="1:1" x14ac:dyDescent="0.35">
      <c r="A2" s="3"/>
    </row>
    <row r="3" spans="1:1" x14ac:dyDescent="0.35">
      <c r="A3" s="3" t="s">
        <v>242</v>
      </c>
    </row>
    <row r="4" spans="1:1" x14ac:dyDescent="0.35">
      <c r="A4" s="107"/>
    </row>
    <row r="5" spans="1:1" x14ac:dyDescent="0.35">
      <c r="A5" s="91"/>
    </row>
    <row r="6" spans="1:1" x14ac:dyDescent="0.35">
      <c r="A6" s="28"/>
    </row>
    <row r="7" spans="1:1" x14ac:dyDescent="0.35">
      <c r="A7" s="65"/>
    </row>
    <row r="9" spans="1:1" x14ac:dyDescent="0.35">
      <c r="A9" s="3" t="s">
        <v>61</v>
      </c>
    </row>
    <row r="10" spans="1:1" x14ac:dyDescent="0.35">
      <c r="A10" s="35"/>
    </row>
    <row r="11" spans="1:1" x14ac:dyDescent="0.35">
      <c r="A11" s="91"/>
    </row>
    <row r="12" spans="1:1" x14ac:dyDescent="0.35">
      <c r="A12" s="65"/>
    </row>
    <row r="13" spans="1:1" x14ac:dyDescent="0.35">
      <c r="A13"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Table of content</vt:lpstr>
      <vt:lpstr>CF_Litt</vt:lpstr>
      <vt:lpstr>CF_Flexibility_Matrix</vt:lpstr>
      <vt:lpstr>Biomass_Avail</vt:lpstr>
      <vt:lpstr>Hydro_Avail</vt:lpstr>
      <vt:lpstr>Power_Flexibility_Matrix</vt:lpstr>
      <vt:lpstr>MI_Agg_2010</vt:lpstr>
      <vt:lpstr>MI</vt:lpstr>
      <vt:lpstr>Legend</vt:lpstr>
      <vt:lpstr>Solar PV - CSP</vt:lpstr>
      <vt:lpstr>Wind</vt:lpstr>
      <vt:lpstr>Nuclear</vt:lpstr>
      <vt:lpstr>Hydro</vt:lpstr>
      <vt:lpstr>Biomass</vt:lpstr>
      <vt:lpstr>Geothermal</vt:lpstr>
      <vt:lpstr>Fossil energy</vt:lpstr>
      <vt:lpstr>Ref&amp;Hp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Pénélope Bieuville</dc:creator>
  <cp:lastModifiedBy>Pénélope Bieuville</cp:lastModifiedBy>
  <dcterms:created xsi:type="dcterms:W3CDTF">2015-06-05T18:17:20Z</dcterms:created>
  <dcterms:modified xsi:type="dcterms:W3CDTF">2025-05-02T13:44:36Z</dcterms:modified>
</cp:coreProperties>
</file>