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oward\Data\Georgia Tech HRSG CO2 Project\"/>
    </mc:Choice>
  </mc:AlternateContent>
  <xr:revisionPtr revIDLastSave="0" documentId="13_ncr:1_{0B3E7333-4A1F-40B1-A84F-34D75DE37716}" xr6:coauthVersionLast="47" xr6:coauthVersionMax="47" xr10:uidLastSave="{00000000-0000-0000-0000-000000000000}"/>
  <bookViews>
    <workbookView xWindow="-28740" yWindow="16185" windowWidth="29040" windowHeight="15840" activeTab="2" xr2:uid="{4ECBFB87-3471-4DA7-84AC-E2C30A3EA747}"/>
  </bookViews>
  <sheets>
    <sheet name="No Carbon Capture" sheetId="2" r:id="rId1"/>
    <sheet name="Max Power" sheetId="1" r:id="rId2"/>
    <sheet name="Max DAC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87" i="3" l="1"/>
  <c r="G87" i="3" l="1"/>
  <c r="H87" i="1" l="1"/>
  <c r="H8" i="3" l="1"/>
  <c r="H19" i="3"/>
  <c r="H17" i="3"/>
  <c r="H9" i="3"/>
  <c r="H47" i="1"/>
  <c r="H36" i="1"/>
  <c r="H19" i="1"/>
  <c r="H7" i="3" l="1"/>
  <c r="G108" i="3" l="1"/>
  <c r="H108" i="3" l="1"/>
  <c r="H104" i="3"/>
  <c r="H100" i="3"/>
  <c r="H104" i="1"/>
  <c r="H100" i="1"/>
  <c r="H93" i="2"/>
  <c r="H91" i="2"/>
  <c r="H89" i="2"/>
  <c r="H87" i="2"/>
  <c r="H83" i="2"/>
  <c r="H81" i="2"/>
  <c r="H77" i="2"/>
  <c r="H73" i="2"/>
  <c r="H71" i="2"/>
  <c r="H69" i="2"/>
  <c r="H63" i="2"/>
  <c r="H61" i="2"/>
  <c r="H59" i="2"/>
  <c r="H53" i="2"/>
  <c r="H51" i="2"/>
  <c r="H50" i="2"/>
  <c r="H48" i="2"/>
  <c r="H47" i="2"/>
  <c r="H45" i="2"/>
  <c r="H20" i="2" s="1"/>
  <c r="H43" i="2"/>
  <c r="H42" i="2"/>
  <c r="H40" i="2"/>
  <c r="H34" i="2"/>
  <c r="H30" i="2"/>
  <c r="H33" i="2" s="1"/>
  <c r="H22" i="2"/>
  <c r="H21" i="2"/>
  <c r="H19" i="2"/>
  <c r="H18" i="2"/>
  <c r="H17" i="2"/>
  <c r="H16" i="2"/>
  <c r="H15" i="2"/>
  <c r="H10" i="2"/>
  <c r="H7" i="2" s="1"/>
  <c r="H12" i="2" s="1"/>
  <c r="H9" i="2"/>
  <c r="H8" i="2"/>
  <c r="H5" i="2"/>
  <c r="H187" i="3"/>
  <c r="H155" i="3"/>
  <c r="H139" i="3"/>
  <c r="H137" i="3"/>
  <c r="H153" i="3" s="1"/>
  <c r="H185" i="3" s="1"/>
  <c r="H118" i="3"/>
  <c r="H117" i="3"/>
  <c r="H95" i="3"/>
  <c r="H92" i="3"/>
  <c r="H143" i="3" s="1"/>
  <c r="H159" i="3" s="1"/>
  <c r="H90" i="3"/>
  <c r="H79" i="3"/>
  <c r="H70" i="3"/>
  <c r="H60" i="3"/>
  <c r="H125" i="3" s="1"/>
  <c r="H126" i="3" s="1"/>
  <c r="H53" i="3"/>
  <c r="H52" i="3"/>
  <c r="H26" i="3" s="1"/>
  <c r="H50" i="3"/>
  <c r="H49" i="3"/>
  <c r="H47" i="3"/>
  <c r="H40" i="3"/>
  <c r="H39" i="3"/>
  <c r="H37" i="3"/>
  <c r="H36" i="3"/>
  <c r="H27" i="3"/>
  <c r="H22" i="3"/>
  <c r="H21" i="3"/>
  <c r="H16" i="3"/>
  <c r="H12" i="3"/>
  <c r="H101" i="3" s="1"/>
  <c r="H5" i="3"/>
  <c r="H187" i="1"/>
  <c r="H155" i="1"/>
  <c r="H139" i="1"/>
  <c r="H137" i="1"/>
  <c r="H153" i="1" s="1"/>
  <c r="H117" i="1"/>
  <c r="H118" i="1" s="1"/>
  <c r="H92" i="1"/>
  <c r="H143" i="1" s="1"/>
  <c r="H159" i="1" s="1"/>
  <c r="H49" i="1"/>
  <c r="H50" i="1" s="1"/>
  <c r="H95" i="1" s="1"/>
  <c r="H37" i="1"/>
  <c r="H5" i="1"/>
  <c r="L87" i="3"/>
  <c r="H185" i="1" l="1"/>
  <c r="H167" i="1"/>
  <c r="H183" i="1" s="1"/>
  <c r="H173" i="3"/>
  <c r="H191" i="3"/>
  <c r="H63" i="3"/>
  <c r="H30" i="3" s="1"/>
  <c r="H96" i="3"/>
  <c r="H98" i="3" s="1"/>
  <c r="H72" i="3"/>
  <c r="H74" i="3"/>
  <c r="H62" i="3"/>
  <c r="H29" i="3" s="1"/>
  <c r="H102" i="3"/>
  <c r="H191" i="1"/>
  <c r="H173" i="1"/>
  <c r="H108" i="1"/>
  <c r="H26" i="2"/>
  <c r="H28" i="2" s="1"/>
  <c r="H36" i="2"/>
  <c r="H37" i="2" s="1"/>
  <c r="H38" i="2"/>
  <c r="H31" i="2"/>
  <c r="H167" i="3"/>
  <c r="H183" i="3" s="1"/>
  <c r="H60" i="1"/>
  <c r="H125" i="1" s="1"/>
  <c r="H126" i="1" s="1"/>
  <c r="H53" i="1"/>
  <c r="H27" i="1" s="1"/>
  <c r="H52" i="1"/>
  <c r="H26" i="1" s="1"/>
  <c r="H70" i="1"/>
  <c r="H90" i="1"/>
  <c r="H39" i="1"/>
  <c r="H40" i="1" s="1"/>
  <c r="H7" i="1"/>
  <c r="H12" i="1" s="1"/>
  <c r="H101" i="1" s="1"/>
  <c r="H102" i="1" s="1"/>
  <c r="K87" i="3"/>
  <c r="H78" i="3" l="1"/>
  <c r="H189" i="3"/>
  <c r="H189" i="1"/>
  <c r="H74" i="1"/>
  <c r="H96" i="1"/>
  <c r="H98" i="1" s="1"/>
  <c r="H63" i="1"/>
  <c r="H30" i="1" s="1"/>
  <c r="H72" i="1"/>
  <c r="H78" i="1" s="1"/>
  <c r="H177" i="1" s="1"/>
  <c r="H179" i="1" s="1"/>
  <c r="H62" i="1"/>
  <c r="H29" i="1" s="1"/>
  <c r="J87" i="3"/>
  <c r="H83" i="3" l="1"/>
  <c r="H15" i="3" s="1"/>
  <c r="H86" i="3"/>
  <c r="H145" i="3" s="1"/>
  <c r="H82" i="3"/>
  <c r="H18" i="3" s="1"/>
  <c r="H80" i="3"/>
  <c r="H177" i="3"/>
  <c r="H179" i="3" s="1"/>
  <c r="I87" i="3"/>
  <c r="H161" i="3" l="1"/>
  <c r="H147" i="3"/>
  <c r="F87" i="3"/>
  <c r="H193" i="3" l="1"/>
  <c r="H195" i="3" s="1"/>
  <c r="H163" i="3"/>
  <c r="H197" i="3" s="1"/>
  <c r="H20" i="3" s="1"/>
  <c r="H32" i="3" s="1"/>
  <c r="E87" i="3"/>
  <c r="H34" i="3" l="1"/>
  <c r="H105" i="3"/>
  <c r="H106" i="3" s="1"/>
  <c r="D87" i="3"/>
  <c r="H44" i="3" l="1"/>
  <c r="H109" i="3"/>
  <c r="H110" i="3" s="1"/>
  <c r="H120" i="3"/>
  <c r="H42" i="3"/>
  <c r="H43" i="3" s="1"/>
  <c r="C87" i="3"/>
  <c r="H121" i="3" l="1"/>
  <c r="H123" i="3" s="1"/>
  <c r="H128" i="3"/>
  <c r="H129" i="3" s="1"/>
  <c r="H131" i="3" s="1"/>
  <c r="H113" i="3"/>
  <c r="H111" i="3"/>
  <c r="H115" i="3" s="1"/>
  <c r="L87" i="1"/>
  <c r="K87" i="1"/>
  <c r="J87" i="1"/>
  <c r="I87" i="1"/>
  <c r="G87" i="1"/>
  <c r="F87" i="1"/>
  <c r="D87" i="1"/>
  <c r="E87" i="1"/>
  <c r="C87" i="1"/>
  <c r="C137" i="1" s="1"/>
  <c r="J19" i="1"/>
  <c r="F19" i="1"/>
  <c r="E19" i="1"/>
  <c r="D19" i="1"/>
  <c r="C19" i="1"/>
  <c r="D9" i="3" l="1"/>
  <c r="E9" i="3"/>
  <c r="F9" i="3"/>
  <c r="G9" i="3"/>
  <c r="I9" i="3"/>
  <c r="J9" i="3"/>
  <c r="K9" i="3"/>
  <c r="L9" i="3"/>
  <c r="C9" i="3"/>
  <c r="D8" i="3"/>
  <c r="E8" i="3"/>
  <c r="F8" i="3"/>
  <c r="G8" i="3"/>
  <c r="I8" i="3"/>
  <c r="J8" i="3"/>
  <c r="K8" i="3"/>
  <c r="L8" i="3"/>
  <c r="C8" i="3"/>
  <c r="C10" i="1" l="1"/>
  <c r="D81" i="2" l="1"/>
  <c r="E81" i="2"/>
  <c r="F81" i="2"/>
  <c r="G81" i="2"/>
  <c r="I81" i="2"/>
  <c r="J81" i="2"/>
  <c r="K81" i="2"/>
  <c r="L81" i="2"/>
  <c r="L48" i="2"/>
  <c r="K48" i="2"/>
  <c r="J48" i="2"/>
  <c r="I48" i="2"/>
  <c r="G48" i="2"/>
  <c r="F48" i="2"/>
  <c r="E48" i="2"/>
  <c r="D48" i="2"/>
  <c r="C48" i="2"/>
  <c r="L92" i="3"/>
  <c r="L143" i="3" s="1"/>
  <c r="L159" i="3" s="1"/>
  <c r="K92" i="3"/>
  <c r="K143" i="3" s="1"/>
  <c r="K159" i="3" s="1"/>
  <c r="K191" i="3" s="1"/>
  <c r="J92" i="3"/>
  <c r="J143" i="3" s="1"/>
  <c r="J159" i="3" s="1"/>
  <c r="J173" i="3" s="1"/>
  <c r="J189" i="3" s="1"/>
  <c r="I92" i="3"/>
  <c r="I143" i="3" s="1"/>
  <c r="I159" i="3" s="1"/>
  <c r="I173" i="3" s="1"/>
  <c r="I189" i="3" s="1"/>
  <c r="G92" i="3"/>
  <c r="G143" i="3" s="1"/>
  <c r="G159" i="3" s="1"/>
  <c r="G173" i="3" s="1"/>
  <c r="G189" i="3" s="1"/>
  <c r="F92" i="3"/>
  <c r="F143" i="3" s="1"/>
  <c r="F159" i="3" s="1"/>
  <c r="E92" i="3"/>
  <c r="E143" i="3" s="1"/>
  <c r="E159" i="3" s="1"/>
  <c r="D92" i="3"/>
  <c r="D143" i="3" s="1"/>
  <c r="D159" i="3" s="1"/>
  <c r="C92" i="3"/>
  <c r="C143" i="3" s="1"/>
  <c r="C159" i="3" s="1"/>
  <c r="D92" i="1"/>
  <c r="D143" i="1" s="1"/>
  <c r="D159" i="1" s="1"/>
  <c r="D173" i="1" s="1"/>
  <c r="D189" i="1" s="1"/>
  <c r="E92" i="1"/>
  <c r="E143" i="1" s="1"/>
  <c r="E159" i="1" s="1"/>
  <c r="E173" i="1" s="1"/>
  <c r="E189" i="1" s="1"/>
  <c r="F92" i="1"/>
  <c r="F143" i="1" s="1"/>
  <c r="F159" i="1" s="1"/>
  <c r="F173" i="1" s="1"/>
  <c r="F189" i="1" s="1"/>
  <c r="G92" i="1"/>
  <c r="G143" i="1" s="1"/>
  <c r="G159" i="1" s="1"/>
  <c r="G173" i="1" s="1"/>
  <c r="G189" i="1" s="1"/>
  <c r="I92" i="1"/>
  <c r="I143" i="1" s="1"/>
  <c r="I159" i="1" s="1"/>
  <c r="I173" i="1" s="1"/>
  <c r="I189" i="1" s="1"/>
  <c r="J92" i="1"/>
  <c r="J143" i="1" s="1"/>
  <c r="J159" i="1" s="1"/>
  <c r="J173" i="1" s="1"/>
  <c r="J189" i="1" s="1"/>
  <c r="K92" i="1"/>
  <c r="K143" i="1" s="1"/>
  <c r="K159" i="1" s="1"/>
  <c r="K173" i="1" s="1"/>
  <c r="K189" i="1" s="1"/>
  <c r="L92" i="1"/>
  <c r="L143" i="1" s="1"/>
  <c r="L159" i="1" s="1"/>
  <c r="L173" i="1" s="1"/>
  <c r="L189" i="1" s="1"/>
  <c r="C92" i="1"/>
  <c r="C143" i="1" s="1"/>
  <c r="C159" i="1" s="1"/>
  <c r="C173" i="1" s="1"/>
  <c r="C189" i="1" s="1"/>
  <c r="E191" i="1" l="1"/>
  <c r="F191" i="1"/>
  <c r="D191" i="1"/>
  <c r="C191" i="1"/>
  <c r="L191" i="1"/>
  <c r="K191" i="1"/>
  <c r="J191" i="1"/>
  <c r="I191" i="1"/>
  <c r="G191" i="1"/>
  <c r="F173" i="3"/>
  <c r="F189" i="3" s="1"/>
  <c r="F191" i="3"/>
  <c r="D173" i="3"/>
  <c r="D189" i="3" s="1"/>
  <c r="D191" i="3"/>
  <c r="L191" i="3"/>
  <c r="L173" i="3"/>
  <c r="L189" i="3" s="1"/>
  <c r="E191" i="3"/>
  <c r="E173" i="3"/>
  <c r="E189" i="3" s="1"/>
  <c r="C191" i="3"/>
  <c r="C173" i="3"/>
  <c r="C189" i="3" s="1"/>
  <c r="I191" i="3"/>
  <c r="K173" i="3"/>
  <c r="K189" i="3" s="1"/>
  <c r="J191" i="3"/>
  <c r="G191" i="3"/>
  <c r="J153" i="3"/>
  <c r="L137" i="3"/>
  <c r="K137" i="3"/>
  <c r="K153" i="3" s="1"/>
  <c r="J137" i="3"/>
  <c r="I137" i="3"/>
  <c r="G137" i="3"/>
  <c r="G153" i="3" s="1"/>
  <c r="F137" i="3"/>
  <c r="E137" i="3"/>
  <c r="D137" i="3"/>
  <c r="C137" i="3"/>
  <c r="D79" i="3"/>
  <c r="L60" i="3"/>
  <c r="L74" i="3" s="1"/>
  <c r="K60" i="3"/>
  <c r="K72" i="3" s="1"/>
  <c r="J60" i="3"/>
  <c r="J72" i="3" s="1"/>
  <c r="I60" i="3"/>
  <c r="G60" i="3"/>
  <c r="G72" i="3" s="1"/>
  <c r="F60" i="3"/>
  <c r="F72" i="3" s="1"/>
  <c r="E60" i="3"/>
  <c r="D60" i="3"/>
  <c r="D63" i="3" s="1"/>
  <c r="D30" i="3" s="1"/>
  <c r="C60" i="3"/>
  <c r="L49" i="3"/>
  <c r="K49" i="3"/>
  <c r="J49" i="3"/>
  <c r="I49" i="3"/>
  <c r="G49" i="3"/>
  <c r="F49" i="3"/>
  <c r="E49" i="3"/>
  <c r="D49" i="3"/>
  <c r="C49" i="3"/>
  <c r="L39" i="3"/>
  <c r="L40" i="3" s="1"/>
  <c r="K39" i="3"/>
  <c r="K40" i="3" s="1"/>
  <c r="J39" i="3"/>
  <c r="J40" i="3" s="1"/>
  <c r="I39" i="3"/>
  <c r="I40" i="3" s="1"/>
  <c r="G39" i="3"/>
  <c r="G40" i="3" s="1"/>
  <c r="F39" i="3"/>
  <c r="F40" i="3" s="1"/>
  <c r="E39" i="3"/>
  <c r="E40" i="3" s="1"/>
  <c r="D39" i="3"/>
  <c r="D40" i="3" s="1"/>
  <c r="C39" i="3"/>
  <c r="C40" i="3" s="1"/>
  <c r="L37" i="3"/>
  <c r="K37" i="3"/>
  <c r="J37" i="3"/>
  <c r="I37" i="3"/>
  <c r="G37" i="3"/>
  <c r="F37" i="3"/>
  <c r="E37" i="3"/>
  <c r="D37" i="3"/>
  <c r="C37" i="3"/>
  <c r="D22" i="3"/>
  <c r="E22" i="3" s="1"/>
  <c r="F22" i="3" s="1"/>
  <c r="G22" i="3" s="1"/>
  <c r="I22" i="3" s="1"/>
  <c r="J22" i="3" s="1"/>
  <c r="K22" i="3" s="1"/>
  <c r="L22" i="3" s="1"/>
  <c r="D21" i="3"/>
  <c r="E21" i="3" s="1"/>
  <c r="F21" i="3" s="1"/>
  <c r="G21" i="3" s="1"/>
  <c r="I21" i="3" s="1"/>
  <c r="J21" i="3" s="1"/>
  <c r="K21" i="3" s="1"/>
  <c r="L21" i="3" s="1"/>
  <c r="L19" i="3"/>
  <c r="K19" i="3"/>
  <c r="J19" i="3"/>
  <c r="I19" i="3"/>
  <c r="G19" i="3"/>
  <c r="F19" i="3"/>
  <c r="E19" i="3"/>
  <c r="D19" i="3"/>
  <c r="C19" i="3"/>
  <c r="D16" i="3"/>
  <c r="E16" i="3" s="1"/>
  <c r="F16" i="3" s="1"/>
  <c r="G16" i="3" s="1"/>
  <c r="I16" i="3" s="1"/>
  <c r="J16" i="3" s="1"/>
  <c r="K16" i="3" s="1"/>
  <c r="L16" i="3" s="1"/>
  <c r="L7" i="3"/>
  <c r="L12" i="3" s="1"/>
  <c r="L101" i="3" s="1"/>
  <c r="K7" i="3"/>
  <c r="K12" i="3" s="1"/>
  <c r="K101" i="3" s="1"/>
  <c r="J7" i="3"/>
  <c r="J12" i="3" s="1"/>
  <c r="J101" i="3" s="1"/>
  <c r="I7" i="3"/>
  <c r="I12" i="3" s="1"/>
  <c r="I101" i="3" s="1"/>
  <c r="G7" i="3"/>
  <c r="G12" i="3" s="1"/>
  <c r="G101" i="3" s="1"/>
  <c r="F7" i="3"/>
  <c r="E7" i="3"/>
  <c r="D7" i="3"/>
  <c r="D12" i="3" s="1"/>
  <c r="D101" i="3" s="1"/>
  <c r="C7" i="3"/>
  <c r="C12" i="3" s="1"/>
  <c r="C101" i="3" s="1"/>
  <c r="F5" i="3"/>
  <c r="E5" i="3"/>
  <c r="L43" i="2"/>
  <c r="L59" i="2" s="1"/>
  <c r="K43" i="2"/>
  <c r="K59" i="2" s="1"/>
  <c r="J43" i="2"/>
  <c r="J59" i="2" s="1"/>
  <c r="I43" i="2"/>
  <c r="I59" i="2" s="1"/>
  <c r="G43" i="2"/>
  <c r="G59" i="2" s="1"/>
  <c r="F43" i="2"/>
  <c r="F59" i="2" s="1"/>
  <c r="E43" i="2"/>
  <c r="E59" i="2" s="1"/>
  <c r="D43" i="2"/>
  <c r="D59" i="2" s="1"/>
  <c r="C43" i="2"/>
  <c r="C59" i="2" s="1"/>
  <c r="L42" i="2"/>
  <c r="K42" i="2"/>
  <c r="J42" i="2"/>
  <c r="I42" i="2"/>
  <c r="I61" i="2" s="1"/>
  <c r="I71" i="2" s="1"/>
  <c r="I91" i="2" s="1"/>
  <c r="G42" i="2"/>
  <c r="G61" i="2" s="1"/>
  <c r="G71" i="2" s="1"/>
  <c r="G91" i="2" s="1"/>
  <c r="F42" i="2"/>
  <c r="E42" i="2"/>
  <c r="D42" i="2"/>
  <c r="D61" i="2" s="1"/>
  <c r="D71" i="2" s="1"/>
  <c r="D91" i="2" s="1"/>
  <c r="C40" i="2"/>
  <c r="L33" i="2"/>
  <c r="L34" i="2" s="1"/>
  <c r="K33" i="2"/>
  <c r="K34" i="2" s="1"/>
  <c r="J33" i="2"/>
  <c r="J34" i="2" s="1"/>
  <c r="I33" i="2"/>
  <c r="I34" i="2" s="1"/>
  <c r="G33" i="2"/>
  <c r="G34" i="2" s="1"/>
  <c r="F33" i="2"/>
  <c r="F34" i="2" s="1"/>
  <c r="E33" i="2"/>
  <c r="E34" i="2" s="1"/>
  <c r="D33" i="2"/>
  <c r="D34" i="2" s="1"/>
  <c r="C33" i="2"/>
  <c r="C34" i="2" s="1"/>
  <c r="L31" i="2"/>
  <c r="K31" i="2"/>
  <c r="J31" i="2"/>
  <c r="I31" i="2"/>
  <c r="G31" i="2"/>
  <c r="F31" i="2"/>
  <c r="E31" i="2"/>
  <c r="D31" i="2"/>
  <c r="C31" i="2"/>
  <c r="D22" i="2"/>
  <c r="E22" i="2" s="1"/>
  <c r="F22" i="2" s="1"/>
  <c r="G22" i="2" s="1"/>
  <c r="I22" i="2" s="1"/>
  <c r="J22" i="2" s="1"/>
  <c r="K22" i="2" s="1"/>
  <c r="L22" i="2" s="1"/>
  <c r="D21" i="2"/>
  <c r="E21" i="2" s="1"/>
  <c r="F21" i="2" s="1"/>
  <c r="G21" i="2" s="1"/>
  <c r="I21" i="2" s="1"/>
  <c r="J21" i="2" s="1"/>
  <c r="K21" i="2" s="1"/>
  <c r="L21" i="2" s="1"/>
  <c r="L19" i="2"/>
  <c r="K19" i="2"/>
  <c r="J19" i="2"/>
  <c r="I19" i="2"/>
  <c r="G19" i="2"/>
  <c r="F19" i="2"/>
  <c r="E19" i="2"/>
  <c r="D19" i="2"/>
  <c r="C19" i="2"/>
  <c r="L18" i="2"/>
  <c r="K18" i="2"/>
  <c r="J18" i="2"/>
  <c r="I18" i="2"/>
  <c r="G18" i="2"/>
  <c r="F18" i="2"/>
  <c r="E18" i="2"/>
  <c r="D18" i="2"/>
  <c r="D16" i="2"/>
  <c r="E16" i="2" s="1"/>
  <c r="F16" i="2" s="1"/>
  <c r="G16" i="2" s="1"/>
  <c r="I16" i="2" s="1"/>
  <c r="J16" i="2" s="1"/>
  <c r="K16" i="2" s="1"/>
  <c r="L16" i="2" s="1"/>
  <c r="L15" i="2"/>
  <c r="K15" i="2"/>
  <c r="J15" i="2"/>
  <c r="I15" i="2"/>
  <c r="G15" i="2"/>
  <c r="F15" i="2"/>
  <c r="E15" i="2"/>
  <c r="D15" i="2"/>
  <c r="L7" i="2"/>
  <c r="L12" i="2" s="1"/>
  <c r="K7" i="2"/>
  <c r="K12" i="2" s="1"/>
  <c r="J7" i="2"/>
  <c r="J12" i="2" s="1"/>
  <c r="I7" i="2"/>
  <c r="I12" i="2" s="1"/>
  <c r="G7" i="2"/>
  <c r="G12" i="2" s="1"/>
  <c r="F7" i="2"/>
  <c r="E7" i="2"/>
  <c r="E12" i="2" s="1"/>
  <c r="D7" i="2"/>
  <c r="D12" i="2" s="1"/>
  <c r="C7" i="2"/>
  <c r="C12" i="2" s="1"/>
  <c r="F5" i="2"/>
  <c r="E5" i="2"/>
  <c r="I153" i="3" l="1"/>
  <c r="F153" i="3"/>
  <c r="E50" i="3"/>
  <c r="E117" i="3"/>
  <c r="G50" i="3"/>
  <c r="G117" i="3"/>
  <c r="K185" i="3"/>
  <c r="I50" i="3"/>
  <c r="I117" i="3"/>
  <c r="K167" i="3"/>
  <c r="K183" i="3" s="1"/>
  <c r="D50" i="3"/>
  <c r="D53" i="3" s="1"/>
  <c r="D27" i="3" s="1"/>
  <c r="D117" i="3"/>
  <c r="J50" i="3"/>
  <c r="J117" i="3"/>
  <c r="C50" i="3"/>
  <c r="C117" i="3"/>
  <c r="F50" i="3"/>
  <c r="F70" i="3" s="1"/>
  <c r="F117" i="3"/>
  <c r="K50" i="3"/>
  <c r="K70" i="3" s="1"/>
  <c r="K117" i="3"/>
  <c r="C153" i="3"/>
  <c r="L50" i="3"/>
  <c r="L117" i="3"/>
  <c r="D153" i="3"/>
  <c r="L153" i="3"/>
  <c r="E153" i="3"/>
  <c r="E185" i="3" s="1"/>
  <c r="J167" i="3"/>
  <c r="J185" i="3"/>
  <c r="G167" i="3"/>
  <c r="G185" i="3"/>
  <c r="E100" i="1"/>
  <c r="E100" i="3"/>
  <c r="D63" i="2"/>
  <c r="D69" i="2"/>
  <c r="D89" i="2" s="1"/>
  <c r="D100" i="3"/>
  <c r="D102" i="3" s="1"/>
  <c r="D100" i="1"/>
  <c r="E69" i="2"/>
  <c r="E89" i="2" s="1"/>
  <c r="F63" i="2"/>
  <c r="F69" i="2"/>
  <c r="F89" i="2" s="1"/>
  <c r="C69" i="2"/>
  <c r="C89" i="2" s="1"/>
  <c r="G63" i="2"/>
  <c r="G69" i="2"/>
  <c r="G89" i="2" s="1"/>
  <c r="I63" i="2"/>
  <c r="I69" i="2"/>
  <c r="I89" i="2" s="1"/>
  <c r="I100" i="1"/>
  <c r="I100" i="3"/>
  <c r="I102" i="3" s="1"/>
  <c r="F45" i="2"/>
  <c r="F20" i="2" s="1"/>
  <c r="F26" i="2" s="1"/>
  <c r="F61" i="2"/>
  <c r="F71" i="2" s="1"/>
  <c r="F91" i="2" s="1"/>
  <c r="J69" i="2"/>
  <c r="J89" i="2" s="1"/>
  <c r="C100" i="3"/>
  <c r="C102" i="3" s="1"/>
  <c r="C100" i="1"/>
  <c r="E45" i="2"/>
  <c r="E20" i="2" s="1"/>
  <c r="E26" i="2" s="1"/>
  <c r="E61" i="2"/>
  <c r="E71" i="2" s="1"/>
  <c r="E91" i="2" s="1"/>
  <c r="K69" i="2"/>
  <c r="K89" i="2" s="1"/>
  <c r="K100" i="3"/>
  <c r="K102" i="3" s="1"/>
  <c r="K100" i="1"/>
  <c r="L69" i="2"/>
  <c r="L89" i="2" s="1"/>
  <c r="G100" i="1"/>
  <c r="G100" i="3"/>
  <c r="G102" i="3" s="1"/>
  <c r="J45" i="2"/>
  <c r="J20" i="2" s="1"/>
  <c r="J26" i="2" s="1"/>
  <c r="J28" i="2" s="1"/>
  <c r="J61" i="2"/>
  <c r="J71" i="2" s="1"/>
  <c r="J91" i="2" s="1"/>
  <c r="J100" i="3"/>
  <c r="J102" i="3" s="1"/>
  <c r="J100" i="1"/>
  <c r="K45" i="2"/>
  <c r="K20" i="2" s="1"/>
  <c r="K61" i="2"/>
  <c r="K71" i="2" s="1"/>
  <c r="K91" i="2" s="1"/>
  <c r="C42" i="2"/>
  <c r="C81" i="2"/>
  <c r="L100" i="3"/>
  <c r="L102" i="3" s="1"/>
  <c r="L100" i="1"/>
  <c r="C18" i="2"/>
  <c r="C15" i="2"/>
  <c r="L45" i="2"/>
  <c r="L20" i="2" s="1"/>
  <c r="L26" i="2" s="1"/>
  <c r="L61" i="2"/>
  <c r="L71" i="2" s="1"/>
  <c r="L91" i="2" s="1"/>
  <c r="F12" i="2"/>
  <c r="D45" i="2"/>
  <c r="D20" i="2" s="1"/>
  <c r="D26" i="2" s="1"/>
  <c r="G45" i="2"/>
  <c r="G20" i="2" s="1"/>
  <c r="G26" i="2" s="1"/>
  <c r="I45" i="2"/>
  <c r="I20" i="2" s="1"/>
  <c r="I26" i="2" s="1"/>
  <c r="C96" i="3"/>
  <c r="K63" i="3"/>
  <c r="K30" i="3" s="1"/>
  <c r="C74" i="3"/>
  <c r="E12" i="3"/>
  <c r="E101" i="3" s="1"/>
  <c r="D74" i="3"/>
  <c r="D96" i="3"/>
  <c r="E96" i="3"/>
  <c r="E74" i="3"/>
  <c r="C62" i="3"/>
  <c r="C29" i="3" s="1"/>
  <c r="D62" i="3"/>
  <c r="D29" i="3" s="1"/>
  <c r="G63" i="3"/>
  <c r="G30" i="3" s="1"/>
  <c r="K96" i="3"/>
  <c r="F12" i="3"/>
  <c r="F101" i="3" s="1"/>
  <c r="E62" i="3"/>
  <c r="E29" i="3" s="1"/>
  <c r="J74" i="3"/>
  <c r="G62" i="3"/>
  <c r="G29" i="3" s="1"/>
  <c r="C90" i="3"/>
  <c r="C139" i="3" s="1"/>
  <c r="C155" i="3" s="1"/>
  <c r="C187" i="3" s="1"/>
  <c r="J62" i="3"/>
  <c r="J29" i="3" s="1"/>
  <c r="G74" i="3"/>
  <c r="C63" i="3"/>
  <c r="C30" i="3" s="1"/>
  <c r="E63" i="3"/>
  <c r="E30" i="3" s="1"/>
  <c r="K52" i="3"/>
  <c r="K26" i="3" s="1"/>
  <c r="K27" i="3"/>
  <c r="I52" i="3"/>
  <c r="I26" i="3" s="1"/>
  <c r="I90" i="3"/>
  <c r="I139" i="3" s="1"/>
  <c r="I155" i="3" s="1"/>
  <c r="I187" i="3" s="1"/>
  <c r="F95" i="3"/>
  <c r="F98" i="3" s="1"/>
  <c r="F90" i="3"/>
  <c r="F139" i="3" s="1"/>
  <c r="F155" i="3" s="1"/>
  <c r="F187" i="3" s="1"/>
  <c r="J53" i="3"/>
  <c r="J27" i="3" s="1"/>
  <c r="F63" i="3"/>
  <c r="F30" i="3" s="1"/>
  <c r="I63" i="3"/>
  <c r="I30" i="3" s="1"/>
  <c r="F96" i="3"/>
  <c r="J52" i="3"/>
  <c r="J26" i="3" s="1"/>
  <c r="F62" i="3"/>
  <c r="F29" i="3" s="1"/>
  <c r="J63" i="3"/>
  <c r="J30" i="3" s="1"/>
  <c r="C72" i="3"/>
  <c r="F74" i="3"/>
  <c r="F78" i="3" s="1"/>
  <c r="G90" i="3"/>
  <c r="G139" i="3" s="1"/>
  <c r="G155" i="3" s="1"/>
  <c r="G187" i="3" s="1"/>
  <c r="G96" i="3"/>
  <c r="D72" i="3"/>
  <c r="I96" i="3"/>
  <c r="I62" i="3"/>
  <c r="I29" i="3" s="1"/>
  <c r="L63" i="3"/>
  <c r="L30" i="3" s="1"/>
  <c r="E72" i="3"/>
  <c r="I74" i="3"/>
  <c r="J96" i="3"/>
  <c r="L72" i="3"/>
  <c r="C53" i="3"/>
  <c r="C27" i="3" s="1"/>
  <c r="K62" i="3"/>
  <c r="K29" i="3" s="1"/>
  <c r="K74" i="3"/>
  <c r="K78" i="3" s="1"/>
  <c r="E79" i="3"/>
  <c r="L96" i="3"/>
  <c r="L62" i="3"/>
  <c r="L29" i="3" s="1"/>
  <c r="I72" i="3"/>
  <c r="G53" i="3"/>
  <c r="G27" i="3" s="1"/>
  <c r="K26" i="2"/>
  <c r="E63" i="2" l="1"/>
  <c r="K95" i="3"/>
  <c r="G52" i="3"/>
  <c r="G26" i="3" s="1"/>
  <c r="G70" i="3"/>
  <c r="L27" i="3"/>
  <c r="L70" i="3"/>
  <c r="L78" i="3" s="1"/>
  <c r="L177" i="3" s="1"/>
  <c r="C52" i="3"/>
  <c r="C26" i="3" s="1"/>
  <c r="C70" i="3"/>
  <c r="E95" i="3"/>
  <c r="E98" i="3" s="1"/>
  <c r="E70" i="3"/>
  <c r="E78" i="3" s="1"/>
  <c r="D52" i="3"/>
  <c r="D26" i="3" s="1"/>
  <c r="D70" i="3"/>
  <c r="I95" i="3"/>
  <c r="I70" i="3"/>
  <c r="K90" i="3"/>
  <c r="K139" i="3" s="1"/>
  <c r="G78" i="3"/>
  <c r="G177" i="3" s="1"/>
  <c r="G179" i="3" s="1"/>
  <c r="F52" i="3"/>
  <c r="F26" i="3" s="1"/>
  <c r="J90" i="3"/>
  <c r="J139" i="3" s="1"/>
  <c r="J155" i="3" s="1"/>
  <c r="J187" i="3" s="1"/>
  <c r="J70" i="3"/>
  <c r="J78" i="3" s="1"/>
  <c r="J177" i="3" s="1"/>
  <c r="J179" i="3" s="1"/>
  <c r="I78" i="3"/>
  <c r="I177" i="3" s="1"/>
  <c r="D78" i="3"/>
  <c r="D177" i="3" s="1"/>
  <c r="C78" i="3"/>
  <c r="I53" i="3"/>
  <c r="I27" i="3" s="1"/>
  <c r="L52" i="3"/>
  <c r="L26" i="3" s="1"/>
  <c r="L90" i="3"/>
  <c r="L139" i="3" s="1"/>
  <c r="L155" i="3" s="1"/>
  <c r="L187" i="3" s="1"/>
  <c r="L95" i="3"/>
  <c r="D90" i="3"/>
  <c r="D139" i="3" s="1"/>
  <c r="D155" i="3" s="1"/>
  <c r="D187" i="3" s="1"/>
  <c r="C125" i="3"/>
  <c r="C126" i="3" s="1"/>
  <c r="C118" i="3"/>
  <c r="D185" i="3"/>
  <c r="D167" i="3"/>
  <c r="E125" i="3"/>
  <c r="E126" i="3" s="1"/>
  <c r="E118" i="3"/>
  <c r="J125" i="3"/>
  <c r="J126" i="3" s="1"/>
  <c r="J118" i="3"/>
  <c r="L125" i="3"/>
  <c r="L126" i="3" s="1"/>
  <c r="L118" i="3"/>
  <c r="F53" i="3"/>
  <c r="F27" i="3" s="1"/>
  <c r="D125" i="3"/>
  <c r="D126" i="3" s="1"/>
  <c r="D118" i="3"/>
  <c r="F185" i="3"/>
  <c r="F167" i="3"/>
  <c r="E167" i="3"/>
  <c r="E183" i="3" s="1"/>
  <c r="C95" i="3"/>
  <c r="C98" i="3" s="1"/>
  <c r="K155" i="3"/>
  <c r="C167" i="3"/>
  <c r="C185" i="3"/>
  <c r="I185" i="3"/>
  <c r="I167" i="3"/>
  <c r="E53" i="3"/>
  <c r="E27" i="3" s="1"/>
  <c r="L185" i="3"/>
  <c r="I125" i="3"/>
  <c r="I126" i="3" s="1"/>
  <c r="I118" i="3"/>
  <c r="E90" i="3"/>
  <c r="E139" i="3" s="1"/>
  <c r="J95" i="3"/>
  <c r="J98" i="3" s="1"/>
  <c r="E52" i="3"/>
  <c r="E26" i="3" s="1"/>
  <c r="L167" i="3"/>
  <c r="L183" i="3" s="1"/>
  <c r="K125" i="3"/>
  <c r="K126" i="3" s="1"/>
  <c r="K118" i="3"/>
  <c r="D95" i="3"/>
  <c r="G95" i="3"/>
  <c r="G98" i="3" s="1"/>
  <c r="F125" i="3"/>
  <c r="F126" i="3" s="1"/>
  <c r="F118" i="3"/>
  <c r="G125" i="3"/>
  <c r="G126" i="3" s="1"/>
  <c r="G118" i="3"/>
  <c r="E102" i="3"/>
  <c r="G183" i="3"/>
  <c r="J183" i="3"/>
  <c r="L63" i="2"/>
  <c r="E73" i="2"/>
  <c r="E77" i="2"/>
  <c r="J77" i="2"/>
  <c r="J73" i="2"/>
  <c r="C77" i="2"/>
  <c r="C45" i="2"/>
  <c r="C20" i="2" s="1"/>
  <c r="C26" i="2" s="1"/>
  <c r="C61" i="2"/>
  <c r="D28" i="2"/>
  <c r="D104" i="1"/>
  <c r="D104" i="3"/>
  <c r="F73" i="2"/>
  <c r="F77" i="2"/>
  <c r="L77" i="2"/>
  <c r="L73" i="2"/>
  <c r="K77" i="2"/>
  <c r="K73" i="2"/>
  <c r="I77" i="2"/>
  <c r="I73" i="2"/>
  <c r="D73" i="2"/>
  <c r="D77" i="2"/>
  <c r="K63" i="2"/>
  <c r="J63" i="2"/>
  <c r="G77" i="2"/>
  <c r="G73" i="2"/>
  <c r="F100" i="1"/>
  <c r="F100" i="3"/>
  <c r="F102" i="3" s="1"/>
  <c r="J50" i="2"/>
  <c r="J51" i="2" s="1"/>
  <c r="J53" i="2" s="1"/>
  <c r="J108" i="3"/>
  <c r="F104" i="3"/>
  <c r="F104" i="1"/>
  <c r="F28" i="2"/>
  <c r="F38" i="2" s="1"/>
  <c r="K28" i="2"/>
  <c r="K38" i="2" s="1"/>
  <c r="K104" i="1"/>
  <c r="K104" i="3"/>
  <c r="I28" i="2"/>
  <c r="I38" i="2" s="1"/>
  <c r="I104" i="3"/>
  <c r="I104" i="1"/>
  <c r="G28" i="2"/>
  <c r="G108" i="1" s="1"/>
  <c r="G104" i="3"/>
  <c r="G104" i="1"/>
  <c r="E28" i="2"/>
  <c r="E36" i="2" s="1"/>
  <c r="E37" i="2" s="1"/>
  <c r="E104" i="3"/>
  <c r="E104" i="1"/>
  <c r="L28" i="2"/>
  <c r="L36" i="2" s="1"/>
  <c r="L37" i="2" s="1"/>
  <c r="L104" i="3"/>
  <c r="L104" i="1"/>
  <c r="J104" i="3"/>
  <c r="J104" i="1"/>
  <c r="J38" i="2"/>
  <c r="J108" i="1"/>
  <c r="K177" i="3"/>
  <c r="K179" i="3" s="1"/>
  <c r="D98" i="3"/>
  <c r="K98" i="3"/>
  <c r="L98" i="3"/>
  <c r="F177" i="3"/>
  <c r="I98" i="3"/>
  <c r="F79" i="3"/>
  <c r="J36" i="2"/>
  <c r="J37" i="2" s="1"/>
  <c r="L83" i="2" l="1"/>
  <c r="L87" i="2"/>
  <c r="L93" i="2" s="1"/>
  <c r="G83" i="2"/>
  <c r="G87" i="2"/>
  <c r="G93" i="2" s="1"/>
  <c r="J83" i="2"/>
  <c r="J87" i="2"/>
  <c r="J93" i="2" s="1"/>
  <c r="K83" i="2"/>
  <c r="K87" i="2"/>
  <c r="K93" i="2" s="1"/>
  <c r="E83" i="2"/>
  <c r="E87" i="2"/>
  <c r="E93" i="2" s="1"/>
  <c r="D83" i="2"/>
  <c r="D87" i="2"/>
  <c r="D93" i="2" s="1"/>
  <c r="F83" i="2"/>
  <c r="F87" i="2"/>
  <c r="F93" i="2" s="1"/>
  <c r="I83" i="2"/>
  <c r="I87" i="2"/>
  <c r="I93" i="2" s="1"/>
  <c r="C83" i="2"/>
  <c r="C87" i="2"/>
  <c r="L179" i="3"/>
  <c r="C183" i="3"/>
  <c r="D183" i="3"/>
  <c r="D179" i="3"/>
  <c r="K187" i="3"/>
  <c r="I179" i="3"/>
  <c r="I183" i="3"/>
  <c r="C82" i="3"/>
  <c r="C18" i="3" s="1"/>
  <c r="C177" i="3"/>
  <c r="C179" i="3" s="1"/>
  <c r="F183" i="3"/>
  <c r="F179" i="3"/>
  <c r="E155" i="3"/>
  <c r="E83" i="3"/>
  <c r="E15" i="3" s="1"/>
  <c r="E177" i="3"/>
  <c r="E179" i="3" s="1"/>
  <c r="C104" i="1"/>
  <c r="C104" i="3"/>
  <c r="C28" i="2"/>
  <c r="D50" i="2"/>
  <c r="D51" i="2" s="1"/>
  <c r="D53" i="2" s="1"/>
  <c r="D108" i="3"/>
  <c r="D108" i="1"/>
  <c r="C71" i="2"/>
  <c r="C63" i="2"/>
  <c r="D36" i="2"/>
  <c r="D37" i="2" s="1"/>
  <c r="K108" i="1"/>
  <c r="D38" i="2"/>
  <c r="F108" i="1"/>
  <c r="L108" i="1"/>
  <c r="F36" i="2"/>
  <c r="F37" i="2" s="1"/>
  <c r="L38" i="2"/>
  <c r="G36" i="2"/>
  <c r="G37" i="2" s="1"/>
  <c r="E38" i="2"/>
  <c r="I36" i="2"/>
  <c r="I37" i="2" s="1"/>
  <c r="E50" i="2"/>
  <c r="E51" i="2" s="1"/>
  <c r="E53" i="2" s="1"/>
  <c r="E108" i="3"/>
  <c r="G50" i="2"/>
  <c r="G51" i="2" s="1"/>
  <c r="G53" i="2" s="1"/>
  <c r="G38" i="2"/>
  <c r="I50" i="2"/>
  <c r="I51" i="2" s="1"/>
  <c r="I53" i="2" s="1"/>
  <c r="I108" i="3"/>
  <c r="I108" i="1"/>
  <c r="L50" i="2"/>
  <c r="L51" i="2" s="1"/>
  <c r="L53" i="2" s="1"/>
  <c r="L108" i="3"/>
  <c r="K50" i="2"/>
  <c r="K51" i="2" s="1"/>
  <c r="K53" i="2" s="1"/>
  <c r="K108" i="3"/>
  <c r="K36" i="2"/>
  <c r="K37" i="2" s="1"/>
  <c r="E108" i="1"/>
  <c r="F108" i="3"/>
  <c r="F50" i="2"/>
  <c r="F51" i="2" s="1"/>
  <c r="F53" i="2" s="1"/>
  <c r="E80" i="3"/>
  <c r="E82" i="3"/>
  <c r="E18" i="3" s="1"/>
  <c r="E86" i="3"/>
  <c r="E145" i="3" s="1"/>
  <c r="E161" i="3" s="1"/>
  <c r="E193" i="3" s="1"/>
  <c r="C86" i="3"/>
  <c r="C145" i="3" s="1"/>
  <c r="C83" i="3"/>
  <c r="C15" i="3" s="1"/>
  <c r="C80" i="3"/>
  <c r="F80" i="3"/>
  <c r="D80" i="3"/>
  <c r="D83" i="3"/>
  <c r="D15" i="3" s="1"/>
  <c r="D86" i="3"/>
  <c r="D145" i="3" s="1"/>
  <c r="D82" i="3"/>
  <c r="D18" i="3" s="1"/>
  <c r="F86" i="3"/>
  <c r="F145" i="3" s="1"/>
  <c r="G79" i="3"/>
  <c r="F83" i="3"/>
  <c r="F15" i="3" s="1"/>
  <c r="F82" i="3"/>
  <c r="F18" i="3" s="1"/>
  <c r="C161" i="3" l="1"/>
  <c r="C147" i="3"/>
  <c r="F161" i="3"/>
  <c r="F147" i="3"/>
  <c r="D161" i="3"/>
  <c r="D147" i="3"/>
  <c r="E187" i="3"/>
  <c r="E195" i="3" s="1"/>
  <c r="E163" i="3"/>
  <c r="E197" i="3" s="1"/>
  <c r="E147" i="3"/>
  <c r="C91" i="2"/>
  <c r="C93" i="2" s="1"/>
  <c r="C73" i="2"/>
  <c r="C108" i="3"/>
  <c r="C50" i="2"/>
  <c r="C51" i="2" s="1"/>
  <c r="C53" i="2" s="1"/>
  <c r="C38" i="2"/>
  <c r="C108" i="1"/>
  <c r="C36" i="2"/>
  <c r="C37" i="2" s="1"/>
  <c r="I79" i="3"/>
  <c r="G86" i="3"/>
  <c r="G145" i="3" s="1"/>
  <c r="G82" i="3"/>
  <c r="G18" i="3" s="1"/>
  <c r="G83" i="3"/>
  <c r="G15" i="3" s="1"/>
  <c r="G80" i="3"/>
  <c r="G161" i="3" l="1"/>
  <c r="G147" i="3"/>
  <c r="D193" i="3"/>
  <c r="D195" i="3" s="1"/>
  <c r="D163" i="3"/>
  <c r="D197" i="3" s="1"/>
  <c r="D20" i="3" s="1"/>
  <c r="D32" i="3" s="1"/>
  <c r="F193" i="3"/>
  <c r="F195" i="3" s="1"/>
  <c r="F163" i="3"/>
  <c r="F197" i="3" s="1"/>
  <c r="F20" i="3" s="1"/>
  <c r="F32" i="3" s="1"/>
  <c r="C193" i="3"/>
  <c r="C195" i="3" s="1"/>
  <c r="C163" i="3"/>
  <c r="C197" i="3" s="1"/>
  <c r="C20" i="3" s="1"/>
  <c r="C32" i="3" s="1"/>
  <c r="E20" i="3"/>
  <c r="E32" i="3" s="1"/>
  <c r="I86" i="3"/>
  <c r="I145" i="3" s="1"/>
  <c r="I82" i="3"/>
  <c r="I18" i="3" s="1"/>
  <c r="I83" i="3"/>
  <c r="I15" i="3" s="1"/>
  <c r="J79" i="3"/>
  <c r="I80" i="3"/>
  <c r="I161" i="3" l="1"/>
  <c r="I147" i="3"/>
  <c r="G193" i="3"/>
  <c r="G195" i="3" s="1"/>
  <c r="G163" i="3"/>
  <c r="G197" i="3" s="1"/>
  <c r="G20" i="3" s="1"/>
  <c r="G32" i="3" s="1"/>
  <c r="F34" i="3"/>
  <c r="F44" i="3" s="1"/>
  <c r="F105" i="3"/>
  <c r="F106" i="3" s="1"/>
  <c r="D34" i="3"/>
  <c r="D44" i="3" s="1"/>
  <c r="D105" i="3"/>
  <c r="D106" i="3" s="1"/>
  <c r="C34" i="3"/>
  <c r="C44" i="3" s="1"/>
  <c r="C105" i="3"/>
  <c r="C106" i="3" s="1"/>
  <c r="E34" i="3"/>
  <c r="E120" i="3" s="1"/>
  <c r="E105" i="3"/>
  <c r="E106" i="3" s="1"/>
  <c r="J86" i="3"/>
  <c r="J145" i="3" s="1"/>
  <c r="J82" i="3"/>
  <c r="J18" i="3" s="1"/>
  <c r="J83" i="3"/>
  <c r="J15" i="3" s="1"/>
  <c r="K79" i="3"/>
  <c r="J80" i="3"/>
  <c r="F42" i="3" l="1"/>
  <c r="F43" i="3" s="1"/>
  <c r="J161" i="3"/>
  <c r="J147" i="3"/>
  <c r="F120" i="3"/>
  <c r="F128" i="3" s="1"/>
  <c r="F129" i="3" s="1"/>
  <c r="F131" i="3" s="1"/>
  <c r="D42" i="3"/>
  <c r="D43" i="3" s="1"/>
  <c r="F109" i="3"/>
  <c r="F110" i="3" s="1"/>
  <c r="F111" i="3" s="1"/>
  <c r="F115" i="3" s="1"/>
  <c r="D120" i="3"/>
  <c r="D121" i="3" s="1"/>
  <c r="D123" i="3" s="1"/>
  <c r="D109" i="3"/>
  <c r="D110" i="3" s="1"/>
  <c r="D113" i="3" s="1"/>
  <c r="I193" i="3"/>
  <c r="I195" i="3" s="1"/>
  <c r="I163" i="3"/>
  <c r="I197" i="3" s="1"/>
  <c r="I20" i="3" s="1"/>
  <c r="I32" i="3" s="1"/>
  <c r="C42" i="3"/>
  <c r="C43" i="3" s="1"/>
  <c r="G34" i="3"/>
  <c r="G109" i="3" s="1"/>
  <c r="G110" i="3" s="1"/>
  <c r="G105" i="3"/>
  <c r="G106" i="3" s="1"/>
  <c r="E42" i="3"/>
  <c r="E43" i="3" s="1"/>
  <c r="E44" i="3"/>
  <c r="C120" i="3"/>
  <c r="C128" i="3" s="1"/>
  <c r="C129" i="3" s="1"/>
  <c r="C131" i="3" s="1"/>
  <c r="C109" i="3"/>
  <c r="C110" i="3" s="1"/>
  <c r="C111" i="3" s="1"/>
  <c r="C115" i="3" s="1"/>
  <c r="E109" i="3"/>
  <c r="E110" i="3" s="1"/>
  <c r="E113" i="3" s="1"/>
  <c r="E128" i="3"/>
  <c r="E129" i="3" s="1"/>
  <c r="E131" i="3" s="1"/>
  <c r="E121" i="3"/>
  <c r="E123" i="3" s="1"/>
  <c r="F121" i="3"/>
  <c r="F123" i="3" s="1"/>
  <c r="K82" i="3"/>
  <c r="K18" i="3" s="1"/>
  <c r="K83" i="3"/>
  <c r="K15" i="3" s="1"/>
  <c r="L79" i="3"/>
  <c r="K86" i="3"/>
  <c r="K145" i="3" s="1"/>
  <c r="K80" i="3"/>
  <c r="F113" i="3" l="1"/>
  <c r="D128" i="3"/>
  <c r="D129" i="3" s="1"/>
  <c r="D131" i="3" s="1"/>
  <c r="D111" i="3"/>
  <c r="D115" i="3" s="1"/>
  <c r="G42" i="3"/>
  <c r="G43" i="3" s="1"/>
  <c r="K161" i="3"/>
  <c r="K147" i="3"/>
  <c r="G44" i="3"/>
  <c r="G120" i="3"/>
  <c r="G128" i="3" s="1"/>
  <c r="G129" i="3" s="1"/>
  <c r="G131" i="3" s="1"/>
  <c r="J193" i="3"/>
  <c r="J195" i="3" s="1"/>
  <c r="J163" i="3"/>
  <c r="J197" i="3" s="1"/>
  <c r="J20" i="3" s="1"/>
  <c r="J32" i="3" s="1"/>
  <c r="C113" i="3"/>
  <c r="I34" i="3"/>
  <c r="I42" i="3" s="1"/>
  <c r="I43" i="3" s="1"/>
  <c r="I105" i="3"/>
  <c r="I106" i="3" s="1"/>
  <c r="E111" i="3"/>
  <c r="E115" i="3" s="1"/>
  <c r="C121" i="3"/>
  <c r="C123" i="3" s="1"/>
  <c r="G113" i="3"/>
  <c r="G111" i="3"/>
  <c r="G115" i="3" s="1"/>
  <c r="L82" i="3"/>
  <c r="L18" i="3" s="1"/>
  <c r="L83" i="3"/>
  <c r="L15" i="3" s="1"/>
  <c r="L86" i="3"/>
  <c r="L145" i="3" s="1"/>
  <c r="L80" i="3"/>
  <c r="I44" i="3" l="1"/>
  <c r="L161" i="3"/>
  <c r="L147" i="3"/>
  <c r="G121" i="3"/>
  <c r="G123" i="3" s="1"/>
  <c r="K193" i="3"/>
  <c r="K195" i="3" s="1"/>
  <c r="K163" i="3"/>
  <c r="K197" i="3" s="1"/>
  <c r="K20" i="3" s="1"/>
  <c r="K32" i="3" s="1"/>
  <c r="I120" i="3"/>
  <c r="I121" i="3" s="1"/>
  <c r="I123" i="3" s="1"/>
  <c r="I109" i="3"/>
  <c r="I110" i="3" s="1"/>
  <c r="I113" i="3" s="1"/>
  <c r="J34" i="3"/>
  <c r="J42" i="3" s="1"/>
  <c r="J43" i="3" s="1"/>
  <c r="J105" i="3"/>
  <c r="J106" i="3" s="1"/>
  <c r="J109" i="3" l="1"/>
  <c r="J110" i="3" s="1"/>
  <c r="J113" i="3" s="1"/>
  <c r="J120" i="3"/>
  <c r="J128" i="3" s="1"/>
  <c r="J129" i="3" s="1"/>
  <c r="J131" i="3" s="1"/>
  <c r="I111" i="3"/>
  <c r="I115" i="3" s="1"/>
  <c r="J44" i="3"/>
  <c r="I128" i="3"/>
  <c r="I129" i="3" s="1"/>
  <c r="I131" i="3" s="1"/>
  <c r="L193" i="3"/>
  <c r="L195" i="3" s="1"/>
  <c r="L163" i="3"/>
  <c r="L197" i="3" s="1"/>
  <c r="L20" i="3" s="1"/>
  <c r="L32" i="3" s="1"/>
  <c r="K34" i="3"/>
  <c r="K44" i="3" s="1"/>
  <c r="K105" i="3"/>
  <c r="K106" i="3" s="1"/>
  <c r="K109" i="3"/>
  <c r="K110" i="3" s="1"/>
  <c r="J111" i="3" l="1"/>
  <c r="J115" i="3" s="1"/>
  <c r="J121" i="3"/>
  <c r="J123" i="3" s="1"/>
  <c r="K120" i="3"/>
  <c r="K42" i="3"/>
  <c r="K43" i="3" s="1"/>
  <c r="L34" i="3"/>
  <c r="L120" i="3" s="1"/>
  <c r="L105" i="3"/>
  <c r="L106" i="3" s="1"/>
  <c r="K121" i="3"/>
  <c r="K123" i="3" s="1"/>
  <c r="K128" i="3"/>
  <c r="K129" i="3" s="1"/>
  <c r="K131" i="3" s="1"/>
  <c r="K113" i="3"/>
  <c r="K111" i="3"/>
  <c r="K115" i="3" s="1"/>
  <c r="L44" i="3" l="1"/>
  <c r="L42" i="3"/>
  <c r="L43" i="3" s="1"/>
  <c r="L109" i="3"/>
  <c r="L110" i="3" s="1"/>
  <c r="L128" i="3"/>
  <c r="L129" i="3" s="1"/>
  <c r="L131" i="3" s="1"/>
  <c r="L121" i="3"/>
  <c r="L123" i="3" s="1"/>
  <c r="L111" i="3"/>
  <c r="L115" i="3" s="1"/>
  <c r="L113" i="3"/>
  <c r="L137" i="1"/>
  <c r="K137" i="1"/>
  <c r="J137" i="1"/>
  <c r="I137" i="1"/>
  <c r="G137" i="1"/>
  <c r="F137" i="1"/>
  <c r="E137" i="1"/>
  <c r="D137" i="1"/>
  <c r="C153" i="1" l="1"/>
  <c r="F153" i="1"/>
  <c r="D153" i="1"/>
  <c r="I153" i="1"/>
  <c r="L153" i="1"/>
  <c r="E153" i="1"/>
  <c r="G153" i="1"/>
  <c r="J153" i="1"/>
  <c r="K153" i="1"/>
  <c r="D79" i="1"/>
  <c r="D167" i="1" l="1"/>
  <c r="D183" i="1" s="1"/>
  <c r="D185" i="1"/>
  <c r="K167" i="1"/>
  <c r="K183" i="1" s="1"/>
  <c r="K185" i="1"/>
  <c r="J167" i="1"/>
  <c r="J183" i="1" s="1"/>
  <c r="J185" i="1"/>
  <c r="G167" i="1"/>
  <c r="G183" i="1" s="1"/>
  <c r="G185" i="1"/>
  <c r="E167" i="1"/>
  <c r="E183" i="1" s="1"/>
  <c r="E185" i="1"/>
  <c r="L167" i="1"/>
  <c r="L183" i="1" s="1"/>
  <c r="L185" i="1"/>
  <c r="I167" i="1"/>
  <c r="I183" i="1" s="1"/>
  <c r="I185" i="1"/>
  <c r="F167" i="1"/>
  <c r="F183" i="1" s="1"/>
  <c r="F185" i="1"/>
  <c r="C167" i="1"/>
  <c r="C183" i="1" s="1"/>
  <c r="C185" i="1"/>
  <c r="E79" i="1"/>
  <c r="F79" i="1" l="1"/>
  <c r="G79" i="1" l="1"/>
  <c r="H79" i="1" s="1"/>
  <c r="D60" i="1"/>
  <c r="E60" i="1"/>
  <c r="F60" i="1"/>
  <c r="G60" i="1"/>
  <c r="I60" i="1"/>
  <c r="J60" i="1"/>
  <c r="K60" i="1"/>
  <c r="L60" i="1"/>
  <c r="C60" i="1"/>
  <c r="D49" i="1"/>
  <c r="E49" i="1"/>
  <c r="F49" i="1"/>
  <c r="G49" i="1"/>
  <c r="I49" i="1"/>
  <c r="J49" i="1"/>
  <c r="K49" i="1"/>
  <c r="L49" i="1"/>
  <c r="C49" i="1"/>
  <c r="D37" i="1"/>
  <c r="E37" i="1"/>
  <c r="F37" i="1"/>
  <c r="G37" i="1"/>
  <c r="I37" i="1"/>
  <c r="J37" i="1"/>
  <c r="K37" i="1"/>
  <c r="L37" i="1"/>
  <c r="C37" i="1"/>
  <c r="H83" i="1" l="1"/>
  <c r="H15" i="1" s="1"/>
  <c r="H82" i="1"/>
  <c r="H18" i="1" s="1"/>
  <c r="H86" i="1"/>
  <c r="H145" i="1" s="1"/>
  <c r="H80" i="1"/>
  <c r="C50" i="1"/>
  <c r="C70" i="1" s="1"/>
  <c r="C117" i="1"/>
  <c r="D50" i="1"/>
  <c r="D52" i="1" s="1"/>
  <c r="D26" i="1" s="1"/>
  <c r="D117" i="1"/>
  <c r="L50" i="1"/>
  <c r="L95" i="1" s="1"/>
  <c r="L117" i="1"/>
  <c r="I50" i="1"/>
  <c r="I117" i="1"/>
  <c r="E50" i="1"/>
  <c r="E117" i="1"/>
  <c r="K50" i="1"/>
  <c r="K117" i="1"/>
  <c r="J50" i="1"/>
  <c r="J70" i="1" s="1"/>
  <c r="J117" i="1"/>
  <c r="G50" i="1"/>
  <c r="G95" i="1" s="1"/>
  <c r="G117" i="1"/>
  <c r="F50" i="1"/>
  <c r="F95" i="1" s="1"/>
  <c r="F98" i="1" s="1"/>
  <c r="F117" i="1"/>
  <c r="C74" i="1"/>
  <c r="C96" i="1"/>
  <c r="K96" i="1"/>
  <c r="E63" i="1"/>
  <c r="E30" i="1" s="1"/>
  <c r="E96" i="1"/>
  <c r="J90" i="1"/>
  <c r="J139" i="1" s="1"/>
  <c r="F96" i="1"/>
  <c r="D74" i="1"/>
  <c r="D96" i="1"/>
  <c r="L74" i="1"/>
  <c r="L96" i="1"/>
  <c r="J74" i="1"/>
  <c r="J96" i="1"/>
  <c r="I74" i="1"/>
  <c r="I96" i="1"/>
  <c r="G74" i="1"/>
  <c r="G96" i="1"/>
  <c r="C52" i="1"/>
  <c r="C26" i="1" s="1"/>
  <c r="C95" i="1"/>
  <c r="C90" i="1"/>
  <c r="C139" i="1" s="1"/>
  <c r="I79" i="1"/>
  <c r="F72" i="1"/>
  <c r="F74" i="1"/>
  <c r="D62" i="1"/>
  <c r="D29" i="1" s="1"/>
  <c r="G63" i="1"/>
  <c r="G30" i="1" s="1"/>
  <c r="F63" i="1"/>
  <c r="F30" i="1" s="1"/>
  <c r="K62" i="1"/>
  <c r="K29" i="1" s="1"/>
  <c r="K74" i="1"/>
  <c r="E72" i="1"/>
  <c r="E74" i="1"/>
  <c r="I62" i="1"/>
  <c r="I29" i="1" s="1"/>
  <c r="I72" i="1"/>
  <c r="D63" i="1"/>
  <c r="D30" i="1" s="1"/>
  <c r="D72" i="1"/>
  <c r="L62" i="1"/>
  <c r="L29" i="1" s="1"/>
  <c r="L72" i="1"/>
  <c r="J62" i="1"/>
  <c r="J29" i="1" s="1"/>
  <c r="J72" i="1"/>
  <c r="L27" i="1"/>
  <c r="C62" i="1"/>
  <c r="C29" i="1" s="1"/>
  <c r="C72" i="1"/>
  <c r="K63" i="1"/>
  <c r="K30" i="1" s="1"/>
  <c r="K72" i="1"/>
  <c r="F62" i="1"/>
  <c r="F29" i="1" s="1"/>
  <c r="G62" i="1"/>
  <c r="G29" i="1" s="1"/>
  <c r="G72" i="1"/>
  <c r="E62" i="1"/>
  <c r="E29" i="1" s="1"/>
  <c r="J53" i="1"/>
  <c r="J27" i="1" s="1"/>
  <c r="L63" i="1"/>
  <c r="L30" i="1" s="1"/>
  <c r="C63" i="1"/>
  <c r="C30" i="1" s="1"/>
  <c r="J63" i="1"/>
  <c r="J30" i="1" s="1"/>
  <c r="I63" i="1"/>
  <c r="I30" i="1" s="1"/>
  <c r="L19" i="1"/>
  <c r="H161" i="1" l="1"/>
  <c r="H147" i="1"/>
  <c r="G52" i="1"/>
  <c r="G26" i="1" s="1"/>
  <c r="J95" i="1"/>
  <c r="J52" i="1"/>
  <c r="J26" i="1" s="1"/>
  <c r="L90" i="1"/>
  <c r="L139" i="1" s="1"/>
  <c r="C53" i="1"/>
  <c r="C27" i="1" s="1"/>
  <c r="I95" i="1"/>
  <c r="I70" i="1"/>
  <c r="E95" i="1"/>
  <c r="E70" i="1"/>
  <c r="E78" i="1" s="1"/>
  <c r="I78" i="1"/>
  <c r="G78" i="1"/>
  <c r="L52" i="1"/>
  <c r="L26" i="1" s="1"/>
  <c r="L70" i="1"/>
  <c r="L78" i="1"/>
  <c r="L177" i="1" s="1"/>
  <c r="L179" i="1" s="1"/>
  <c r="K90" i="1"/>
  <c r="K139" i="1" s="1"/>
  <c r="K155" i="1" s="1"/>
  <c r="K187" i="1" s="1"/>
  <c r="K70" i="1"/>
  <c r="K78" i="1"/>
  <c r="K177" i="1" s="1"/>
  <c r="K179" i="1" s="1"/>
  <c r="G90" i="1"/>
  <c r="G139" i="1" s="1"/>
  <c r="G70" i="1"/>
  <c r="D95" i="1"/>
  <c r="D98" i="1" s="1"/>
  <c r="D70" i="1"/>
  <c r="D78" i="1" s="1"/>
  <c r="D83" i="1" s="1"/>
  <c r="D15" i="1" s="1"/>
  <c r="F90" i="1"/>
  <c r="F139" i="1" s="1"/>
  <c r="F70" i="1"/>
  <c r="F78" i="1" s="1"/>
  <c r="I52" i="1"/>
  <c r="I26" i="1" s="1"/>
  <c r="J78" i="1"/>
  <c r="J177" i="1" s="1"/>
  <c r="J179" i="1" s="1"/>
  <c r="C78" i="1"/>
  <c r="F52" i="1"/>
  <c r="F26" i="1" s="1"/>
  <c r="E53" i="1"/>
  <c r="E27" i="1" s="1"/>
  <c r="I53" i="1"/>
  <c r="I27" i="1" s="1"/>
  <c r="D90" i="1"/>
  <c r="D139" i="1" s="1"/>
  <c r="D53" i="1"/>
  <c r="D27" i="1" s="1"/>
  <c r="G53" i="1"/>
  <c r="G27" i="1" s="1"/>
  <c r="G155" i="1"/>
  <c r="G187" i="1" s="1"/>
  <c r="K118" i="1"/>
  <c r="K125" i="1"/>
  <c r="K126" i="1" s="1"/>
  <c r="C155" i="1"/>
  <c r="C187" i="1" s="1"/>
  <c r="J155" i="1"/>
  <c r="J187" i="1" s="1"/>
  <c r="F118" i="1"/>
  <c r="F125" i="1"/>
  <c r="F126" i="1" s="1"/>
  <c r="L118" i="1"/>
  <c r="L125" i="1"/>
  <c r="L126" i="1" s="1"/>
  <c r="I118" i="1"/>
  <c r="I125" i="1"/>
  <c r="I126" i="1" s="1"/>
  <c r="E52" i="1"/>
  <c r="E26" i="1" s="1"/>
  <c r="D155" i="1"/>
  <c r="D187" i="1" s="1"/>
  <c r="F155" i="1"/>
  <c r="F187" i="1" s="1"/>
  <c r="F53" i="1"/>
  <c r="F27" i="1" s="1"/>
  <c r="G118" i="1"/>
  <c r="G125" i="1"/>
  <c r="G126" i="1" s="1"/>
  <c r="D118" i="1"/>
  <c r="D125" i="1"/>
  <c r="D126" i="1" s="1"/>
  <c r="L155" i="1"/>
  <c r="L187" i="1" s="1"/>
  <c r="E118" i="1"/>
  <c r="E125" i="1"/>
  <c r="E126" i="1" s="1"/>
  <c r="I90" i="1"/>
  <c r="I139" i="1" s="1"/>
  <c r="J118" i="1"/>
  <c r="J125" i="1"/>
  <c r="J126" i="1" s="1"/>
  <c r="C118" i="1"/>
  <c r="C125" i="1"/>
  <c r="C126" i="1" s="1"/>
  <c r="K95" i="1"/>
  <c r="K98" i="1" s="1"/>
  <c r="C98" i="1"/>
  <c r="K27" i="1"/>
  <c r="K52" i="1"/>
  <c r="K26" i="1" s="1"/>
  <c r="E90" i="1"/>
  <c r="E139" i="1" s="1"/>
  <c r="G98" i="1"/>
  <c r="I98" i="1"/>
  <c r="L98" i="1"/>
  <c r="J98" i="1"/>
  <c r="E98" i="1"/>
  <c r="J79" i="1"/>
  <c r="K19" i="1"/>
  <c r="H193" i="1" l="1"/>
  <c r="H195" i="1" s="1"/>
  <c r="H163" i="1"/>
  <c r="H197" i="1" s="1"/>
  <c r="H20" i="1" s="1"/>
  <c r="D80" i="1"/>
  <c r="D82" i="1"/>
  <c r="D18" i="1" s="1"/>
  <c r="E86" i="1"/>
  <c r="E145" i="1" s="1"/>
  <c r="E177" i="1"/>
  <c r="E179" i="1" s="1"/>
  <c r="G86" i="1"/>
  <c r="G145" i="1" s="1"/>
  <c r="G177" i="1"/>
  <c r="G179" i="1" s="1"/>
  <c r="F86" i="1"/>
  <c r="F145" i="1" s="1"/>
  <c r="F147" i="1" s="1"/>
  <c r="F177" i="1"/>
  <c r="F179" i="1" s="1"/>
  <c r="I83" i="1"/>
  <c r="I15" i="1" s="1"/>
  <c r="I177" i="1"/>
  <c r="I179" i="1" s="1"/>
  <c r="C86" i="1"/>
  <c r="C145" i="1" s="1"/>
  <c r="C147" i="1" s="1"/>
  <c r="C177" i="1"/>
  <c r="C179" i="1" s="1"/>
  <c r="D86" i="1"/>
  <c r="D177" i="1"/>
  <c r="D179" i="1" s="1"/>
  <c r="I155" i="1"/>
  <c r="I187" i="1" s="1"/>
  <c r="E155" i="1"/>
  <c r="E187" i="1" s="1"/>
  <c r="E147" i="1"/>
  <c r="E161" i="1"/>
  <c r="E193" i="1" s="1"/>
  <c r="E195" i="1" s="1"/>
  <c r="J80" i="1"/>
  <c r="I86" i="1"/>
  <c r="I145" i="1" s="1"/>
  <c r="I161" i="1" s="1"/>
  <c r="F82" i="1"/>
  <c r="F18" i="1" s="1"/>
  <c r="F83" i="1"/>
  <c r="F15" i="1" s="1"/>
  <c r="F80" i="1"/>
  <c r="I80" i="1"/>
  <c r="I82" i="1"/>
  <c r="I18" i="1" s="1"/>
  <c r="E80" i="1"/>
  <c r="E82" i="1"/>
  <c r="E18" i="1" s="1"/>
  <c r="J86" i="1"/>
  <c r="J145" i="1" s="1"/>
  <c r="K79" i="1"/>
  <c r="E83" i="1"/>
  <c r="E15" i="1" s="1"/>
  <c r="J82" i="1"/>
  <c r="J18" i="1" s="1"/>
  <c r="J83" i="1"/>
  <c r="J15" i="1" s="1"/>
  <c r="C83" i="1"/>
  <c r="C15" i="1" s="1"/>
  <c r="C80" i="1"/>
  <c r="C82" i="1"/>
  <c r="C18" i="1" s="1"/>
  <c r="G80" i="1"/>
  <c r="G83" i="1"/>
  <c r="G15" i="1" s="1"/>
  <c r="G82" i="1"/>
  <c r="G18" i="1" s="1"/>
  <c r="I193" i="1" l="1"/>
  <c r="I195" i="1" s="1"/>
  <c r="D145" i="1"/>
  <c r="D147" i="1" s="1"/>
  <c r="C161" i="1"/>
  <c r="C193" i="1" s="1"/>
  <c r="C195" i="1" s="1"/>
  <c r="F161" i="1"/>
  <c r="F193" i="1" s="1"/>
  <c r="F195" i="1" s="1"/>
  <c r="G161" i="1"/>
  <c r="G193" i="1" s="1"/>
  <c r="G195" i="1" s="1"/>
  <c r="G147" i="1"/>
  <c r="E163" i="1"/>
  <c r="E197" i="1" s="1"/>
  <c r="E20" i="1" s="1"/>
  <c r="J161" i="1"/>
  <c r="J193" i="1" s="1"/>
  <c r="J195" i="1" s="1"/>
  <c r="J147" i="1"/>
  <c r="I147" i="1"/>
  <c r="D161" i="1"/>
  <c r="D193" i="1" s="1"/>
  <c r="D195" i="1" s="1"/>
  <c r="I163" i="1"/>
  <c r="I197" i="1" s="1"/>
  <c r="I20" i="1" s="1"/>
  <c r="K86" i="1"/>
  <c r="K145" i="1" s="1"/>
  <c r="L79" i="1"/>
  <c r="K82" i="1"/>
  <c r="K18" i="1" s="1"/>
  <c r="K83" i="1"/>
  <c r="K15" i="1" s="1"/>
  <c r="K80" i="1"/>
  <c r="I19" i="1"/>
  <c r="C163" i="1" l="1"/>
  <c r="C197" i="1" s="1"/>
  <c r="C20" i="1" s="1"/>
  <c r="G163" i="1"/>
  <c r="G197" i="1" s="1"/>
  <c r="G20" i="1" s="1"/>
  <c r="F163" i="1"/>
  <c r="F197" i="1" s="1"/>
  <c r="F20" i="1" s="1"/>
  <c r="D163" i="1"/>
  <c r="D197" i="1" s="1"/>
  <c r="D20" i="1" s="1"/>
  <c r="J163" i="1"/>
  <c r="J197" i="1" s="1"/>
  <c r="J20" i="1" s="1"/>
  <c r="K161" i="1"/>
  <c r="K193" i="1" s="1"/>
  <c r="K195" i="1" s="1"/>
  <c r="K147" i="1"/>
  <c r="L86" i="1"/>
  <c r="L145" i="1" s="1"/>
  <c r="L80" i="1"/>
  <c r="L82" i="1"/>
  <c r="L18" i="1" s="1"/>
  <c r="L83" i="1"/>
  <c r="L15" i="1" s="1"/>
  <c r="G19" i="1"/>
  <c r="K163" i="1" l="1"/>
  <c r="K197" i="1" s="1"/>
  <c r="L161" i="1"/>
  <c r="L193" i="1" s="1"/>
  <c r="L195" i="1" s="1"/>
  <c r="L147" i="1"/>
  <c r="K20" i="1"/>
  <c r="F5" i="1"/>
  <c r="L163" i="1" l="1"/>
  <c r="L197" i="1" s="1"/>
  <c r="L20" i="1" s="1"/>
  <c r="E5" i="1"/>
  <c r="D39" i="1" l="1"/>
  <c r="D40" i="1" s="1"/>
  <c r="E39" i="1"/>
  <c r="E40" i="1" s="1"/>
  <c r="F39" i="1"/>
  <c r="F40" i="1" s="1"/>
  <c r="G39" i="1"/>
  <c r="G40" i="1" s="1"/>
  <c r="I39" i="1"/>
  <c r="I40" i="1" s="1"/>
  <c r="J39" i="1"/>
  <c r="J40" i="1" s="1"/>
  <c r="K39" i="1"/>
  <c r="K40" i="1" s="1"/>
  <c r="L39" i="1"/>
  <c r="L40" i="1" s="1"/>
  <c r="C39" i="1"/>
  <c r="C40" i="1" s="1"/>
  <c r="D22" i="1" l="1"/>
  <c r="E22" i="1" s="1"/>
  <c r="F22" i="1" s="1"/>
  <c r="G22" i="1" s="1"/>
  <c r="D21" i="1"/>
  <c r="E21" i="1" s="1"/>
  <c r="F21" i="1" s="1"/>
  <c r="G21" i="1" s="1"/>
  <c r="D7" i="1"/>
  <c r="D12" i="1" s="1"/>
  <c r="D101" i="1" s="1"/>
  <c r="D102" i="1" s="1"/>
  <c r="E7" i="1"/>
  <c r="E12" i="1" s="1"/>
  <c r="E101" i="1" s="1"/>
  <c r="E102" i="1" s="1"/>
  <c r="F7" i="1"/>
  <c r="F12" i="1" s="1"/>
  <c r="F101" i="1" s="1"/>
  <c r="F102" i="1" s="1"/>
  <c r="G7" i="1"/>
  <c r="G12" i="1" s="1"/>
  <c r="G101" i="1" s="1"/>
  <c r="G102" i="1" s="1"/>
  <c r="I7" i="1"/>
  <c r="I12" i="1" s="1"/>
  <c r="I101" i="1" s="1"/>
  <c r="I102" i="1" s="1"/>
  <c r="J7" i="1"/>
  <c r="J12" i="1" s="1"/>
  <c r="J101" i="1" s="1"/>
  <c r="J102" i="1" s="1"/>
  <c r="K7" i="1"/>
  <c r="K12" i="1" s="1"/>
  <c r="K101" i="1" s="1"/>
  <c r="K102" i="1" s="1"/>
  <c r="L7" i="1"/>
  <c r="L12" i="1" s="1"/>
  <c r="L101" i="1" s="1"/>
  <c r="L102" i="1" s="1"/>
  <c r="D16" i="1"/>
  <c r="E16" i="1" s="1"/>
  <c r="F16" i="1" s="1"/>
  <c r="G16" i="1" s="1"/>
  <c r="C7" i="1"/>
  <c r="C12" i="1" s="1"/>
  <c r="C101" i="1" s="1"/>
  <c r="C102" i="1" s="1"/>
  <c r="I16" i="1" l="1"/>
  <c r="J16" i="1" s="1"/>
  <c r="K16" i="1" s="1"/>
  <c r="L16" i="1" s="1"/>
  <c r="H16" i="1"/>
  <c r="I21" i="1"/>
  <c r="J21" i="1" s="1"/>
  <c r="K21" i="1" s="1"/>
  <c r="L21" i="1" s="1"/>
  <c r="H21" i="1"/>
  <c r="I22" i="1"/>
  <c r="J22" i="1" s="1"/>
  <c r="K22" i="1" s="1"/>
  <c r="L22" i="1" s="1"/>
  <c r="H22" i="1"/>
  <c r="F32" i="1"/>
  <c r="F105" i="1" s="1"/>
  <c r="F106" i="1" s="1"/>
  <c r="G32" i="1"/>
  <c r="I32" i="1"/>
  <c r="D32" i="1"/>
  <c r="C32" i="1"/>
  <c r="E32" i="1"/>
  <c r="L32" i="1" l="1"/>
  <c r="J32" i="1"/>
  <c r="H32" i="1"/>
  <c r="K32" i="1"/>
  <c r="K34" i="1" s="1"/>
  <c r="F34" i="1"/>
  <c r="F109" i="1" s="1"/>
  <c r="F110" i="1" s="1"/>
  <c r="J34" i="1"/>
  <c r="J105" i="1"/>
  <c r="J106" i="1" s="1"/>
  <c r="I34" i="1"/>
  <c r="I42" i="1" s="1"/>
  <c r="I43" i="1" s="1"/>
  <c r="I105" i="1"/>
  <c r="I106" i="1" s="1"/>
  <c r="L34" i="1"/>
  <c r="L42" i="1" s="1"/>
  <c r="L43" i="1" s="1"/>
  <c r="L105" i="1"/>
  <c r="L106" i="1" s="1"/>
  <c r="C34" i="1"/>
  <c r="C105" i="1"/>
  <c r="C106" i="1" s="1"/>
  <c r="G34" i="1"/>
  <c r="G105" i="1"/>
  <c r="G106" i="1" s="1"/>
  <c r="E34" i="1"/>
  <c r="E42" i="1" s="1"/>
  <c r="E43" i="1" s="1"/>
  <c r="E105" i="1"/>
  <c r="E106" i="1" s="1"/>
  <c r="D34" i="1"/>
  <c r="D105" i="1"/>
  <c r="D106" i="1" s="1"/>
  <c r="J42" i="1"/>
  <c r="J43" i="1" s="1"/>
  <c r="J44" i="1"/>
  <c r="I44" i="1"/>
  <c r="K105" i="1" l="1"/>
  <c r="K106" i="1" s="1"/>
  <c r="H34" i="1"/>
  <c r="H44" i="1" s="1"/>
  <c r="H105" i="1"/>
  <c r="H106" i="1" s="1"/>
  <c r="H42" i="1"/>
  <c r="H43" i="1" s="1"/>
  <c r="F42" i="1"/>
  <c r="F43" i="1" s="1"/>
  <c r="F44" i="1"/>
  <c r="F120" i="1"/>
  <c r="F128" i="1" s="1"/>
  <c r="F129" i="1" s="1"/>
  <c r="F131" i="1" s="1"/>
  <c r="E44" i="1"/>
  <c r="L109" i="1"/>
  <c r="L110" i="1" s="1"/>
  <c r="L111" i="1" s="1"/>
  <c r="L115" i="1" s="1"/>
  <c r="L120" i="1"/>
  <c r="G109" i="1"/>
  <c r="G110" i="1" s="1"/>
  <c r="G113" i="1" s="1"/>
  <c r="G120" i="1"/>
  <c r="G42" i="1"/>
  <c r="G43" i="1" s="1"/>
  <c r="E109" i="1"/>
  <c r="E110" i="1" s="1"/>
  <c r="E111" i="1" s="1"/>
  <c r="E115" i="1" s="1"/>
  <c r="E120" i="1"/>
  <c r="J109" i="1"/>
  <c r="J110" i="1" s="1"/>
  <c r="J111" i="1" s="1"/>
  <c r="J115" i="1" s="1"/>
  <c r="J120" i="1"/>
  <c r="G44" i="1"/>
  <c r="C109" i="1"/>
  <c r="C110" i="1" s="1"/>
  <c r="C120" i="1"/>
  <c r="D109" i="1"/>
  <c r="D110" i="1" s="1"/>
  <c r="D113" i="1" s="1"/>
  <c r="D120" i="1"/>
  <c r="I109" i="1"/>
  <c r="I110" i="1" s="1"/>
  <c r="I111" i="1" s="1"/>
  <c r="I115" i="1" s="1"/>
  <c r="I120" i="1"/>
  <c r="D44" i="1"/>
  <c r="D42" i="1"/>
  <c r="D43" i="1" s="1"/>
  <c r="K109" i="1"/>
  <c r="K110" i="1" s="1"/>
  <c r="K111" i="1" s="1"/>
  <c r="K115" i="1" s="1"/>
  <c r="K120" i="1"/>
  <c r="F111" i="1"/>
  <c r="F115" i="1" s="1"/>
  <c r="F113" i="1"/>
  <c r="K44" i="1"/>
  <c r="K42" i="1"/>
  <c r="K43" i="1" s="1"/>
  <c r="C42" i="1"/>
  <c r="C43" i="1" s="1"/>
  <c r="C44" i="1"/>
  <c r="L44" i="1"/>
  <c r="H109" i="1" l="1"/>
  <c r="H110" i="1" s="1"/>
  <c r="H120" i="1"/>
  <c r="F121" i="1"/>
  <c r="F123" i="1" s="1"/>
  <c r="E113" i="1"/>
  <c r="J121" i="1"/>
  <c r="J123" i="1" s="1"/>
  <c r="J128" i="1"/>
  <c r="J129" i="1" s="1"/>
  <c r="J131" i="1" s="1"/>
  <c r="E121" i="1"/>
  <c r="E123" i="1" s="1"/>
  <c r="E128" i="1"/>
  <c r="E129" i="1" s="1"/>
  <c r="E131" i="1" s="1"/>
  <c r="G121" i="1"/>
  <c r="G123" i="1" s="1"/>
  <c r="G128" i="1"/>
  <c r="G129" i="1" s="1"/>
  <c r="G131" i="1" s="1"/>
  <c r="D111" i="1"/>
  <c r="D115" i="1" s="1"/>
  <c r="K121" i="1"/>
  <c r="K123" i="1" s="1"/>
  <c r="K128" i="1"/>
  <c r="K129" i="1" s="1"/>
  <c r="K131" i="1" s="1"/>
  <c r="I121" i="1"/>
  <c r="I123" i="1" s="1"/>
  <c r="I128" i="1"/>
  <c r="I129" i="1" s="1"/>
  <c r="I131" i="1" s="1"/>
  <c r="D121" i="1"/>
  <c r="D123" i="1" s="1"/>
  <c r="D128" i="1"/>
  <c r="D129" i="1" s="1"/>
  <c r="D131" i="1" s="1"/>
  <c r="L121" i="1"/>
  <c r="L123" i="1" s="1"/>
  <c r="L128" i="1"/>
  <c r="L129" i="1" s="1"/>
  <c r="L131" i="1" s="1"/>
  <c r="C121" i="1"/>
  <c r="C123" i="1" s="1"/>
  <c r="C128" i="1"/>
  <c r="C129" i="1" s="1"/>
  <c r="C131" i="1" s="1"/>
  <c r="G111" i="1"/>
  <c r="G115" i="1" s="1"/>
  <c r="L113" i="1"/>
  <c r="I113" i="1"/>
  <c r="J113" i="1"/>
  <c r="K113" i="1"/>
  <c r="C111" i="1"/>
  <c r="C115" i="1" s="1"/>
  <c r="C113" i="1"/>
  <c r="H121" i="1" l="1"/>
  <c r="H123" i="1" s="1"/>
  <c r="H128" i="1"/>
  <c r="H129" i="1" s="1"/>
  <c r="H131" i="1" s="1"/>
  <c r="H111" i="1"/>
  <c r="H115" i="1" s="1"/>
  <c r="H113" i="1"/>
</calcChain>
</file>

<file path=xl/sharedStrings.xml><?xml version="1.0" encoding="utf-8"?>
<sst xmlns="http://schemas.openxmlformats.org/spreadsheetml/2006/main" count="585" uniqueCount="130">
  <si>
    <t>2 X 100%</t>
  </si>
  <si>
    <t>2 X 90%</t>
  </si>
  <si>
    <t>2 X 80%</t>
  </si>
  <si>
    <t>2 X 70%</t>
  </si>
  <si>
    <t>2 X 60%</t>
  </si>
  <si>
    <t>1 X 100%</t>
  </si>
  <si>
    <t>1 X 80%</t>
  </si>
  <si>
    <t>1 X 60%</t>
  </si>
  <si>
    <t>1 X 50%</t>
  </si>
  <si>
    <t xml:space="preserve">   Gas Turbine</t>
  </si>
  <si>
    <t xml:space="preserve">   Steam Turbine</t>
  </si>
  <si>
    <t xml:space="preserve">      HP</t>
  </si>
  <si>
    <t xml:space="preserve">      IP</t>
  </si>
  <si>
    <t xml:space="preserve">      LP</t>
  </si>
  <si>
    <t>Total Gross Power</t>
  </si>
  <si>
    <t>kW</t>
  </si>
  <si>
    <t>Auxiliary Load Summary</t>
  </si>
  <si>
    <t>Circulating Water Pumps</t>
  </si>
  <si>
    <t>Combustion Turbine Auxiliaries</t>
  </si>
  <si>
    <t>Condensate Pumps</t>
  </si>
  <si>
    <t>Cooling Tower Fans</t>
  </si>
  <si>
    <t>Feedwater Pumps</t>
  </si>
  <si>
    <t>Ground Water Pumps</t>
  </si>
  <si>
    <t>Miscellaneous Balance of Plant</t>
  </si>
  <si>
    <t>SCR</t>
  </si>
  <si>
    <t>Transformer Losses</t>
  </si>
  <si>
    <t>Total Auxiliaries</t>
  </si>
  <si>
    <t>Condenser Duty</t>
  </si>
  <si>
    <t>MMBTU/hr</t>
  </si>
  <si>
    <t>Net Power</t>
  </si>
  <si>
    <t>Makeup Flow</t>
  </si>
  <si>
    <t>gpm</t>
  </si>
  <si>
    <t xml:space="preserve">   Cooling Tower</t>
  </si>
  <si>
    <t xml:space="preserve">   HRSG</t>
  </si>
  <si>
    <t xml:space="preserve">   Total</t>
  </si>
  <si>
    <t>Steam Turbine Auxiliaries</t>
  </si>
  <si>
    <t>Natural Gas Flow</t>
  </si>
  <si>
    <t>lb/hr</t>
  </si>
  <si>
    <t>BTU/kWh</t>
  </si>
  <si>
    <t>%</t>
  </si>
  <si>
    <t>HHV Net Plant Heat Rate</t>
  </si>
  <si>
    <t>Gross Power Summary</t>
  </si>
  <si>
    <t>Percentage of Total Gas Turbine Electrical Load</t>
  </si>
  <si>
    <t>Configuration</t>
  </si>
  <si>
    <t>kg/hr</t>
  </si>
  <si>
    <t>GJ/hr</t>
  </si>
  <si>
    <t>kJ/kWh</t>
  </si>
  <si>
    <t>Heat Input to Turbine(s)</t>
  </si>
  <si>
    <t>HHV Net Plant Efficiency</t>
  </si>
  <si>
    <t>CO2 From HRSG</t>
  </si>
  <si>
    <t>PCC</t>
  </si>
  <si>
    <t>CO2 Capture</t>
  </si>
  <si>
    <t>CO2 captured by PCC</t>
  </si>
  <si>
    <t>tonne/hr</t>
  </si>
  <si>
    <t>PCC Power</t>
  </si>
  <si>
    <t>PCC Power (0.047 MW/tonne CO2)</t>
  </si>
  <si>
    <t>PCC Compression Power</t>
  </si>
  <si>
    <t>DAC</t>
  </si>
  <si>
    <t>DAC Steam Flow</t>
  </si>
  <si>
    <t>CO2 Captured by DAC</t>
  </si>
  <si>
    <t>DAC Power (0.25 MW/tonne CO2)</t>
  </si>
  <si>
    <t>DAC Compression (0.138 MW/tonne CO2)</t>
  </si>
  <si>
    <t>DAC Power</t>
  </si>
  <si>
    <t>DAC Compression Power</t>
  </si>
  <si>
    <t>Cooling Duties</t>
  </si>
  <si>
    <t xml:space="preserve">  HX-6 (Steam Turbine Condenser)</t>
  </si>
  <si>
    <t xml:space="preserve">  DAC Compression (Assume 99 MMBTU at 138 tonne/hr CO2)</t>
  </si>
  <si>
    <t xml:space="preserve">  DAC (Assume 533 MMBTU at 138 tonne/hr  CO2)</t>
  </si>
  <si>
    <t>Total Cooling Load</t>
  </si>
  <si>
    <t>Scale Factor</t>
  </si>
  <si>
    <t>Cooling Tower Fan Power</t>
  </si>
  <si>
    <t>Circulating Water Pump Power</t>
  </si>
  <si>
    <t>Makeup Water</t>
  </si>
  <si>
    <t xml:space="preserve">   Cooling Tower Makeup </t>
  </si>
  <si>
    <t xml:space="preserve">   Makeup for HRSG</t>
  </si>
  <si>
    <t xml:space="preserve">   PCC (Assume 59 gpm at 250 tonne/hr CO2)</t>
  </si>
  <si>
    <t xml:space="preserve">   DAC (Assume 1/2 of steam DAC steam flow)</t>
  </si>
  <si>
    <t>Raw Water Withdrawal</t>
  </si>
  <si>
    <t>Process Water Discharge</t>
  </si>
  <si>
    <t>CO2 Removed</t>
  </si>
  <si>
    <t xml:space="preserve">   PCC</t>
  </si>
  <si>
    <t xml:space="preserve">   DAC</t>
  </si>
  <si>
    <t>Total CO2 Captured</t>
  </si>
  <si>
    <t>Net Power Without Carbon Capture</t>
  </si>
  <si>
    <t>Net Power With Carbon Capture</t>
  </si>
  <si>
    <t>Groundwater Pump Power</t>
  </si>
  <si>
    <t>Power Change</t>
  </si>
  <si>
    <t>MW</t>
  </si>
  <si>
    <t>Power loss per tonne CO2</t>
  </si>
  <si>
    <t>kWh/tonne</t>
  </si>
  <si>
    <t>Gross Power Without Carbon Capture</t>
  </si>
  <si>
    <t>Gross Power With Carbon Capture</t>
  </si>
  <si>
    <t>Gross Power Change</t>
  </si>
  <si>
    <t>Auxiliary Load Without Carbon Capture</t>
  </si>
  <si>
    <t>Auxiliary Load With Carbon Capture</t>
  </si>
  <si>
    <t>Change in Auxiliary Load</t>
  </si>
  <si>
    <t>max CCS equivalent parasitic load (energy penalty) under each operational mode, as a percent of base NGCC power output without CCS</t>
  </si>
  <si>
    <t>CO2 Emission Rate</t>
  </si>
  <si>
    <t>t CO2/MWh</t>
  </si>
  <si>
    <t>CO2 Vented from PCC</t>
  </si>
  <si>
    <t>CO2 Vented from PCC - DAC Capture</t>
  </si>
  <si>
    <t>Water Demand, gpm</t>
  </si>
  <si>
    <t>Dearator vent and evaporator blowdown, gpm</t>
  </si>
  <si>
    <t>Cooling tower</t>
  </si>
  <si>
    <t>Total Water Demand</t>
  </si>
  <si>
    <t>HRSG (Condenser/BFW Makeup)</t>
  </si>
  <si>
    <t>Total Raw Water Demand</t>
  </si>
  <si>
    <t>Total Process Water Discharge</t>
  </si>
  <si>
    <t>Raw Water Consumption</t>
  </si>
  <si>
    <t>Cooling tower evaporation, gpm</t>
  </si>
  <si>
    <t>PCC System</t>
  </si>
  <si>
    <t>Total Raw Water Consumption, gpm</t>
  </si>
  <si>
    <t>Dearator vent and evaporator blowdown</t>
  </si>
  <si>
    <t>Total Raw Water Withdrawal</t>
  </si>
  <si>
    <t>Cooling tower blowdown</t>
  </si>
  <si>
    <t>BFW Makeup</t>
  </si>
  <si>
    <t>DAC System Evaporation</t>
  </si>
  <si>
    <t>DAC System Makeup</t>
  </si>
  <si>
    <t>Cooling tower Evaporation</t>
  </si>
  <si>
    <t>Total Raw Water Consumption</t>
  </si>
  <si>
    <t>PCC System Makeup</t>
  </si>
  <si>
    <t xml:space="preserve">  HX-9 (Condensate Cooler)</t>
  </si>
  <si>
    <t>PCC Compression (0.076 MW/tonne CO2 for load &gt;  37.5%, 7140 kW for load &lt; 37.5%)</t>
  </si>
  <si>
    <t>so (959 Btu/lbm steam) * (tonne CO2/6.633 MMBTU) * (MMBTU/1e6 BTU) = 1.446e-4 tonne CO2/lbm steam</t>
  </si>
  <si>
    <t xml:space="preserve">Steam consumption per Realff = 7 GJ/tonne CO2 = 1944 kWh / tonne CO2 = 6.63 MMBTU/tonne CO2; 20.8 psia steam has a hv-hf = 959 BTU/lb; </t>
  </si>
  <si>
    <t xml:space="preserve">DOE Report for B31A Cooling Load </t>
  </si>
  <si>
    <t>Miscellaneous Cooling Load</t>
  </si>
  <si>
    <t xml:space="preserve">  PCC + PCC Compression (Assume 5.864 MMBTU/tonne CO2)</t>
  </si>
  <si>
    <t>2 X 50%</t>
  </si>
  <si>
    <t>ESTIMATE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</si>
</sst>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_(* #,##0.0_);_(* \(#,##0.0\);_(* &quot;-&quot;??_);_(@_)"/>
    <numFmt numFmtId="167" formatCode="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1">
    <xf numFmtId="0" fontId="0" fillId="0" borderId="0" xfId="0"/>
    <xf numFmtId="43" fontId="0" fillId="0" borderId="0" xfId="1" applyFont="1"/>
    <xf numFmtId="164" fontId="0" fillId="0" borderId="0" xfId="1" applyNumberFormat="1" applyFont="1"/>
    <xf numFmtId="164" fontId="0" fillId="0" borderId="0" xfId="0" applyNumberFormat="1"/>
    <xf numFmtId="0" fontId="0" fillId="0" borderId="1" xfId="0" applyBorder="1"/>
    <xf numFmtId="164" fontId="0" fillId="0" borderId="1" xfId="1" applyNumberFormat="1" applyFont="1" applyBorder="1"/>
    <xf numFmtId="0" fontId="2" fillId="0" borderId="1" xfId="0" applyFont="1" applyBorder="1"/>
    <xf numFmtId="164" fontId="0" fillId="0" borderId="1" xfId="0" applyNumberFormat="1" applyBorder="1"/>
    <xf numFmtId="165" fontId="0" fillId="0" borderId="1" xfId="2" applyNumberFormat="1" applyFont="1" applyBorder="1"/>
    <xf numFmtId="0" fontId="2" fillId="0" borderId="1" xfId="0" applyFont="1" applyBorder="1" applyAlignment="1">
      <alignment wrapText="1"/>
    </xf>
    <xf numFmtId="9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/>
    <xf numFmtId="9" fontId="0" fillId="0" borderId="0" xfId="2" applyFont="1"/>
    <xf numFmtId="43" fontId="0" fillId="0" borderId="0" xfId="0" applyNumberFormat="1"/>
    <xf numFmtId="166" fontId="0" fillId="0" borderId="0" xfId="0" applyNumberFormat="1"/>
    <xf numFmtId="164" fontId="0" fillId="0" borderId="0" xfId="1" applyNumberFormat="1" applyFont="1" applyBorder="1"/>
    <xf numFmtId="167" fontId="0" fillId="0" borderId="0" xfId="0" applyNumberFormat="1"/>
    <xf numFmtId="2" fontId="0" fillId="0" borderId="0" xfId="0" applyNumberFormat="1"/>
    <xf numFmtId="1" fontId="0" fillId="0" borderId="0" xfId="0" applyNumberFormat="1"/>
    <xf numFmtId="0" fontId="0" fillId="0" borderId="0" xfId="0" applyFill="1"/>
    <xf numFmtId="0" fontId="2" fillId="0" borderId="0" xfId="0" applyFont="1" applyFill="1"/>
    <xf numFmtId="43" fontId="0" fillId="0" borderId="0" xfId="0" applyNumberFormat="1" applyFill="1"/>
    <xf numFmtId="166" fontId="0" fillId="0" borderId="0" xfId="0" applyNumberFormat="1" applyFill="1"/>
    <xf numFmtId="164" fontId="0" fillId="0" borderId="0" xfId="0" applyNumberFormat="1" applyFill="1"/>
    <xf numFmtId="164" fontId="0" fillId="0" borderId="0" xfId="1" applyNumberFormat="1" applyFont="1" applyFill="1"/>
    <xf numFmtId="0" fontId="0" fillId="0" borderId="0" xfId="0" applyBorder="1"/>
    <xf numFmtId="0" fontId="0" fillId="0" borderId="0" xfId="0" applyFill="1" applyAlignment="1">
      <alignment wrapText="1"/>
    </xf>
    <xf numFmtId="0" fontId="0" fillId="0" borderId="1" xfId="0" applyFill="1" applyBorder="1"/>
    <xf numFmtId="164" fontId="0" fillId="0" borderId="1" xfId="1" applyNumberFormat="1" applyFont="1" applyFill="1" applyBorder="1"/>
    <xf numFmtId="0" fontId="0" fillId="0" borderId="0" xfId="0" applyAlignment="1">
      <alignment wrapText="1"/>
    </xf>
    <xf numFmtId="0" fontId="0" fillId="0" borderId="0" xfId="0" applyAlignment="1">
      <alignment horizontal="left" wrapText="1" indent="1"/>
    </xf>
    <xf numFmtId="0" fontId="0" fillId="0" borderId="0" xfId="0" applyFont="1" applyAlignment="1">
      <alignment horizontal="left" wrapText="1" indent="1"/>
    </xf>
    <xf numFmtId="0" fontId="0" fillId="0" borderId="0" xfId="0" applyAlignment="1">
      <alignment horizontal="left" indent="1"/>
    </xf>
    <xf numFmtId="0" fontId="0" fillId="0" borderId="0" xfId="0" applyFont="1" applyAlignment="1">
      <alignment horizontal="left" wrapText="1" indent="2"/>
    </xf>
    <xf numFmtId="0" fontId="0" fillId="0" borderId="1" xfId="0" applyBorder="1" applyAlignment="1">
      <alignment horizontal="left" indent="1"/>
    </xf>
    <xf numFmtId="0" fontId="0" fillId="0" borderId="1" xfId="0" applyFont="1" applyBorder="1" applyAlignment="1">
      <alignment horizontal="left" wrapText="1" indent="2"/>
    </xf>
    <xf numFmtId="0" fontId="0" fillId="0" borderId="1" xfId="0" applyBorder="1" applyAlignment="1">
      <alignment horizontal="left" wrapText="1" indent="1"/>
    </xf>
    <xf numFmtId="0" fontId="0" fillId="0" borderId="1" xfId="0" applyFont="1" applyBorder="1" applyAlignment="1">
      <alignment horizontal="left" wrapText="1" indent="1"/>
    </xf>
    <xf numFmtId="0" fontId="0" fillId="0" borderId="1" xfId="0" applyBorder="1" applyAlignment="1">
      <alignment wrapText="1"/>
    </xf>
    <xf numFmtId="0" fontId="3" fillId="0" borderId="1" xfId="0" applyFont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F7908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'No Carbon Capture'!$N$6:$N$10</c:f>
              <c:numCache>
                <c:formatCode>General</c:formatCode>
                <c:ptCount val="5"/>
                <c:pt idx="0">
                  <c:v>1</c:v>
                </c:pt>
                <c:pt idx="1">
                  <c:v>0.9</c:v>
                </c:pt>
                <c:pt idx="2">
                  <c:v>0.8</c:v>
                </c:pt>
                <c:pt idx="3">
                  <c:v>0.7</c:v>
                </c:pt>
                <c:pt idx="4">
                  <c:v>0.6</c:v>
                </c:pt>
              </c:numCache>
            </c:numRef>
          </c:xVal>
          <c:yVal>
            <c:numRef>
              <c:f>'No Carbon Capture'!$O$6:$O$10</c:f>
              <c:numCache>
                <c:formatCode>_(* #,##0_);_(* \(#,##0\);_(* "-"??_);_(@_)</c:formatCode>
                <c:ptCount val="5"/>
                <c:pt idx="0" formatCode="General">
                  <c:v>21.126000000000001</c:v>
                </c:pt>
                <c:pt idx="1">
                  <c:v>19.756</c:v>
                </c:pt>
                <c:pt idx="2" formatCode="General">
                  <c:v>18.152000000000001</c:v>
                </c:pt>
                <c:pt idx="3" formatCode="General">
                  <c:v>16.654</c:v>
                </c:pt>
                <c:pt idx="4" formatCode="General">
                  <c:v>15.212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85-44BB-A700-7302879820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9287791"/>
        <c:axId val="729286543"/>
      </c:scatterChart>
      <c:valAx>
        <c:axId val="729287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286543"/>
        <c:crosses val="autoZero"/>
        <c:crossBetween val="midCat"/>
      </c:valAx>
      <c:valAx>
        <c:axId val="729286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2877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600075</xdr:colOff>
      <xdr:row>11</xdr:row>
      <xdr:rowOff>100012</xdr:rowOff>
    </xdr:from>
    <xdr:to>
      <xdr:col>20</xdr:col>
      <xdr:colOff>295275</xdr:colOff>
      <xdr:row>25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2787A0-40E5-4EB1-B6C6-E1A7DB9DA5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DEC84-7C80-40CB-AD94-B6C2EB4000FD}">
  <dimension ref="A1:O93"/>
  <sheetViews>
    <sheetView topLeftCell="A58" workbookViewId="0">
      <selection activeCell="K86" sqref="K86"/>
    </sheetView>
  </sheetViews>
  <sheetFormatPr defaultRowHeight="15" x14ac:dyDescent="0.25"/>
  <cols>
    <col min="1" max="1" width="31.7109375" customWidth="1"/>
    <col min="2" max="2" width="10.5703125" bestFit="1" customWidth="1"/>
    <col min="3" max="3" width="13.28515625" bestFit="1" customWidth="1"/>
    <col min="4" max="4" width="12" customWidth="1"/>
    <col min="5" max="5" width="13" customWidth="1"/>
    <col min="6" max="7" width="11.5703125" bestFit="1" customWidth="1"/>
    <col min="8" max="8" width="11.5703125" customWidth="1"/>
    <col min="9" max="9" width="11.5703125" bestFit="1" customWidth="1"/>
    <col min="10" max="12" width="10.5703125" bestFit="1" customWidth="1"/>
  </cols>
  <sheetData>
    <row r="1" spans="1:15" ht="30" x14ac:dyDescent="0.25">
      <c r="A1" s="9" t="s">
        <v>42</v>
      </c>
      <c r="B1" s="4"/>
      <c r="C1" s="10">
        <v>1</v>
      </c>
      <c r="D1" s="10">
        <v>0.9</v>
      </c>
      <c r="E1" s="10">
        <v>0.8</v>
      </c>
      <c r="F1" s="10">
        <v>0.7</v>
      </c>
      <c r="G1" s="10">
        <v>0.6</v>
      </c>
      <c r="H1" s="10">
        <v>0.5</v>
      </c>
      <c r="I1" s="10">
        <v>0.5</v>
      </c>
      <c r="J1" s="10">
        <v>0.4</v>
      </c>
      <c r="K1" s="10">
        <v>0.3</v>
      </c>
      <c r="L1" s="10">
        <v>0.25</v>
      </c>
    </row>
    <row r="2" spans="1:15" x14ac:dyDescent="0.25">
      <c r="A2" s="6" t="s">
        <v>43</v>
      </c>
      <c r="B2" s="4"/>
      <c r="C2" s="11" t="s">
        <v>0</v>
      </c>
      <c r="D2" s="11" t="s">
        <v>1</v>
      </c>
      <c r="E2" s="11" t="s">
        <v>2</v>
      </c>
      <c r="F2" s="11" t="s">
        <v>3</v>
      </c>
      <c r="G2" s="11" t="s">
        <v>4</v>
      </c>
      <c r="H2" s="11" t="s">
        <v>128</v>
      </c>
      <c r="I2" s="11" t="s">
        <v>5</v>
      </c>
      <c r="J2" s="11" t="s">
        <v>6</v>
      </c>
      <c r="K2" s="11" t="s">
        <v>7</v>
      </c>
      <c r="L2" s="11" t="s">
        <v>8</v>
      </c>
    </row>
    <row r="3" spans="1:15" x14ac:dyDescent="0.25">
      <c r="A3" s="4"/>
      <c r="B3" s="4"/>
      <c r="C3" s="4"/>
      <c r="D3" s="4"/>
      <c r="E3" s="4"/>
      <c r="F3" s="4"/>
      <c r="G3" s="4"/>
      <c r="H3" s="40" t="s">
        <v>129</v>
      </c>
      <c r="I3" s="4"/>
      <c r="J3" s="4"/>
      <c r="K3" s="4"/>
      <c r="L3" s="4"/>
    </row>
    <row r="4" spans="1:15" x14ac:dyDescent="0.25">
      <c r="A4" s="6" t="s">
        <v>41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</row>
    <row r="5" spans="1:15" x14ac:dyDescent="0.25">
      <c r="A5" s="4" t="s">
        <v>9</v>
      </c>
      <c r="B5" s="4" t="s">
        <v>15</v>
      </c>
      <c r="C5" s="5">
        <v>477000</v>
      </c>
      <c r="D5" s="5">
        <v>429300</v>
      </c>
      <c r="E5" s="5">
        <f>477000*0.8</f>
        <v>381600</v>
      </c>
      <c r="F5" s="5">
        <f>477000*0.7</f>
        <v>333900</v>
      </c>
      <c r="G5" s="5">
        <v>286200</v>
      </c>
      <c r="H5" s="5">
        <f>L5*2</f>
        <v>238500</v>
      </c>
      <c r="I5" s="5">
        <v>238500</v>
      </c>
      <c r="J5" s="5">
        <v>190800</v>
      </c>
      <c r="K5" s="5">
        <v>143100</v>
      </c>
      <c r="L5" s="5">
        <v>119250</v>
      </c>
    </row>
    <row r="6" spans="1:15" x14ac:dyDescent="0.25">
      <c r="A6" s="4"/>
      <c r="B6" s="4"/>
      <c r="C6" s="5"/>
      <c r="D6" s="5"/>
      <c r="E6" s="5"/>
      <c r="F6" s="5"/>
      <c r="G6" s="5"/>
      <c r="H6" s="5"/>
      <c r="I6" s="5"/>
      <c r="J6" s="5"/>
      <c r="K6" s="5"/>
      <c r="L6" s="5"/>
      <c r="N6">
        <v>1</v>
      </c>
      <c r="O6">
        <v>21.126000000000001</v>
      </c>
    </row>
    <row r="7" spans="1:15" x14ac:dyDescent="0.25">
      <c r="A7" s="4" t="s">
        <v>10</v>
      </c>
      <c r="B7" s="4" t="s">
        <v>15</v>
      </c>
      <c r="C7" s="5">
        <f>SUM(C8:C10)</f>
        <v>253213</v>
      </c>
      <c r="D7" s="5">
        <f t="shared" ref="D7:L7" si="0">SUM(D8:D10)</f>
        <v>240250</v>
      </c>
      <c r="E7" s="5">
        <f t="shared" si="0"/>
        <v>223906.38727577706</v>
      </c>
      <c r="F7" s="5">
        <f t="shared" si="0"/>
        <v>206301.76020466225</v>
      </c>
      <c r="G7" s="5">
        <f t="shared" si="0"/>
        <v>189132.74288488424</v>
      </c>
      <c r="H7" s="5">
        <f t="shared" si="0"/>
        <v>173928.5</v>
      </c>
      <c r="I7" s="5">
        <f t="shared" si="0"/>
        <v>119282.17322596519</v>
      </c>
      <c r="J7" s="5">
        <f t="shared" si="0"/>
        <v>105890.95557237134</v>
      </c>
      <c r="K7" s="5">
        <f t="shared" si="0"/>
        <v>89481.550915325497</v>
      </c>
      <c r="L7" s="5">
        <f t="shared" si="0"/>
        <v>77289.387861606432</v>
      </c>
      <c r="N7">
        <v>0.9</v>
      </c>
      <c r="O7" s="3">
        <v>19.756</v>
      </c>
    </row>
    <row r="8" spans="1:15" x14ac:dyDescent="0.25">
      <c r="A8" s="4" t="s">
        <v>11</v>
      </c>
      <c r="B8" s="4" t="s">
        <v>15</v>
      </c>
      <c r="C8" s="5">
        <v>51972</v>
      </c>
      <c r="D8" s="5">
        <v>49071</v>
      </c>
      <c r="E8" s="5">
        <v>45319.089143533667</v>
      </c>
      <c r="F8" s="5">
        <v>41478.869258139806</v>
      </c>
      <c r="G8" s="5">
        <v>37769.654864154174</v>
      </c>
      <c r="H8" s="5">
        <f>35997*0.5+16325</f>
        <v>34323.5</v>
      </c>
      <c r="I8" s="5">
        <v>23382.039109979076</v>
      </c>
      <c r="J8" s="5">
        <v>20608.606257284562</v>
      </c>
      <c r="K8" s="5">
        <v>17152.955097053844</v>
      </c>
      <c r="L8" s="5">
        <v>14594.606855477406</v>
      </c>
      <c r="N8">
        <v>0.8</v>
      </c>
      <c r="O8">
        <v>18.152000000000001</v>
      </c>
    </row>
    <row r="9" spans="1:15" x14ac:dyDescent="0.25">
      <c r="A9" s="4" t="s">
        <v>12</v>
      </c>
      <c r="B9" s="4" t="s">
        <v>15</v>
      </c>
      <c r="C9" s="5">
        <v>81254</v>
      </c>
      <c r="D9" s="5">
        <v>77718</v>
      </c>
      <c r="E9" s="5">
        <v>73429.300887740639</v>
      </c>
      <c r="F9" s="5">
        <v>68546.12245106668</v>
      </c>
      <c r="G9" s="5">
        <v>63672.460595487726</v>
      </c>
      <c r="H9" s="5">
        <f>44335*0.5+37456</f>
        <v>59623.5</v>
      </c>
      <c r="I9" s="5">
        <v>43729.807886934308</v>
      </c>
      <c r="J9" s="5">
        <v>39547.015542561647</v>
      </c>
      <c r="K9" s="5">
        <v>34336.86636006958</v>
      </c>
      <c r="L9" s="5">
        <v>30062.439375789636</v>
      </c>
      <c r="N9">
        <v>0.7</v>
      </c>
      <c r="O9">
        <v>16.654</v>
      </c>
    </row>
    <row r="10" spans="1:15" x14ac:dyDescent="0.25">
      <c r="A10" s="4" t="s">
        <v>13</v>
      </c>
      <c r="B10" s="4" t="s">
        <v>15</v>
      </c>
      <c r="C10" s="5">
        <v>119987</v>
      </c>
      <c r="D10" s="5">
        <v>113461</v>
      </c>
      <c r="E10" s="5">
        <v>105157.99724450274</v>
      </c>
      <c r="F10" s="5">
        <v>96276.768495455763</v>
      </c>
      <c r="G10" s="5">
        <v>87690.627425242317</v>
      </c>
      <c r="H10" s="5">
        <f>81777*0.5+39093</f>
        <v>79981.5</v>
      </c>
      <c r="I10" s="5">
        <v>52170.326229051803</v>
      </c>
      <c r="J10" s="5">
        <v>45735.33377252514</v>
      </c>
      <c r="K10" s="5">
        <v>37991.729458202077</v>
      </c>
      <c r="L10" s="5">
        <v>32632.341630339382</v>
      </c>
      <c r="N10">
        <v>0.6</v>
      </c>
      <c r="O10">
        <v>15.212</v>
      </c>
    </row>
    <row r="11" spans="1:15" x14ac:dyDescent="0.25">
      <c r="A11" s="4"/>
      <c r="B11" s="4"/>
      <c r="C11" s="5"/>
      <c r="D11" s="4"/>
      <c r="E11" s="4"/>
      <c r="F11" s="4"/>
      <c r="G11" s="4"/>
      <c r="H11" s="4"/>
      <c r="I11" s="4"/>
      <c r="J11" s="4"/>
      <c r="K11" s="4"/>
      <c r="L11" s="4"/>
    </row>
    <row r="12" spans="1:15" x14ac:dyDescent="0.25">
      <c r="A12" s="4" t="s">
        <v>14</v>
      </c>
      <c r="B12" s="4" t="s">
        <v>15</v>
      </c>
      <c r="C12" s="5">
        <f>C5+C7</f>
        <v>730213</v>
      </c>
      <c r="D12" s="5">
        <f t="shared" ref="D12:L12" si="1">D5+D7</f>
        <v>669550</v>
      </c>
      <c r="E12" s="5">
        <f t="shared" si="1"/>
        <v>605506.38727577706</v>
      </c>
      <c r="F12" s="5">
        <f t="shared" si="1"/>
        <v>540201.76020466222</v>
      </c>
      <c r="G12" s="5">
        <f t="shared" si="1"/>
        <v>475332.74288488424</v>
      </c>
      <c r="H12" s="5">
        <f t="shared" si="1"/>
        <v>412428.5</v>
      </c>
      <c r="I12" s="5">
        <f t="shared" si="1"/>
        <v>357782.17322596518</v>
      </c>
      <c r="J12" s="5">
        <f t="shared" si="1"/>
        <v>296690.95557237137</v>
      </c>
      <c r="K12" s="5">
        <f t="shared" si="1"/>
        <v>232581.5509153255</v>
      </c>
      <c r="L12" s="5">
        <f t="shared" si="1"/>
        <v>196539.38786160643</v>
      </c>
    </row>
    <row r="13" spans="1:15" x14ac:dyDescent="0.2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</row>
    <row r="14" spans="1:15" x14ac:dyDescent="0.25">
      <c r="A14" s="6" t="s">
        <v>16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</row>
    <row r="15" spans="1:15" x14ac:dyDescent="0.25">
      <c r="A15" s="4" t="s">
        <v>17</v>
      </c>
      <c r="B15" s="4" t="s">
        <v>15</v>
      </c>
      <c r="C15" s="5">
        <f>(C$40/1332)*2810</f>
        <v>2737.0075075075079</v>
      </c>
      <c r="D15" s="5">
        <f t="shared" ref="D15:L15" si="2">(D$40/1332)*2810</f>
        <v>2618.2364864864862</v>
      </c>
      <c r="E15" s="5">
        <f t="shared" si="2"/>
        <v>2464.867867867868</v>
      </c>
      <c r="F15" s="5">
        <f t="shared" si="2"/>
        <v>2298.4196696696695</v>
      </c>
      <c r="G15" s="5">
        <f t="shared" si="2"/>
        <v>2134.2920420420423</v>
      </c>
      <c r="H15" s="5">
        <f t="shared" si="2"/>
        <v>1898.057957957958</v>
      </c>
      <c r="I15" s="5">
        <f t="shared" si="2"/>
        <v>1423.7755255255256</v>
      </c>
      <c r="J15" s="5">
        <f t="shared" si="2"/>
        <v>1285.8070570570571</v>
      </c>
      <c r="K15" s="5">
        <f t="shared" si="2"/>
        <v>1114.2957957957958</v>
      </c>
      <c r="L15" s="5">
        <f t="shared" si="2"/>
        <v>1002.9084084084084</v>
      </c>
    </row>
    <row r="16" spans="1:15" x14ac:dyDescent="0.25">
      <c r="A16" s="4" t="s">
        <v>18</v>
      </c>
      <c r="B16" s="4" t="s">
        <v>15</v>
      </c>
      <c r="C16" s="5">
        <v>1020</v>
      </c>
      <c r="D16" s="7">
        <f>C16</f>
        <v>1020</v>
      </c>
      <c r="E16" s="7">
        <f t="shared" ref="E16:L16" si="3">D16</f>
        <v>1020</v>
      </c>
      <c r="F16" s="7">
        <f t="shared" si="3"/>
        <v>1020</v>
      </c>
      <c r="G16" s="7">
        <f t="shared" si="3"/>
        <v>1020</v>
      </c>
      <c r="H16" s="7">
        <f t="shared" si="3"/>
        <v>1020</v>
      </c>
      <c r="I16" s="7">
        <f>G16</f>
        <v>1020</v>
      </c>
      <c r="J16" s="7">
        <f t="shared" si="3"/>
        <v>1020</v>
      </c>
      <c r="K16" s="7">
        <f t="shared" si="3"/>
        <v>1020</v>
      </c>
      <c r="L16" s="7">
        <f t="shared" si="3"/>
        <v>1020</v>
      </c>
    </row>
    <row r="17" spans="1:12" x14ac:dyDescent="0.25">
      <c r="A17" s="4" t="s">
        <v>19</v>
      </c>
      <c r="B17" s="4" t="s">
        <v>15</v>
      </c>
      <c r="C17" s="5">
        <v>178</v>
      </c>
      <c r="D17" s="5">
        <v>170</v>
      </c>
      <c r="E17" s="5">
        <v>159</v>
      </c>
      <c r="F17" s="5">
        <v>148</v>
      </c>
      <c r="G17" s="5">
        <v>137</v>
      </c>
      <c r="H17" s="5">
        <f>104*0.5+75.2</f>
        <v>127.2</v>
      </c>
      <c r="I17" s="5">
        <v>89</v>
      </c>
      <c r="J17" s="5">
        <v>80</v>
      </c>
      <c r="K17" s="5">
        <v>69</v>
      </c>
      <c r="L17" s="5">
        <v>62</v>
      </c>
    </row>
    <row r="18" spans="1:12" x14ac:dyDescent="0.25">
      <c r="A18" s="4" t="s">
        <v>20</v>
      </c>
      <c r="B18" s="4" t="s">
        <v>15</v>
      </c>
      <c r="C18" s="5">
        <f>(C$40/1332)*1460</f>
        <v>1422.0750750750751</v>
      </c>
      <c r="D18" s="5">
        <f t="shared" ref="D18:L18" si="4">(D$40/1332)*1460</f>
        <v>1360.3648648648648</v>
      </c>
      <c r="E18" s="5">
        <f t="shared" si="4"/>
        <v>1280.6786786786788</v>
      </c>
      <c r="F18" s="5">
        <f t="shared" si="4"/>
        <v>1194.1966966966966</v>
      </c>
      <c r="G18" s="5">
        <f t="shared" si="4"/>
        <v>1108.9204204204204</v>
      </c>
      <c r="H18" s="5">
        <f t="shared" si="4"/>
        <v>986.17957957957958</v>
      </c>
      <c r="I18" s="5">
        <f t="shared" si="4"/>
        <v>739.75525525525529</v>
      </c>
      <c r="J18" s="5">
        <f t="shared" si="4"/>
        <v>668.07057057057057</v>
      </c>
      <c r="K18" s="5">
        <f t="shared" si="4"/>
        <v>578.957957957958</v>
      </c>
      <c r="L18" s="5">
        <f t="shared" si="4"/>
        <v>521.08408408408411</v>
      </c>
    </row>
    <row r="19" spans="1:12" x14ac:dyDescent="0.25">
      <c r="A19" s="4" t="s">
        <v>21</v>
      </c>
      <c r="B19" s="4" t="s">
        <v>15</v>
      </c>
      <c r="C19" s="5">
        <f>(2498+219)*2</f>
        <v>5434</v>
      </c>
      <c r="D19" s="5">
        <f>(207+2315)*2</f>
        <v>5044</v>
      </c>
      <c r="E19" s="5">
        <f>(2071+199)*2</f>
        <v>4540</v>
      </c>
      <c r="F19" s="5">
        <f>(1833+180)*2</f>
        <v>4026</v>
      </c>
      <c r="G19" s="5">
        <f>(161+1616)*2</f>
        <v>3554</v>
      </c>
      <c r="H19" s="5">
        <f>4778*0.5+697.2</f>
        <v>3086.2</v>
      </c>
      <c r="I19" s="5">
        <f>(128+1770)</f>
        <v>1898</v>
      </c>
      <c r="J19" s="5">
        <f>(115+1518)</f>
        <v>1633</v>
      </c>
      <c r="K19" s="5">
        <f>(1225+93)</f>
        <v>1318</v>
      </c>
      <c r="L19" s="5">
        <f>(75+1032)</f>
        <v>1107</v>
      </c>
    </row>
    <row r="20" spans="1:12" x14ac:dyDescent="0.25">
      <c r="A20" s="4" t="s">
        <v>22</v>
      </c>
      <c r="B20" s="4" t="s">
        <v>15</v>
      </c>
      <c r="C20" s="5">
        <f t="shared" ref="C20:L20" si="5">260*(C45/2902)</f>
        <v>254.70266553252083</v>
      </c>
      <c r="D20" s="5">
        <f t="shared" si="5"/>
        <v>243.60936744463274</v>
      </c>
      <c r="E20" s="5">
        <f t="shared" si="5"/>
        <v>229.29941881233407</v>
      </c>
      <c r="F20" s="5">
        <f t="shared" si="5"/>
        <v>213.79084199982199</v>
      </c>
      <c r="G20" s="5">
        <f t="shared" si="5"/>
        <v>198.50162718887046</v>
      </c>
      <c r="H20" s="5">
        <f t="shared" si="5"/>
        <v>176.54595378976495</v>
      </c>
      <c r="I20" s="5">
        <f t="shared" si="5"/>
        <v>132.44328610485056</v>
      </c>
      <c r="J20" s="5">
        <f t="shared" si="5"/>
        <v>119.5783848562553</v>
      </c>
      <c r="K20" s="5">
        <f t="shared" si="5"/>
        <v>103.6120019951033</v>
      </c>
      <c r="L20" s="5">
        <f t="shared" si="5"/>
        <v>93.306788566650738</v>
      </c>
    </row>
    <row r="21" spans="1:12" x14ac:dyDescent="0.25">
      <c r="A21" s="4" t="s">
        <v>23</v>
      </c>
      <c r="B21" s="4" t="s">
        <v>15</v>
      </c>
      <c r="C21" s="5">
        <v>570</v>
      </c>
      <c r="D21" s="7">
        <f>C21</f>
        <v>570</v>
      </c>
      <c r="E21" s="7">
        <f t="shared" ref="E21:L22" si="6">D21</f>
        <v>570</v>
      </c>
      <c r="F21" s="7">
        <f t="shared" si="6"/>
        <v>570</v>
      </c>
      <c r="G21" s="7">
        <f t="shared" si="6"/>
        <v>570</v>
      </c>
      <c r="H21" s="7">
        <f t="shared" si="6"/>
        <v>570</v>
      </c>
      <c r="I21" s="7">
        <f>G21</f>
        <v>570</v>
      </c>
      <c r="J21" s="7">
        <f t="shared" si="6"/>
        <v>570</v>
      </c>
      <c r="K21" s="7">
        <f t="shared" si="6"/>
        <v>570</v>
      </c>
      <c r="L21" s="7">
        <f t="shared" si="6"/>
        <v>570</v>
      </c>
    </row>
    <row r="22" spans="1:12" x14ac:dyDescent="0.25">
      <c r="A22" s="4" t="s">
        <v>24</v>
      </c>
      <c r="B22" s="4" t="s">
        <v>15</v>
      </c>
      <c r="C22" s="5">
        <v>2</v>
      </c>
      <c r="D22" s="7">
        <f>C22</f>
        <v>2</v>
      </c>
      <c r="E22" s="7">
        <f t="shared" si="6"/>
        <v>2</v>
      </c>
      <c r="F22" s="7">
        <f t="shared" si="6"/>
        <v>2</v>
      </c>
      <c r="G22" s="7">
        <f t="shared" si="6"/>
        <v>2</v>
      </c>
      <c r="H22" s="7">
        <f t="shared" si="6"/>
        <v>2</v>
      </c>
      <c r="I22" s="7">
        <f>G22</f>
        <v>2</v>
      </c>
      <c r="J22" s="7">
        <f t="shared" si="6"/>
        <v>2</v>
      </c>
      <c r="K22" s="7">
        <f t="shared" si="6"/>
        <v>2</v>
      </c>
      <c r="L22" s="7">
        <f t="shared" si="6"/>
        <v>2</v>
      </c>
    </row>
    <row r="23" spans="1:12" x14ac:dyDescent="0.25">
      <c r="A23" s="4" t="s">
        <v>35</v>
      </c>
      <c r="B23" s="4" t="s">
        <v>15</v>
      </c>
      <c r="C23" s="5">
        <v>200</v>
      </c>
      <c r="D23" s="5">
        <v>200</v>
      </c>
      <c r="E23" s="5">
        <v>200</v>
      </c>
      <c r="F23" s="5">
        <v>200</v>
      </c>
      <c r="G23" s="5">
        <v>200</v>
      </c>
      <c r="H23" s="5">
        <v>200</v>
      </c>
      <c r="I23" s="5">
        <v>200</v>
      </c>
      <c r="J23" s="5">
        <v>200</v>
      </c>
      <c r="K23" s="5">
        <v>200</v>
      </c>
      <c r="L23" s="5">
        <v>200</v>
      </c>
    </row>
    <row r="24" spans="1:12" x14ac:dyDescent="0.25">
      <c r="A24" s="4" t="s">
        <v>25</v>
      </c>
      <c r="B24" s="4" t="s">
        <v>15</v>
      </c>
      <c r="C24" s="5">
        <v>2250</v>
      </c>
      <c r="D24" s="5">
        <v>2250</v>
      </c>
      <c r="E24" s="5">
        <v>2250</v>
      </c>
      <c r="F24" s="5">
        <v>2250</v>
      </c>
      <c r="G24" s="5">
        <v>2250</v>
      </c>
      <c r="H24" s="5">
        <v>2250</v>
      </c>
      <c r="I24" s="5">
        <v>2250</v>
      </c>
      <c r="J24" s="5">
        <v>2250</v>
      </c>
      <c r="K24" s="5">
        <v>2250</v>
      </c>
      <c r="L24" s="5">
        <v>2250</v>
      </c>
    </row>
    <row r="25" spans="1:12" x14ac:dyDescent="0.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</row>
    <row r="26" spans="1:12" x14ac:dyDescent="0.25">
      <c r="A26" s="4" t="s">
        <v>26</v>
      </c>
      <c r="B26" s="4" t="s">
        <v>15</v>
      </c>
      <c r="C26" s="5">
        <f>SUM(C15:C24)</f>
        <v>14067.785248115104</v>
      </c>
      <c r="D26" s="5">
        <f t="shared" ref="D26:L26" si="7">SUM(D15:D24)</f>
        <v>13478.210718795983</v>
      </c>
      <c r="E26" s="5">
        <f t="shared" si="7"/>
        <v>12715.84596535888</v>
      </c>
      <c r="F26" s="5">
        <f t="shared" si="7"/>
        <v>11922.407208366189</v>
      </c>
      <c r="G26" s="5">
        <f t="shared" si="7"/>
        <v>11174.714089651334</v>
      </c>
      <c r="H26" s="5">
        <f t="shared" si="7"/>
        <v>10316.183491327301</v>
      </c>
      <c r="I26" s="5">
        <f t="shared" si="7"/>
        <v>8324.9740668856321</v>
      </c>
      <c r="J26" s="5">
        <f t="shared" si="7"/>
        <v>7828.4560124838827</v>
      </c>
      <c r="K26" s="5">
        <f t="shared" si="7"/>
        <v>7225.8657557488568</v>
      </c>
      <c r="L26" s="5">
        <f t="shared" si="7"/>
        <v>6828.2992810591431</v>
      </c>
    </row>
    <row r="27" spans="1:12" x14ac:dyDescent="0.2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</row>
    <row r="28" spans="1:12" x14ac:dyDescent="0.25">
      <c r="A28" s="6" t="s">
        <v>29</v>
      </c>
      <c r="B28" s="4" t="s">
        <v>15</v>
      </c>
      <c r="C28" s="7">
        <f>C12-C26</f>
        <v>716145.21475188492</v>
      </c>
      <c r="D28" s="7">
        <f t="shared" ref="D28:L28" si="8">D12-D26</f>
        <v>656071.78928120399</v>
      </c>
      <c r="E28" s="7">
        <f t="shared" si="8"/>
        <v>592790.54131041816</v>
      </c>
      <c r="F28" s="7">
        <f t="shared" si="8"/>
        <v>528279.35299629602</v>
      </c>
      <c r="G28" s="7">
        <f t="shared" si="8"/>
        <v>464158.02879523288</v>
      </c>
      <c r="H28" s="7">
        <f t="shared" si="8"/>
        <v>402112.31650867272</v>
      </c>
      <c r="I28" s="7">
        <f t="shared" si="8"/>
        <v>349457.19915907952</v>
      </c>
      <c r="J28" s="7">
        <f t="shared" si="8"/>
        <v>288862.49955988751</v>
      </c>
      <c r="K28" s="7">
        <f t="shared" si="8"/>
        <v>225355.68515957665</v>
      </c>
      <c r="L28" s="7">
        <f t="shared" si="8"/>
        <v>189711.08858054728</v>
      </c>
    </row>
    <row r="29" spans="1:12" x14ac:dyDescent="0.2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</row>
    <row r="30" spans="1:12" x14ac:dyDescent="0.25">
      <c r="A30" s="4" t="s">
        <v>36</v>
      </c>
      <c r="B30" s="4" t="s">
        <v>37</v>
      </c>
      <c r="C30" s="5">
        <v>205630</v>
      </c>
      <c r="D30" s="5">
        <v>191585.47099999999</v>
      </c>
      <c r="E30" s="5">
        <v>177540.94199999998</v>
      </c>
      <c r="F30" s="5">
        <v>161501.802</v>
      </c>
      <c r="G30" s="5">
        <v>145195.34299999999</v>
      </c>
      <c r="H30" s="5">
        <f>L30*2</f>
        <v>127388</v>
      </c>
      <c r="I30" s="5">
        <v>102815</v>
      </c>
      <c r="J30" s="5">
        <v>88770.47099999999</v>
      </c>
      <c r="K30" s="5">
        <v>72597.671499999997</v>
      </c>
      <c r="L30" s="5">
        <v>63694</v>
      </c>
    </row>
    <row r="31" spans="1:12" x14ac:dyDescent="0.25">
      <c r="A31" s="4"/>
      <c r="B31" s="4" t="s">
        <v>44</v>
      </c>
      <c r="C31" s="5">
        <f>C30*0.454</f>
        <v>93356.02</v>
      </c>
      <c r="D31" s="5">
        <f t="shared" ref="D31:L31" si="9">D30*0.454</f>
        <v>86979.803834000006</v>
      </c>
      <c r="E31" s="5">
        <f t="shared" si="9"/>
        <v>80603.587667999993</v>
      </c>
      <c r="F31" s="5">
        <f t="shared" si="9"/>
        <v>73321.818108000007</v>
      </c>
      <c r="G31" s="5">
        <f t="shared" si="9"/>
        <v>65918.685721999995</v>
      </c>
      <c r="H31" s="5">
        <f t="shared" si="9"/>
        <v>57834.152000000002</v>
      </c>
      <c r="I31" s="5">
        <f t="shared" si="9"/>
        <v>46678.01</v>
      </c>
      <c r="J31" s="5">
        <f t="shared" si="9"/>
        <v>40301.793833999996</v>
      </c>
      <c r="K31" s="5">
        <f t="shared" si="9"/>
        <v>32959.342860999997</v>
      </c>
      <c r="L31" s="5">
        <f t="shared" si="9"/>
        <v>28917.076000000001</v>
      </c>
    </row>
    <row r="32" spans="1:12" x14ac:dyDescent="0.25">
      <c r="A32" s="4"/>
      <c r="B32" s="4"/>
      <c r="C32" s="5"/>
      <c r="D32" s="5"/>
      <c r="E32" s="5"/>
      <c r="F32" s="5"/>
      <c r="G32" s="5"/>
      <c r="H32" s="5"/>
      <c r="I32" s="5"/>
      <c r="J32" s="5"/>
      <c r="K32" s="5"/>
      <c r="L32" s="5"/>
    </row>
    <row r="33" spans="1:12" x14ac:dyDescent="0.25">
      <c r="A33" s="4" t="s">
        <v>47</v>
      </c>
      <c r="B33" s="4" t="s">
        <v>28</v>
      </c>
      <c r="C33" s="7">
        <f>C30*22446/1000000</f>
        <v>4615.5709800000004</v>
      </c>
      <c r="D33" s="7">
        <f t="shared" ref="D33:L33" si="10">D30*22446/1000000</f>
        <v>4300.3274820659999</v>
      </c>
      <c r="E33" s="7">
        <f t="shared" si="10"/>
        <v>3985.0839841319994</v>
      </c>
      <c r="F33" s="7">
        <f t="shared" si="10"/>
        <v>3625.0694476919998</v>
      </c>
      <c r="G33" s="7">
        <f t="shared" si="10"/>
        <v>3259.0546689779999</v>
      </c>
      <c r="H33" s="7">
        <f t="shared" si="10"/>
        <v>2859.351048</v>
      </c>
      <c r="I33" s="7">
        <f t="shared" si="10"/>
        <v>2307.7854900000002</v>
      </c>
      <c r="J33" s="7">
        <f t="shared" si="10"/>
        <v>1992.5419920659997</v>
      </c>
      <c r="K33" s="7">
        <f t="shared" si="10"/>
        <v>1629.5273344889999</v>
      </c>
      <c r="L33" s="7">
        <f t="shared" si="10"/>
        <v>1429.675524</v>
      </c>
    </row>
    <row r="34" spans="1:12" x14ac:dyDescent="0.25">
      <c r="A34" s="4"/>
      <c r="B34" s="4" t="s">
        <v>45</v>
      </c>
      <c r="C34" s="7">
        <f>C33*1.055</f>
        <v>4869.4273838999998</v>
      </c>
      <c r="D34" s="7">
        <f t="shared" ref="D34:L34" si="11">D33*1.055</f>
        <v>4536.8454935796299</v>
      </c>
      <c r="E34" s="7">
        <f t="shared" si="11"/>
        <v>4204.2636032592591</v>
      </c>
      <c r="F34" s="7">
        <f t="shared" si="11"/>
        <v>3824.4482673150596</v>
      </c>
      <c r="G34" s="7">
        <f t="shared" si="11"/>
        <v>3438.3026757717898</v>
      </c>
      <c r="H34" s="7">
        <f t="shared" si="11"/>
        <v>3016.61535564</v>
      </c>
      <c r="I34" s="7">
        <f t="shared" si="11"/>
        <v>2434.7136919499999</v>
      </c>
      <c r="J34" s="7">
        <f t="shared" si="11"/>
        <v>2102.1318016296295</v>
      </c>
      <c r="K34" s="7">
        <f t="shared" si="11"/>
        <v>1719.1513378858949</v>
      </c>
      <c r="L34" s="7">
        <f t="shared" si="11"/>
        <v>1508.30767782</v>
      </c>
    </row>
    <row r="35" spans="1:12" x14ac:dyDescent="0.2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</row>
    <row r="36" spans="1:12" x14ac:dyDescent="0.25">
      <c r="A36" s="6" t="s">
        <v>40</v>
      </c>
      <c r="B36" s="4" t="s">
        <v>38</v>
      </c>
      <c r="C36" s="5">
        <f>C33*1000000/C28</f>
        <v>6445.0210445085595</v>
      </c>
      <c r="D36" s="5">
        <f t="shared" ref="D36:L36" si="12">D33*1000000/D28</f>
        <v>6554.6599508225518</v>
      </c>
      <c r="E36" s="5">
        <f t="shared" si="12"/>
        <v>6722.5836217335782</v>
      </c>
      <c r="F36" s="5">
        <f t="shared" si="12"/>
        <v>6862.0312854010344</v>
      </c>
      <c r="G36" s="5">
        <f t="shared" si="12"/>
        <v>7021.4333627648148</v>
      </c>
      <c r="H36" s="5">
        <f t="shared" si="12"/>
        <v>7110.8268277535581</v>
      </c>
      <c r="I36" s="5">
        <f t="shared" si="12"/>
        <v>6603.9145725238086</v>
      </c>
      <c r="J36" s="5">
        <f t="shared" si="12"/>
        <v>6897.8908480742484</v>
      </c>
      <c r="K36" s="5">
        <f t="shared" si="12"/>
        <v>7230.9129158872338</v>
      </c>
      <c r="L36" s="5">
        <f t="shared" si="12"/>
        <v>7536.067262578541</v>
      </c>
    </row>
    <row r="37" spans="1:12" x14ac:dyDescent="0.25">
      <c r="A37" s="4"/>
      <c r="B37" s="4" t="s">
        <v>46</v>
      </c>
      <c r="C37" s="5">
        <f>C36*1.055</f>
        <v>6799.4972019565303</v>
      </c>
      <c r="D37" s="5">
        <f t="shared" ref="D37:L37" si="13">D36*1.055</f>
        <v>6915.1662481177918</v>
      </c>
      <c r="E37" s="5">
        <f t="shared" si="13"/>
        <v>7092.325720928925</v>
      </c>
      <c r="F37" s="5">
        <f t="shared" si="13"/>
        <v>7239.4430060980912</v>
      </c>
      <c r="G37" s="5">
        <f t="shared" si="13"/>
        <v>7407.6121977168796</v>
      </c>
      <c r="H37" s="5">
        <f t="shared" si="13"/>
        <v>7501.9223032800037</v>
      </c>
      <c r="I37" s="5">
        <f t="shared" si="13"/>
        <v>6967.1298740126176</v>
      </c>
      <c r="J37" s="5">
        <f t="shared" si="13"/>
        <v>7277.2748447183312</v>
      </c>
      <c r="K37" s="5">
        <f t="shared" si="13"/>
        <v>7628.6131262610315</v>
      </c>
      <c r="L37" s="5">
        <f t="shared" si="13"/>
        <v>7950.5509620203602</v>
      </c>
    </row>
    <row r="38" spans="1:12" x14ac:dyDescent="0.25">
      <c r="A38" s="6" t="s">
        <v>48</v>
      </c>
      <c r="B38" s="4" t="s">
        <v>39</v>
      </c>
      <c r="C38" s="8">
        <f>C28/(C33*1000000*0.0002931)</f>
        <v>0.52937062907961907</v>
      </c>
      <c r="D38" s="8">
        <f t="shared" ref="D38:L38" si="14">D28/(D33*1000000*0.0002931)</f>
        <v>0.5205159185008108</v>
      </c>
      <c r="E38" s="8">
        <f t="shared" si="14"/>
        <v>0.50751393165758263</v>
      </c>
      <c r="F38" s="8">
        <f t="shared" si="14"/>
        <v>0.49720042110875995</v>
      </c>
      <c r="G38" s="8">
        <f t="shared" si="14"/>
        <v>0.48591287113197357</v>
      </c>
      <c r="H38" s="8">
        <f t="shared" si="14"/>
        <v>0.47980423759535312</v>
      </c>
      <c r="I38" s="8">
        <f t="shared" si="14"/>
        <v>0.51663370373656958</v>
      </c>
      <c r="J38" s="8">
        <f t="shared" si="14"/>
        <v>0.49461566149823699</v>
      </c>
      <c r="K38" s="8">
        <f t="shared" si="14"/>
        <v>0.47183597485550005</v>
      </c>
      <c r="L38" s="8">
        <f t="shared" si="14"/>
        <v>0.45273014768653969</v>
      </c>
    </row>
    <row r="40" spans="1:12" x14ac:dyDescent="0.25">
      <c r="A40" t="s">
        <v>27</v>
      </c>
      <c r="B40" t="s">
        <v>28</v>
      </c>
      <c r="C40" s="2">
        <f>1297.4</f>
        <v>1297.4000000000001</v>
      </c>
      <c r="D40" s="2">
        <v>1241.0999999999999</v>
      </c>
      <c r="E40" s="2">
        <v>1168.4000000000001</v>
      </c>
      <c r="F40" s="2">
        <v>1089.5</v>
      </c>
      <c r="G40" s="2">
        <v>1011.7</v>
      </c>
      <c r="H40" s="2">
        <f>723*0.5+538.22</f>
        <v>899.72</v>
      </c>
      <c r="I40" s="2">
        <v>674.9</v>
      </c>
      <c r="J40" s="2">
        <v>609.5</v>
      </c>
      <c r="K40" s="2">
        <v>528.20000000000005</v>
      </c>
      <c r="L40" s="2">
        <v>475.4</v>
      </c>
    </row>
    <row r="41" spans="1:12" x14ac:dyDescent="0.25">
      <c r="A41" t="s">
        <v>30</v>
      </c>
      <c r="C41" s="1"/>
    </row>
    <row r="42" spans="1:12" x14ac:dyDescent="0.25">
      <c r="A42" t="s">
        <v>32</v>
      </c>
      <c r="B42" t="s">
        <v>31</v>
      </c>
      <c r="C42" s="2">
        <f>2897*(C40/1332)</f>
        <v>2821.7475975975976</v>
      </c>
      <c r="D42" s="2">
        <f t="shared" ref="D42:L42" si="15">2897*(D40/1332)</f>
        <v>2699.2993243243241</v>
      </c>
      <c r="E42" s="2">
        <f t="shared" si="15"/>
        <v>2541.1822822822824</v>
      </c>
      <c r="F42" s="2">
        <f t="shared" si="15"/>
        <v>2369.5807057057054</v>
      </c>
      <c r="G42" s="2">
        <f t="shared" si="15"/>
        <v>2200.3715465465466</v>
      </c>
      <c r="H42" s="2">
        <f t="shared" si="15"/>
        <v>1956.8234534534536</v>
      </c>
      <c r="I42" s="2">
        <f t="shared" si="15"/>
        <v>1467.8568318318319</v>
      </c>
      <c r="J42" s="2">
        <f t="shared" si="15"/>
        <v>1325.6167417417419</v>
      </c>
      <c r="K42" s="2">
        <f t="shared" si="15"/>
        <v>1148.7953453453454</v>
      </c>
      <c r="L42" s="2">
        <f t="shared" si="15"/>
        <v>1033.9593093093092</v>
      </c>
    </row>
    <row r="43" spans="1:12" x14ac:dyDescent="0.25">
      <c r="A43" t="s">
        <v>33</v>
      </c>
      <c r="B43" t="s">
        <v>31</v>
      </c>
      <c r="C43" s="2">
        <f>10563/500</f>
        <v>21.126000000000001</v>
      </c>
      <c r="D43" s="2">
        <f>9878/500</f>
        <v>19.756</v>
      </c>
      <c r="E43" s="2">
        <f>9076/500</f>
        <v>18.152000000000001</v>
      </c>
      <c r="F43" s="2">
        <f>8327/500</f>
        <v>16.654</v>
      </c>
      <c r="G43" s="2">
        <f>7606/500</f>
        <v>15.212</v>
      </c>
      <c r="H43" s="2">
        <f>14.93*0.5+6.236</f>
        <v>13.701000000000001</v>
      </c>
      <c r="I43" s="2">
        <f>5207/500</f>
        <v>10.414</v>
      </c>
      <c r="J43" s="2">
        <f>4531/500</f>
        <v>9.0619999999999994</v>
      </c>
      <c r="K43" s="2">
        <f>3837/500</f>
        <v>7.6740000000000004</v>
      </c>
      <c r="L43" s="2">
        <f>3744/500</f>
        <v>7.4880000000000004</v>
      </c>
    </row>
    <row r="45" spans="1:12" x14ac:dyDescent="0.25">
      <c r="A45" t="s">
        <v>34</v>
      </c>
      <c r="B45" t="s">
        <v>31</v>
      </c>
      <c r="C45" s="3">
        <f t="shared" ref="C45:L45" si="16">C42+C43</f>
        <v>2842.8735975975978</v>
      </c>
      <c r="D45" s="3">
        <f t="shared" si="16"/>
        <v>2719.0553243243239</v>
      </c>
      <c r="E45" s="3">
        <f t="shared" si="16"/>
        <v>2559.3342822822824</v>
      </c>
      <c r="F45" s="3">
        <f t="shared" si="16"/>
        <v>2386.2347057057054</v>
      </c>
      <c r="G45" s="3">
        <f t="shared" si="16"/>
        <v>2215.5835465465466</v>
      </c>
      <c r="H45" s="3">
        <f t="shared" si="16"/>
        <v>1970.5244534534536</v>
      </c>
      <c r="I45" s="3">
        <f t="shared" si="16"/>
        <v>1478.2708318318319</v>
      </c>
      <c r="J45" s="3">
        <f t="shared" si="16"/>
        <v>1334.6787417417418</v>
      </c>
      <c r="K45" s="3">
        <f t="shared" si="16"/>
        <v>1156.4693453453453</v>
      </c>
      <c r="L45" s="3">
        <f t="shared" si="16"/>
        <v>1041.4473093093093</v>
      </c>
    </row>
    <row r="47" spans="1:12" x14ac:dyDescent="0.25">
      <c r="A47" t="s">
        <v>49</v>
      </c>
      <c r="B47" t="s">
        <v>37</v>
      </c>
      <c r="C47" s="2">
        <v>569349.04745815578</v>
      </c>
      <c r="D47" s="2">
        <v>530519.14421658695</v>
      </c>
      <c r="E47" s="2">
        <v>491604.88001654006</v>
      </c>
      <c r="F47" s="2">
        <v>447252.29101462732</v>
      </c>
      <c r="G47" s="2">
        <v>402167.46946777729</v>
      </c>
      <c r="H47" s="2">
        <f>L47*2</f>
        <v>353169.18516813079</v>
      </c>
      <c r="I47" s="2">
        <v>284674.52372907789</v>
      </c>
      <c r="J47" s="2">
        <v>245802.44000827003</v>
      </c>
      <c r="K47" s="2">
        <v>201083.73473388865</v>
      </c>
      <c r="L47" s="2">
        <v>176584.59258406539</v>
      </c>
    </row>
    <row r="48" spans="1:12" x14ac:dyDescent="0.25">
      <c r="B48" t="s">
        <v>53</v>
      </c>
      <c r="C48" s="14">
        <f>C47*0.0004536</f>
        <v>258.25672792701948</v>
      </c>
      <c r="D48" s="14">
        <f t="shared" ref="D48:L48" si="17">D47*0.0004536</f>
        <v>240.64348381664385</v>
      </c>
      <c r="E48" s="14">
        <f t="shared" si="17"/>
        <v>222.99197357550258</v>
      </c>
      <c r="F48" s="14">
        <f t="shared" si="17"/>
        <v>202.87363920423496</v>
      </c>
      <c r="G48" s="14">
        <f t="shared" si="17"/>
        <v>182.4231641505838</v>
      </c>
      <c r="H48" s="14">
        <f t="shared" si="17"/>
        <v>160.19754239226413</v>
      </c>
      <c r="I48" s="14">
        <f t="shared" si="17"/>
        <v>129.12836396350974</v>
      </c>
      <c r="J48" s="14">
        <f t="shared" si="17"/>
        <v>111.49598678775129</v>
      </c>
      <c r="K48" s="14">
        <f t="shared" si="17"/>
        <v>91.211582075291901</v>
      </c>
      <c r="L48" s="14">
        <f t="shared" si="17"/>
        <v>80.098771196132063</v>
      </c>
    </row>
    <row r="50" spans="1:12" x14ac:dyDescent="0.25">
      <c r="A50" t="s">
        <v>29</v>
      </c>
      <c r="B50" t="s">
        <v>15</v>
      </c>
      <c r="C50" s="3">
        <f t="shared" ref="C50:L50" si="18">C28</f>
        <v>716145.21475188492</v>
      </c>
      <c r="D50" s="3">
        <f t="shared" si="18"/>
        <v>656071.78928120399</v>
      </c>
      <c r="E50" s="3">
        <f t="shared" si="18"/>
        <v>592790.54131041816</v>
      </c>
      <c r="F50" s="3">
        <f t="shared" si="18"/>
        <v>528279.35299629602</v>
      </c>
      <c r="G50" s="3">
        <f t="shared" si="18"/>
        <v>464158.02879523288</v>
      </c>
      <c r="H50" s="3">
        <f t="shared" si="18"/>
        <v>402112.31650867272</v>
      </c>
      <c r="I50" s="3">
        <f t="shared" si="18"/>
        <v>349457.19915907952</v>
      </c>
      <c r="J50" s="3">
        <f t="shared" si="18"/>
        <v>288862.49955988751</v>
      </c>
      <c r="K50" s="3">
        <f t="shared" si="18"/>
        <v>225355.68515957665</v>
      </c>
      <c r="L50" s="3">
        <f t="shared" si="18"/>
        <v>189711.08858054728</v>
      </c>
    </row>
    <row r="51" spans="1:12" x14ac:dyDescent="0.25">
      <c r="B51" t="s">
        <v>87</v>
      </c>
      <c r="C51" s="14">
        <f>C50/1000</f>
        <v>716.14521475188496</v>
      </c>
      <c r="D51" s="14">
        <f t="shared" ref="D51:L51" si="19">D50/1000</f>
        <v>656.07178928120402</v>
      </c>
      <c r="E51" s="14">
        <f t="shared" si="19"/>
        <v>592.79054131041812</v>
      </c>
      <c r="F51" s="14">
        <f t="shared" si="19"/>
        <v>528.27935299629598</v>
      </c>
      <c r="G51" s="14">
        <f t="shared" si="19"/>
        <v>464.15802879523289</v>
      </c>
      <c r="H51" s="14">
        <f t="shared" si="19"/>
        <v>402.11231650867273</v>
      </c>
      <c r="I51" s="14">
        <f t="shared" si="19"/>
        <v>349.45719915907955</v>
      </c>
      <c r="J51" s="14">
        <f t="shared" si="19"/>
        <v>288.86249955988751</v>
      </c>
      <c r="K51" s="14">
        <f t="shared" si="19"/>
        <v>225.35568515957664</v>
      </c>
      <c r="L51" s="14">
        <f t="shared" si="19"/>
        <v>189.71108858054728</v>
      </c>
    </row>
    <row r="53" spans="1:12" x14ac:dyDescent="0.25">
      <c r="A53" t="s">
        <v>97</v>
      </c>
      <c r="B53" t="s">
        <v>98</v>
      </c>
      <c r="C53" s="17">
        <f>C48/C51</f>
        <v>0.36062061521488331</v>
      </c>
      <c r="D53" s="17">
        <f t="shared" ref="D53:L53" si="20">D48/D51</f>
        <v>0.36679443888342494</v>
      </c>
      <c r="E53" s="17">
        <f t="shared" si="20"/>
        <v>0.37617329905864944</v>
      </c>
      <c r="F53" s="17">
        <f t="shared" si="20"/>
        <v>0.38402719707589522</v>
      </c>
      <c r="G53" s="17">
        <f t="shared" si="20"/>
        <v>0.39301951670227658</v>
      </c>
      <c r="H53" s="17">
        <f t="shared" si="20"/>
        <v>0.39839004132769207</v>
      </c>
      <c r="I53" s="17">
        <f t="shared" si="20"/>
        <v>0.36951124279093206</v>
      </c>
      <c r="J53" s="17">
        <f t="shared" si="20"/>
        <v>0.38598290521485895</v>
      </c>
      <c r="K53" s="17">
        <f t="shared" si="20"/>
        <v>0.40474497907920121</v>
      </c>
      <c r="L53" s="17">
        <f t="shared" si="20"/>
        <v>0.4222144936041724</v>
      </c>
    </row>
    <row r="55" spans="1:12" x14ac:dyDescent="0.25">
      <c r="A55" s="6" t="s">
        <v>101</v>
      </c>
      <c r="B55" s="39"/>
      <c r="C55" s="39"/>
      <c r="D55" s="39"/>
      <c r="E55" s="39"/>
      <c r="F55" s="39"/>
      <c r="G55" s="4"/>
      <c r="H55" s="4"/>
      <c r="I55" s="4"/>
      <c r="J55" s="4"/>
      <c r="K55" s="4"/>
      <c r="L55" s="4"/>
    </row>
    <row r="56" spans="1:12" x14ac:dyDescent="0.25">
      <c r="A56" s="35" t="s">
        <v>105</v>
      </c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</row>
    <row r="57" spans="1:12" ht="30" x14ac:dyDescent="0.25">
      <c r="A57" s="36" t="s">
        <v>112</v>
      </c>
      <c r="B57" s="4" t="s">
        <v>31</v>
      </c>
      <c r="C57" s="4"/>
      <c r="D57" s="4"/>
      <c r="E57" s="4"/>
      <c r="F57" s="4"/>
      <c r="G57" s="4"/>
      <c r="H57" s="4"/>
      <c r="I57" s="4"/>
      <c r="J57" s="4"/>
      <c r="K57" s="4"/>
      <c r="L57" s="4"/>
    </row>
    <row r="58" spans="1:12" x14ac:dyDescent="0.25">
      <c r="A58" s="36"/>
      <c r="B58" s="4"/>
      <c r="C58" s="7"/>
      <c r="D58" s="7"/>
      <c r="E58" s="7"/>
      <c r="F58" s="7"/>
      <c r="G58" s="7"/>
      <c r="H58" s="7"/>
      <c r="I58" s="7"/>
      <c r="J58" s="7"/>
      <c r="K58" s="7"/>
      <c r="L58" s="7"/>
    </row>
    <row r="59" spans="1:12" x14ac:dyDescent="0.25">
      <c r="A59" s="36" t="s">
        <v>115</v>
      </c>
      <c r="B59" s="4" t="s">
        <v>31</v>
      </c>
      <c r="C59" s="7">
        <f t="shared" ref="C59:L59" si="21">C43</f>
        <v>21.126000000000001</v>
      </c>
      <c r="D59" s="7">
        <f t="shared" si="21"/>
        <v>19.756</v>
      </c>
      <c r="E59" s="7">
        <f t="shared" si="21"/>
        <v>18.152000000000001</v>
      </c>
      <c r="F59" s="7">
        <f t="shared" si="21"/>
        <v>16.654</v>
      </c>
      <c r="G59" s="7">
        <f t="shared" si="21"/>
        <v>15.212</v>
      </c>
      <c r="H59" s="7">
        <f t="shared" si="21"/>
        <v>13.701000000000001</v>
      </c>
      <c r="I59" s="7">
        <f t="shared" si="21"/>
        <v>10.414</v>
      </c>
      <c r="J59" s="7">
        <f t="shared" si="21"/>
        <v>9.0619999999999994</v>
      </c>
      <c r="K59" s="7">
        <f t="shared" si="21"/>
        <v>7.6740000000000004</v>
      </c>
      <c r="L59" s="7">
        <f t="shared" si="21"/>
        <v>7.4880000000000004</v>
      </c>
    </row>
    <row r="60" spans="1:12" x14ac:dyDescent="0.25">
      <c r="A60" s="37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</row>
    <row r="61" spans="1:12" x14ac:dyDescent="0.25">
      <c r="A61" s="35" t="s">
        <v>103</v>
      </c>
      <c r="B61" s="4" t="s">
        <v>31</v>
      </c>
      <c r="C61" s="7">
        <f>C42</f>
        <v>2821.7475975975976</v>
      </c>
      <c r="D61" s="7">
        <f t="shared" ref="D61:L61" si="22">D42</f>
        <v>2699.2993243243241</v>
      </c>
      <c r="E61" s="7">
        <f t="shared" si="22"/>
        <v>2541.1822822822824</v>
      </c>
      <c r="F61" s="7">
        <f t="shared" si="22"/>
        <v>2369.5807057057054</v>
      </c>
      <c r="G61" s="7">
        <f t="shared" si="22"/>
        <v>2200.3715465465466</v>
      </c>
      <c r="H61" s="7">
        <f t="shared" si="22"/>
        <v>1956.8234534534536</v>
      </c>
      <c r="I61" s="7">
        <f t="shared" si="22"/>
        <v>1467.8568318318319</v>
      </c>
      <c r="J61" s="7">
        <f t="shared" si="22"/>
        <v>1325.6167417417419</v>
      </c>
      <c r="K61" s="7">
        <f t="shared" si="22"/>
        <v>1148.7953453453454</v>
      </c>
      <c r="L61" s="7">
        <f t="shared" si="22"/>
        <v>1033.9593093093092</v>
      </c>
    </row>
    <row r="62" spans="1:12" x14ac:dyDescent="0.2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</row>
    <row r="63" spans="1:12" x14ac:dyDescent="0.25">
      <c r="A63" s="4" t="s">
        <v>104</v>
      </c>
      <c r="B63" s="4" t="s">
        <v>31</v>
      </c>
      <c r="C63" s="7">
        <f t="shared" ref="C63:L63" si="23">C59+C61</f>
        <v>2842.8735975975978</v>
      </c>
      <c r="D63" s="7">
        <f t="shared" si="23"/>
        <v>2719.0553243243239</v>
      </c>
      <c r="E63" s="7">
        <f t="shared" si="23"/>
        <v>2559.3342822822824</v>
      </c>
      <c r="F63" s="7">
        <f t="shared" si="23"/>
        <v>2386.2347057057054</v>
      </c>
      <c r="G63" s="7">
        <f t="shared" si="23"/>
        <v>2215.5835465465466</v>
      </c>
      <c r="H63" s="7">
        <f t="shared" si="23"/>
        <v>1970.5244534534536</v>
      </c>
      <c r="I63" s="7">
        <f t="shared" si="23"/>
        <v>1478.2708318318319</v>
      </c>
      <c r="J63" s="7">
        <f t="shared" si="23"/>
        <v>1334.6787417417418</v>
      </c>
      <c r="K63" s="7">
        <f t="shared" si="23"/>
        <v>1156.4693453453453</v>
      </c>
      <c r="L63" s="7">
        <f t="shared" si="23"/>
        <v>1041.4473093093093</v>
      </c>
    </row>
    <row r="64" spans="1:12" x14ac:dyDescent="0.2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</row>
    <row r="65" spans="1:12" x14ac:dyDescent="0.25">
      <c r="A65" s="6" t="s">
        <v>77</v>
      </c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</row>
    <row r="66" spans="1:12" x14ac:dyDescent="0.25">
      <c r="A66" s="35" t="s">
        <v>105</v>
      </c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</row>
    <row r="67" spans="1:12" ht="30" x14ac:dyDescent="0.25">
      <c r="A67" s="36" t="s">
        <v>102</v>
      </c>
      <c r="B67" s="4" t="s">
        <v>31</v>
      </c>
      <c r="C67" s="4"/>
      <c r="D67" s="4"/>
      <c r="E67" s="4"/>
      <c r="F67" s="4"/>
      <c r="G67" s="4"/>
      <c r="H67" s="4"/>
      <c r="I67" s="4"/>
      <c r="J67" s="4"/>
      <c r="K67" s="4"/>
      <c r="L67" s="4"/>
    </row>
    <row r="68" spans="1:12" x14ac:dyDescent="0.25">
      <c r="A68" s="37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</row>
    <row r="69" spans="1:12" x14ac:dyDescent="0.25">
      <c r="A69" s="36" t="s">
        <v>115</v>
      </c>
      <c r="B69" s="4" t="s">
        <v>31</v>
      </c>
      <c r="C69" s="7">
        <f t="shared" ref="C69:L69" si="24">C59</f>
        <v>21.126000000000001</v>
      </c>
      <c r="D69" s="7">
        <f t="shared" si="24"/>
        <v>19.756</v>
      </c>
      <c r="E69" s="7">
        <f t="shared" si="24"/>
        <v>18.152000000000001</v>
      </c>
      <c r="F69" s="7">
        <f t="shared" si="24"/>
        <v>16.654</v>
      </c>
      <c r="G69" s="7">
        <f t="shared" si="24"/>
        <v>15.212</v>
      </c>
      <c r="H69" s="7">
        <f t="shared" si="24"/>
        <v>13.701000000000001</v>
      </c>
      <c r="I69" s="7">
        <f t="shared" si="24"/>
        <v>10.414</v>
      </c>
      <c r="J69" s="7">
        <f t="shared" si="24"/>
        <v>9.0619999999999994</v>
      </c>
      <c r="K69" s="7">
        <f t="shared" si="24"/>
        <v>7.6740000000000004</v>
      </c>
      <c r="L69" s="7">
        <f t="shared" si="24"/>
        <v>7.4880000000000004</v>
      </c>
    </row>
    <row r="70" spans="1:12" x14ac:dyDescent="0.25">
      <c r="A70" s="37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</row>
    <row r="71" spans="1:12" x14ac:dyDescent="0.25">
      <c r="A71" s="35" t="s">
        <v>103</v>
      </c>
      <c r="B71" s="4" t="s">
        <v>31</v>
      </c>
      <c r="C71" s="7">
        <f>C61</f>
        <v>2821.7475975975976</v>
      </c>
      <c r="D71" s="7">
        <f t="shared" ref="D71:L71" si="25">D61</f>
        <v>2699.2993243243241</v>
      </c>
      <c r="E71" s="7">
        <f t="shared" si="25"/>
        <v>2541.1822822822824</v>
      </c>
      <c r="F71" s="7">
        <f t="shared" si="25"/>
        <v>2369.5807057057054</v>
      </c>
      <c r="G71" s="7">
        <f t="shared" si="25"/>
        <v>2200.3715465465466</v>
      </c>
      <c r="H71" s="7">
        <f t="shared" si="25"/>
        <v>1956.8234534534536</v>
      </c>
      <c r="I71" s="7">
        <f t="shared" si="25"/>
        <v>1467.8568318318319</v>
      </c>
      <c r="J71" s="7">
        <f t="shared" si="25"/>
        <v>1325.6167417417419</v>
      </c>
      <c r="K71" s="7">
        <f t="shared" si="25"/>
        <v>1148.7953453453454</v>
      </c>
      <c r="L71" s="7">
        <f t="shared" si="25"/>
        <v>1033.9593093093092</v>
      </c>
    </row>
    <row r="72" spans="1:12" x14ac:dyDescent="0.2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</row>
    <row r="73" spans="1:12" x14ac:dyDescent="0.25">
      <c r="A73" s="4" t="s">
        <v>113</v>
      </c>
      <c r="B73" s="4" t="s">
        <v>31</v>
      </c>
      <c r="C73" s="7">
        <f t="shared" ref="C73:L73" si="26">C69+C71</f>
        <v>2842.8735975975978</v>
      </c>
      <c r="D73" s="7">
        <f t="shared" si="26"/>
        <v>2719.0553243243239</v>
      </c>
      <c r="E73" s="7">
        <f t="shared" si="26"/>
        <v>2559.3342822822824</v>
      </c>
      <c r="F73" s="7">
        <f t="shared" si="26"/>
        <v>2386.2347057057054</v>
      </c>
      <c r="G73" s="7">
        <f t="shared" si="26"/>
        <v>2215.5835465465466</v>
      </c>
      <c r="H73" s="7">
        <f t="shared" si="26"/>
        <v>1970.5244534534536</v>
      </c>
      <c r="I73" s="7">
        <f t="shared" si="26"/>
        <v>1478.2708318318319</v>
      </c>
      <c r="J73" s="7">
        <f t="shared" si="26"/>
        <v>1334.6787417417418</v>
      </c>
      <c r="K73" s="7">
        <f t="shared" si="26"/>
        <v>1156.4693453453453</v>
      </c>
      <c r="L73" s="7">
        <f t="shared" si="26"/>
        <v>1041.4473093093093</v>
      </c>
    </row>
    <row r="74" spans="1:12" x14ac:dyDescent="0.2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</row>
    <row r="75" spans="1:12" x14ac:dyDescent="0.25">
      <c r="A75" s="6" t="s">
        <v>78</v>
      </c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</row>
    <row r="76" spans="1:12" x14ac:dyDescent="0.25">
      <c r="A76" s="35" t="s">
        <v>105</v>
      </c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</row>
    <row r="77" spans="1:12" ht="30" x14ac:dyDescent="0.25">
      <c r="A77" s="36" t="s">
        <v>112</v>
      </c>
      <c r="B77" s="4" t="s">
        <v>31</v>
      </c>
      <c r="C77" s="7">
        <f t="shared" ref="C77:L77" si="27">C69</f>
        <v>21.126000000000001</v>
      </c>
      <c r="D77" s="7">
        <f t="shared" si="27"/>
        <v>19.756</v>
      </c>
      <c r="E77" s="7">
        <f t="shared" si="27"/>
        <v>18.152000000000001</v>
      </c>
      <c r="F77" s="7">
        <f t="shared" si="27"/>
        <v>16.654</v>
      </c>
      <c r="G77" s="7">
        <f t="shared" si="27"/>
        <v>15.212</v>
      </c>
      <c r="H77" s="7">
        <f t="shared" si="27"/>
        <v>13.701000000000001</v>
      </c>
      <c r="I77" s="7">
        <f t="shared" si="27"/>
        <v>10.414</v>
      </c>
      <c r="J77" s="7">
        <f t="shared" si="27"/>
        <v>9.0619999999999994</v>
      </c>
      <c r="K77" s="7">
        <f t="shared" si="27"/>
        <v>7.6740000000000004</v>
      </c>
      <c r="L77" s="7">
        <f t="shared" si="27"/>
        <v>7.4880000000000004</v>
      </c>
    </row>
    <row r="78" spans="1:12" x14ac:dyDescent="0.25">
      <c r="A78" s="37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</row>
    <row r="79" spans="1:12" x14ac:dyDescent="0.25">
      <c r="A79" s="36" t="s">
        <v>115</v>
      </c>
      <c r="B79" s="4" t="s">
        <v>31</v>
      </c>
      <c r="C79" s="4"/>
      <c r="D79" s="4"/>
      <c r="E79" s="4"/>
      <c r="F79" s="4"/>
      <c r="G79" s="4"/>
      <c r="H79" s="4"/>
      <c r="I79" s="4"/>
      <c r="J79" s="4"/>
      <c r="K79" s="4"/>
      <c r="L79" s="4"/>
    </row>
    <row r="80" spans="1:12" x14ac:dyDescent="0.25">
      <c r="A80" s="37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</row>
    <row r="81" spans="1:12" x14ac:dyDescent="0.25">
      <c r="A81" s="35" t="s">
        <v>114</v>
      </c>
      <c r="B81" s="4" t="s">
        <v>31</v>
      </c>
      <c r="C81" s="7">
        <f>651*(C40/1332)</f>
        <v>634.0896396396397</v>
      </c>
      <c r="D81" s="7">
        <f t="shared" ref="D81:L81" si="28">651*(D40/1332)</f>
        <v>606.5736486486486</v>
      </c>
      <c r="E81" s="7">
        <f t="shared" si="28"/>
        <v>571.04234234234241</v>
      </c>
      <c r="F81" s="7">
        <f t="shared" si="28"/>
        <v>532.48085585585579</v>
      </c>
      <c r="G81" s="7">
        <f t="shared" si="28"/>
        <v>494.45698198198198</v>
      </c>
      <c r="H81" s="7">
        <f t="shared" si="28"/>
        <v>439.72801801801802</v>
      </c>
      <c r="I81" s="7">
        <f t="shared" si="28"/>
        <v>329.8497747747748</v>
      </c>
      <c r="J81" s="7">
        <f t="shared" si="28"/>
        <v>297.88626126126127</v>
      </c>
      <c r="K81" s="7">
        <f t="shared" si="28"/>
        <v>258.15180180180181</v>
      </c>
      <c r="L81" s="7">
        <f t="shared" si="28"/>
        <v>232.34639639639639</v>
      </c>
    </row>
    <row r="82" spans="1:12" x14ac:dyDescent="0.2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</row>
    <row r="83" spans="1:12" x14ac:dyDescent="0.25">
      <c r="A83" s="4" t="s">
        <v>107</v>
      </c>
      <c r="B83" s="4" t="s">
        <v>31</v>
      </c>
      <c r="C83" s="7">
        <f>C77+C81</f>
        <v>655.21563963963968</v>
      </c>
      <c r="D83" s="7">
        <f t="shared" ref="D83:L83" si="29">D77+D81</f>
        <v>626.32964864864857</v>
      </c>
      <c r="E83" s="7">
        <f t="shared" si="29"/>
        <v>589.19434234234245</v>
      </c>
      <c r="F83" s="7">
        <f t="shared" si="29"/>
        <v>549.13485585585579</v>
      </c>
      <c r="G83" s="7">
        <f t="shared" si="29"/>
        <v>509.66898198198197</v>
      </c>
      <c r="H83" s="7">
        <f t="shared" si="29"/>
        <v>453.42901801801804</v>
      </c>
      <c r="I83" s="7">
        <f t="shared" si="29"/>
        <v>340.26377477477479</v>
      </c>
      <c r="J83" s="7">
        <f t="shared" si="29"/>
        <v>306.94826126126128</v>
      </c>
      <c r="K83" s="7">
        <f t="shared" si="29"/>
        <v>265.82580180180179</v>
      </c>
      <c r="L83" s="7">
        <f t="shared" si="29"/>
        <v>239.83439639639639</v>
      </c>
    </row>
    <row r="84" spans="1:12" x14ac:dyDescent="0.2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</row>
    <row r="85" spans="1:12" x14ac:dyDescent="0.25">
      <c r="A85" s="6" t="s">
        <v>108</v>
      </c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</row>
    <row r="86" spans="1:12" x14ac:dyDescent="0.25">
      <c r="A86" s="35" t="s">
        <v>105</v>
      </c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</row>
    <row r="87" spans="1:12" ht="30" x14ac:dyDescent="0.25">
      <c r="A87" s="36" t="s">
        <v>102</v>
      </c>
      <c r="B87" s="4" t="s">
        <v>31</v>
      </c>
      <c r="C87" s="7">
        <f>-C77</f>
        <v>-21.126000000000001</v>
      </c>
      <c r="D87" s="7">
        <f t="shared" ref="D87:L87" si="30">-D77</f>
        <v>-19.756</v>
      </c>
      <c r="E87" s="7">
        <f t="shared" si="30"/>
        <v>-18.152000000000001</v>
      </c>
      <c r="F87" s="7">
        <f t="shared" si="30"/>
        <v>-16.654</v>
      </c>
      <c r="G87" s="7">
        <f t="shared" si="30"/>
        <v>-15.212</v>
      </c>
      <c r="H87" s="7">
        <f t="shared" si="30"/>
        <v>-13.701000000000001</v>
      </c>
      <c r="I87" s="7">
        <f t="shared" si="30"/>
        <v>-10.414</v>
      </c>
      <c r="J87" s="7">
        <f t="shared" si="30"/>
        <v>-9.0619999999999994</v>
      </c>
      <c r="K87" s="7">
        <f t="shared" si="30"/>
        <v>-7.6740000000000004</v>
      </c>
      <c r="L87" s="7">
        <f t="shared" si="30"/>
        <v>-7.4880000000000004</v>
      </c>
    </row>
    <row r="88" spans="1:12" x14ac:dyDescent="0.25">
      <c r="A88" s="37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</row>
    <row r="89" spans="1:12" x14ac:dyDescent="0.25">
      <c r="A89" s="36" t="s">
        <v>115</v>
      </c>
      <c r="B89" s="4" t="s">
        <v>31</v>
      </c>
      <c r="C89" s="7">
        <f>C69</f>
        <v>21.126000000000001</v>
      </c>
      <c r="D89" s="7">
        <f t="shared" ref="D89:L89" si="31">D69</f>
        <v>19.756</v>
      </c>
      <c r="E89" s="7">
        <f t="shared" si="31"/>
        <v>18.152000000000001</v>
      </c>
      <c r="F89" s="7">
        <f t="shared" si="31"/>
        <v>16.654</v>
      </c>
      <c r="G89" s="7">
        <f t="shared" si="31"/>
        <v>15.212</v>
      </c>
      <c r="H89" s="7">
        <f t="shared" si="31"/>
        <v>13.701000000000001</v>
      </c>
      <c r="I89" s="7">
        <f t="shared" si="31"/>
        <v>10.414</v>
      </c>
      <c r="J89" s="7">
        <f t="shared" si="31"/>
        <v>9.0619999999999994</v>
      </c>
      <c r="K89" s="7">
        <f t="shared" si="31"/>
        <v>7.6740000000000004</v>
      </c>
      <c r="L89" s="7">
        <f t="shared" si="31"/>
        <v>7.4880000000000004</v>
      </c>
    </row>
    <row r="90" spans="1:12" x14ac:dyDescent="0.2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</row>
    <row r="91" spans="1:12" x14ac:dyDescent="0.25">
      <c r="A91" s="35" t="s">
        <v>109</v>
      </c>
      <c r="B91" s="4"/>
      <c r="C91" s="7">
        <f t="shared" ref="C91:L91" si="32">C71-C81</f>
        <v>2187.6579579579579</v>
      </c>
      <c r="D91" s="7">
        <f t="shared" si="32"/>
        <v>2092.7256756756756</v>
      </c>
      <c r="E91" s="7">
        <f t="shared" si="32"/>
        <v>1970.1399399399399</v>
      </c>
      <c r="F91" s="7">
        <f t="shared" si="32"/>
        <v>1837.0998498498498</v>
      </c>
      <c r="G91" s="7">
        <f t="shared" si="32"/>
        <v>1705.9145645645647</v>
      </c>
      <c r="H91" s="7">
        <f t="shared" si="32"/>
        <v>1517.0954354354355</v>
      </c>
      <c r="I91" s="7">
        <f t="shared" si="32"/>
        <v>1138.007057057057</v>
      </c>
      <c r="J91" s="7">
        <f t="shared" si="32"/>
        <v>1027.7304804804805</v>
      </c>
      <c r="K91" s="7">
        <f t="shared" si="32"/>
        <v>890.6435435435435</v>
      </c>
      <c r="L91" s="7">
        <f t="shared" si="32"/>
        <v>801.61291291291286</v>
      </c>
    </row>
    <row r="92" spans="1:12" x14ac:dyDescent="0.2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</row>
    <row r="93" spans="1:12" x14ac:dyDescent="0.25">
      <c r="A93" s="4" t="s">
        <v>111</v>
      </c>
      <c r="B93" s="4"/>
      <c r="C93" s="7">
        <f>SUM(C87:C91)</f>
        <v>2187.6579579579579</v>
      </c>
      <c r="D93" s="7">
        <f t="shared" ref="D93:L93" si="33">SUM(D87:D91)</f>
        <v>2092.7256756756756</v>
      </c>
      <c r="E93" s="7">
        <f t="shared" si="33"/>
        <v>1970.1399399399399</v>
      </c>
      <c r="F93" s="7">
        <f t="shared" si="33"/>
        <v>1837.0998498498498</v>
      </c>
      <c r="G93" s="7">
        <f t="shared" si="33"/>
        <v>1705.9145645645647</v>
      </c>
      <c r="H93" s="7">
        <f t="shared" si="33"/>
        <v>1517.0954354354355</v>
      </c>
      <c r="I93" s="7">
        <f t="shared" si="33"/>
        <v>1138.007057057057</v>
      </c>
      <c r="J93" s="7">
        <f t="shared" si="33"/>
        <v>1027.7304804804805</v>
      </c>
      <c r="K93" s="7">
        <f t="shared" si="33"/>
        <v>890.6435435435435</v>
      </c>
      <c r="L93" s="7">
        <f t="shared" si="33"/>
        <v>801.61291291291286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51414-E9EE-4FEE-B1AF-4F4257CFEC3B}">
  <dimension ref="A1:O197"/>
  <sheetViews>
    <sheetView workbookViewId="0">
      <pane xSplit="2" ySplit="2" topLeftCell="C107" activePane="bottomRight" state="frozen"/>
      <selection pane="topRight" activeCell="C1" sqref="C1"/>
      <selection pane="bottomLeft" activeCell="A3" sqref="A3"/>
      <selection pane="bottomRight" activeCell="G117" sqref="G117"/>
    </sheetView>
  </sheetViews>
  <sheetFormatPr defaultRowHeight="15" x14ac:dyDescent="0.25"/>
  <cols>
    <col min="1" max="1" width="36.85546875" customWidth="1"/>
    <col min="2" max="2" width="10.5703125" bestFit="1" customWidth="1"/>
    <col min="3" max="3" width="13.42578125" bestFit="1" customWidth="1"/>
    <col min="4" max="7" width="11.7109375" bestFit="1" customWidth="1"/>
    <col min="8" max="8" width="11.7109375" customWidth="1"/>
    <col min="9" max="9" width="11.7109375" bestFit="1" customWidth="1"/>
    <col min="10" max="12" width="11.5703125" bestFit="1" customWidth="1"/>
  </cols>
  <sheetData>
    <row r="1" spans="1:15" ht="30" x14ac:dyDescent="0.25">
      <c r="A1" s="9" t="s">
        <v>42</v>
      </c>
      <c r="B1" s="4"/>
      <c r="C1" s="10">
        <v>1</v>
      </c>
      <c r="D1" s="10">
        <v>0.9</v>
      </c>
      <c r="E1" s="10">
        <v>0.8</v>
      </c>
      <c r="F1" s="10">
        <v>0.7</v>
      </c>
      <c r="G1" s="10">
        <v>0.6</v>
      </c>
      <c r="H1" s="10">
        <v>0.5</v>
      </c>
      <c r="I1" s="10">
        <v>0.5</v>
      </c>
      <c r="J1" s="10">
        <v>0.4</v>
      </c>
      <c r="K1" s="10">
        <v>0.3</v>
      </c>
      <c r="L1" s="10">
        <v>0.25</v>
      </c>
    </row>
    <row r="2" spans="1:15" x14ac:dyDescent="0.25">
      <c r="A2" s="6" t="s">
        <v>43</v>
      </c>
      <c r="B2" s="4"/>
      <c r="C2" s="11" t="s">
        <v>0</v>
      </c>
      <c r="D2" s="11" t="s">
        <v>1</v>
      </c>
      <c r="E2" s="11" t="s">
        <v>2</v>
      </c>
      <c r="F2" s="11" t="s">
        <v>3</v>
      </c>
      <c r="G2" s="11" t="s">
        <v>4</v>
      </c>
      <c r="H2" s="11" t="s">
        <v>128</v>
      </c>
      <c r="I2" s="11" t="s">
        <v>5</v>
      </c>
      <c r="J2" s="11" t="s">
        <v>6</v>
      </c>
      <c r="K2" s="11" t="s">
        <v>7</v>
      </c>
      <c r="L2" s="11" t="s">
        <v>8</v>
      </c>
    </row>
    <row r="3" spans="1:15" x14ac:dyDescent="0.25">
      <c r="A3" s="4"/>
      <c r="B3" s="4"/>
      <c r="C3" s="4"/>
      <c r="D3" s="4"/>
      <c r="E3" s="4"/>
      <c r="F3" s="4"/>
      <c r="G3" s="4"/>
      <c r="H3" s="40"/>
      <c r="I3" s="4"/>
      <c r="J3" s="4"/>
      <c r="K3" s="4"/>
      <c r="L3" s="4"/>
    </row>
    <row r="4" spans="1:15" x14ac:dyDescent="0.25">
      <c r="A4" s="6" t="s">
        <v>41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</row>
    <row r="5" spans="1:15" x14ac:dyDescent="0.25">
      <c r="A5" s="4" t="s">
        <v>9</v>
      </c>
      <c r="B5" s="4" t="s">
        <v>15</v>
      </c>
      <c r="C5" s="5">
        <v>477000</v>
      </c>
      <c r="D5" s="5">
        <v>429300</v>
      </c>
      <c r="E5" s="5">
        <f>477000*0.8</f>
        <v>381600</v>
      </c>
      <c r="F5" s="5">
        <f>477000*0.7</f>
        <v>333900</v>
      </c>
      <c r="G5" s="5">
        <v>286200</v>
      </c>
      <c r="H5" s="5">
        <f>L5*2</f>
        <v>238500</v>
      </c>
      <c r="I5" s="5">
        <v>238500</v>
      </c>
      <c r="J5" s="5">
        <v>190800</v>
      </c>
      <c r="K5" s="5">
        <v>143100</v>
      </c>
      <c r="L5" s="5">
        <v>119250</v>
      </c>
    </row>
    <row r="6" spans="1:15" x14ac:dyDescent="0.25">
      <c r="A6" s="4"/>
      <c r="B6" s="4"/>
      <c r="C6" s="5"/>
      <c r="D6" s="5"/>
      <c r="E6" s="5"/>
      <c r="F6" s="5"/>
      <c r="G6" s="5"/>
      <c r="H6" s="5"/>
      <c r="I6" s="5"/>
      <c r="J6" s="5"/>
      <c r="K6" s="5"/>
      <c r="L6" s="5"/>
    </row>
    <row r="7" spans="1:15" x14ac:dyDescent="0.25">
      <c r="A7" s="4" t="s">
        <v>10</v>
      </c>
      <c r="B7" s="4" t="s">
        <v>15</v>
      </c>
      <c r="C7" s="5">
        <f>SUM(C8:C10)</f>
        <v>165761.04463589547</v>
      </c>
      <c r="D7" s="5">
        <f t="shared" ref="D7:L7" si="0">SUM(D8:D10)</f>
        <v>157988</v>
      </c>
      <c r="E7" s="5">
        <f t="shared" si="0"/>
        <v>148015</v>
      </c>
      <c r="F7" s="5">
        <f t="shared" si="0"/>
        <v>135916.56018116194</v>
      </c>
      <c r="G7" s="5">
        <f t="shared" si="0"/>
        <v>125149</v>
      </c>
      <c r="H7" s="5">
        <f t="shared" si="0"/>
        <v>107713</v>
      </c>
      <c r="I7" s="5">
        <f t="shared" si="0"/>
        <v>75594</v>
      </c>
      <c r="J7" s="5">
        <f t="shared" si="0"/>
        <v>67333.065251236112</v>
      </c>
      <c r="K7" s="5">
        <f t="shared" si="0"/>
        <v>57073</v>
      </c>
      <c r="L7" s="5">
        <f t="shared" si="0"/>
        <v>49202.991646360206</v>
      </c>
      <c r="O7" s="3"/>
    </row>
    <row r="8" spans="1:15" x14ac:dyDescent="0.25">
      <c r="A8" s="4" t="s">
        <v>11</v>
      </c>
      <c r="B8" s="4" t="s">
        <v>15</v>
      </c>
      <c r="C8" s="5">
        <v>52010.04463589548</v>
      </c>
      <c r="D8" s="5">
        <v>49180</v>
      </c>
      <c r="E8" s="5">
        <v>45400</v>
      </c>
      <c r="F8" s="5">
        <v>41572.560181161942</v>
      </c>
      <c r="G8" s="5">
        <v>37846</v>
      </c>
      <c r="H8" s="5">
        <v>32601</v>
      </c>
      <c r="I8" s="5">
        <v>23432</v>
      </c>
      <c r="J8" s="5">
        <v>20653.065251236105</v>
      </c>
      <c r="K8" s="5">
        <v>17190</v>
      </c>
      <c r="L8" s="5">
        <v>14608.991646360206</v>
      </c>
    </row>
    <row r="9" spans="1:15" x14ac:dyDescent="0.25">
      <c r="A9" s="4" t="s">
        <v>12</v>
      </c>
      <c r="B9" s="4" t="s">
        <v>15</v>
      </c>
      <c r="C9" s="5">
        <v>48755</v>
      </c>
      <c r="D9" s="5">
        <v>44728</v>
      </c>
      <c r="E9" s="5">
        <v>41032</v>
      </c>
      <c r="F9" s="5">
        <v>36709</v>
      </c>
      <c r="G9" s="5">
        <v>32245</v>
      </c>
      <c r="H9" s="5">
        <v>25511</v>
      </c>
      <c r="I9" s="5">
        <v>23864</v>
      </c>
      <c r="J9" s="5">
        <v>19944</v>
      </c>
      <c r="K9" s="5">
        <v>15665</v>
      </c>
      <c r="L9" s="5">
        <v>13402</v>
      </c>
    </row>
    <row r="10" spans="1:15" x14ac:dyDescent="0.25">
      <c r="A10" s="4" t="s">
        <v>13</v>
      </c>
      <c r="B10" s="4" t="s">
        <v>15</v>
      </c>
      <c r="C10" s="5">
        <f>12397+52599</f>
        <v>64996</v>
      </c>
      <c r="D10" s="5">
        <v>64080</v>
      </c>
      <c r="E10" s="5">
        <v>61583</v>
      </c>
      <c r="F10" s="5">
        <v>57635</v>
      </c>
      <c r="G10" s="5">
        <v>55058</v>
      </c>
      <c r="H10" s="5">
        <v>49601</v>
      </c>
      <c r="I10" s="5">
        <v>28298</v>
      </c>
      <c r="J10" s="5">
        <v>26736</v>
      </c>
      <c r="K10" s="5">
        <v>24218</v>
      </c>
      <c r="L10" s="5">
        <v>21192</v>
      </c>
    </row>
    <row r="11" spans="1:15" x14ac:dyDescent="0.25">
      <c r="A11" s="4"/>
      <c r="B11" s="4"/>
      <c r="C11" s="5"/>
      <c r="D11" s="4"/>
      <c r="E11" s="4"/>
      <c r="F11" s="4"/>
      <c r="G11" s="4"/>
      <c r="H11" s="4"/>
      <c r="I11" s="4"/>
      <c r="J11" s="4"/>
      <c r="K11" s="4"/>
      <c r="L11" s="4"/>
    </row>
    <row r="12" spans="1:15" x14ac:dyDescent="0.25">
      <c r="A12" s="4" t="s">
        <v>14</v>
      </c>
      <c r="B12" s="4" t="s">
        <v>15</v>
      </c>
      <c r="C12" s="5">
        <f>C5+C7</f>
        <v>642761.04463589541</v>
      </c>
      <c r="D12" s="5">
        <f t="shared" ref="D12:L12" si="1">D5+D7</f>
        <v>587288</v>
      </c>
      <c r="E12" s="5">
        <f t="shared" si="1"/>
        <v>529615</v>
      </c>
      <c r="F12" s="5">
        <f t="shared" si="1"/>
        <v>469816.56018116197</v>
      </c>
      <c r="G12" s="5">
        <f t="shared" si="1"/>
        <v>411349</v>
      </c>
      <c r="H12" s="5">
        <f t="shared" si="1"/>
        <v>346213</v>
      </c>
      <c r="I12" s="5">
        <f t="shared" si="1"/>
        <v>314094</v>
      </c>
      <c r="J12" s="5">
        <f t="shared" si="1"/>
        <v>258133.06525123611</v>
      </c>
      <c r="K12" s="5">
        <f t="shared" si="1"/>
        <v>200173</v>
      </c>
      <c r="L12" s="5">
        <f t="shared" si="1"/>
        <v>168452.9916463602</v>
      </c>
    </row>
    <row r="13" spans="1:15" x14ac:dyDescent="0.2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</row>
    <row r="14" spans="1:15" x14ac:dyDescent="0.25">
      <c r="A14" s="6" t="s">
        <v>16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</row>
    <row r="15" spans="1:15" x14ac:dyDescent="0.25">
      <c r="A15" s="4" t="s">
        <v>17</v>
      </c>
      <c r="B15" s="4" t="s">
        <v>15</v>
      </c>
      <c r="C15" s="5">
        <f>C83</f>
        <v>4758.5732398938071</v>
      </c>
      <c r="D15" s="5">
        <f t="shared" ref="D15:L15" si="2">D83</f>
        <v>4504.068183103429</v>
      </c>
      <c r="E15" s="5">
        <f t="shared" si="2"/>
        <v>4215.1577972217146</v>
      </c>
      <c r="F15" s="5">
        <f t="shared" si="2"/>
        <v>3890.7574736881938</v>
      </c>
      <c r="G15" s="5">
        <f t="shared" si="2"/>
        <v>3570.5250360970495</v>
      </c>
      <c r="H15" s="5">
        <f t="shared" si="2"/>
        <v>3209.5723443357797</v>
      </c>
      <c r="I15" s="5">
        <f t="shared" si="2"/>
        <v>2451.3852425184327</v>
      </c>
      <c r="J15" s="5">
        <f t="shared" si="2"/>
        <v>2181.7373350385269</v>
      </c>
      <c r="K15" s="5">
        <f t="shared" si="2"/>
        <v>1855.531865210487</v>
      </c>
      <c r="L15" s="5">
        <f t="shared" si="2"/>
        <v>1660.3039959648843</v>
      </c>
    </row>
    <row r="16" spans="1:15" x14ac:dyDescent="0.25">
      <c r="A16" s="4" t="s">
        <v>18</v>
      </c>
      <c r="B16" s="4" t="s">
        <v>15</v>
      </c>
      <c r="C16" s="5">
        <v>1020</v>
      </c>
      <c r="D16" s="7">
        <f>C16</f>
        <v>1020</v>
      </c>
      <c r="E16" s="7">
        <f t="shared" ref="E16:L16" si="3">D16</f>
        <v>1020</v>
      </c>
      <c r="F16" s="7">
        <f t="shared" si="3"/>
        <v>1020</v>
      </c>
      <c r="G16" s="7">
        <f t="shared" si="3"/>
        <v>1020</v>
      </c>
      <c r="H16" s="7">
        <f t="shared" si="3"/>
        <v>1020</v>
      </c>
      <c r="I16" s="7">
        <f>G16</f>
        <v>1020</v>
      </c>
      <c r="J16" s="7">
        <f t="shared" si="3"/>
        <v>1020</v>
      </c>
      <c r="K16" s="7">
        <f t="shared" si="3"/>
        <v>1020</v>
      </c>
      <c r="L16" s="7">
        <f t="shared" si="3"/>
        <v>1020</v>
      </c>
    </row>
    <row r="17" spans="1:12" x14ac:dyDescent="0.25">
      <c r="A17" s="4" t="s">
        <v>19</v>
      </c>
      <c r="B17" s="4" t="s">
        <v>15</v>
      </c>
      <c r="C17" s="5">
        <v>177</v>
      </c>
      <c r="D17" s="5">
        <v>168</v>
      </c>
      <c r="E17" s="5">
        <v>158</v>
      </c>
      <c r="F17" s="5">
        <v>147</v>
      </c>
      <c r="G17" s="5">
        <v>136</v>
      </c>
      <c r="H17" s="5">
        <v>123</v>
      </c>
      <c r="I17" s="5">
        <v>89</v>
      </c>
      <c r="J17" s="5">
        <v>79</v>
      </c>
      <c r="K17" s="5">
        <v>68</v>
      </c>
      <c r="L17" s="5">
        <v>61</v>
      </c>
    </row>
    <row r="18" spans="1:12" x14ac:dyDescent="0.25">
      <c r="A18" s="4" t="s">
        <v>20</v>
      </c>
      <c r="B18" s="4" t="s">
        <v>15</v>
      </c>
      <c r="C18" s="5">
        <f>C82</f>
        <v>2472.4259538238289</v>
      </c>
      <c r="D18" s="5">
        <f t="shared" ref="D18:L18" si="4">D82</f>
        <v>2340.1920097263369</v>
      </c>
      <c r="E18" s="5">
        <f t="shared" si="4"/>
        <v>2190.0819871685776</v>
      </c>
      <c r="F18" s="5">
        <f t="shared" si="4"/>
        <v>2021.5323528771398</v>
      </c>
      <c r="G18" s="5">
        <f t="shared" si="4"/>
        <v>1855.1482393956198</v>
      </c>
      <c r="H18" s="5">
        <f t="shared" si="4"/>
        <v>1667.6069831780208</v>
      </c>
      <c r="I18" s="5">
        <f t="shared" si="4"/>
        <v>1273.673471201748</v>
      </c>
      <c r="J18" s="5">
        <f t="shared" si="4"/>
        <v>1133.5717114435051</v>
      </c>
      <c r="K18" s="5">
        <f t="shared" si="4"/>
        <v>964.08417195989705</v>
      </c>
      <c r="L18" s="5">
        <f t="shared" si="4"/>
        <v>862.64905128424584</v>
      </c>
    </row>
    <row r="19" spans="1:12" x14ac:dyDescent="0.25">
      <c r="A19" s="4" t="s">
        <v>21</v>
      </c>
      <c r="B19" s="4" t="s">
        <v>15</v>
      </c>
      <c r="C19" s="5">
        <f>(2501+219)*2</f>
        <v>5440</v>
      </c>
      <c r="D19" s="5">
        <f>(206+2317)*2</f>
        <v>5046</v>
      </c>
      <c r="E19" s="5">
        <f>(2070+199)*2</f>
        <v>4538</v>
      </c>
      <c r="F19" s="5">
        <f>(1832+180)*2</f>
        <v>4024</v>
      </c>
      <c r="G19" s="5">
        <f>(161+1616)*2</f>
        <v>3554</v>
      </c>
      <c r="H19" s="5">
        <f>(131+1323)*2</f>
        <v>2908</v>
      </c>
      <c r="I19" s="5">
        <f>(128+1770)</f>
        <v>1898</v>
      </c>
      <c r="J19" s="5">
        <f>(114+1518)</f>
        <v>1632</v>
      </c>
      <c r="K19" s="5">
        <f>(1225+93)</f>
        <v>1318</v>
      </c>
      <c r="L19" s="5">
        <f>(75+1032)</f>
        <v>1107</v>
      </c>
    </row>
    <row r="20" spans="1:12" x14ac:dyDescent="0.25">
      <c r="A20" s="4" t="s">
        <v>22</v>
      </c>
      <c r="B20" s="4" t="s">
        <v>15</v>
      </c>
      <c r="C20" s="5">
        <f t="shared" ref="C20:L20" si="5">C197</f>
        <v>468.92020126573124</v>
      </c>
      <c r="D20" s="5">
        <f t="shared" si="5"/>
        <v>443.85575557795789</v>
      </c>
      <c r="E20" s="5">
        <f t="shared" si="5"/>
        <v>415.35654079629154</v>
      </c>
      <c r="F20" s="5">
        <f t="shared" si="5"/>
        <v>383.40068408788585</v>
      </c>
      <c r="G20" s="5">
        <f t="shared" si="5"/>
        <v>351.81510730282082</v>
      </c>
      <c r="H20" s="5">
        <f t="shared" si="5"/>
        <v>315.8749019180143</v>
      </c>
      <c r="I20" s="5">
        <f t="shared" si="5"/>
        <v>241.65103204270775</v>
      </c>
      <c r="J20" s="5">
        <f t="shared" si="5"/>
        <v>215.00023996705872</v>
      </c>
      <c r="K20" s="5">
        <f t="shared" si="5"/>
        <v>182.75346888343017</v>
      </c>
      <c r="L20" s="5">
        <f t="shared" si="5"/>
        <v>163.19557045940962</v>
      </c>
    </row>
    <row r="21" spans="1:12" x14ac:dyDescent="0.25">
      <c r="A21" s="4" t="s">
        <v>23</v>
      </c>
      <c r="B21" s="4" t="s">
        <v>15</v>
      </c>
      <c r="C21" s="5">
        <v>570</v>
      </c>
      <c r="D21" s="7">
        <f>C21</f>
        <v>570</v>
      </c>
      <c r="E21" s="7">
        <f t="shared" ref="E21:L21" si="6">D21</f>
        <v>570</v>
      </c>
      <c r="F21" s="7">
        <f t="shared" si="6"/>
        <v>570</v>
      </c>
      <c r="G21" s="7">
        <f t="shared" si="6"/>
        <v>570</v>
      </c>
      <c r="H21" s="7">
        <f t="shared" si="6"/>
        <v>570</v>
      </c>
      <c r="I21" s="7">
        <f>G21</f>
        <v>570</v>
      </c>
      <c r="J21" s="7">
        <f t="shared" si="6"/>
        <v>570</v>
      </c>
      <c r="K21" s="7">
        <f t="shared" si="6"/>
        <v>570</v>
      </c>
      <c r="L21" s="7">
        <f t="shared" si="6"/>
        <v>570</v>
      </c>
    </row>
    <row r="22" spans="1:12" x14ac:dyDescent="0.25">
      <c r="A22" s="4" t="s">
        <v>24</v>
      </c>
      <c r="B22" s="4" t="s">
        <v>15</v>
      </c>
      <c r="C22" s="5">
        <v>2</v>
      </c>
      <c r="D22" s="7">
        <f>C22</f>
        <v>2</v>
      </c>
      <c r="E22" s="7">
        <f t="shared" ref="E22:L22" si="7">D22</f>
        <v>2</v>
      </c>
      <c r="F22" s="7">
        <f t="shared" si="7"/>
        <v>2</v>
      </c>
      <c r="G22" s="7">
        <f t="shared" si="7"/>
        <v>2</v>
      </c>
      <c r="H22" s="7">
        <f t="shared" si="7"/>
        <v>2</v>
      </c>
      <c r="I22" s="7">
        <f>G22</f>
        <v>2</v>
      </c>
      <c r="J22" s="7">
        <f t="shared" si="7"/>
        <v>2</v>
      </c>
      <c r="K22" s="7">
        <f t="shared" si="7"/>
        <v>2</v>
      </c>
      <c r="L22" s="7">
        <f t="shared" si="7"/>
        <v>2</v>
      </c>
    </row>
    <row r="23" spans="1:12" x14ac:dyDescent="0.25">
      <c r="A23" s="4" t="s">
        <v>35</v>
      </c>
      <c r="B23" s="4" t="s">
        <v>15</v>
      </c>
      <c r="C23" s="5">
        <v>200</v>
      </c>
      <c r="D23" s="5">
        <v>200</v>
      </c>
      <c r="E23" s="5">
        <v>200</v>
      </c>
      <c r="F23" s="5">
        <v>200</v>
      </c>
      <c r="G23" s="5">
        <v>200</v>
      </c>
      <c r="H23" s="5">
        <v>200</v>
      </c>
      <c r="I23" s="5">
        <v>200</v>
      </c>
      <c r="J23" s="5">
        <v>200</v>
      </c>
      <c r="K23" s="5">
        <v>200</v>
      </c>
      <c r="L23" s="5">
        <v>200</v>
      </c>
    </row>
    <row r="24" spans="1:12" x14ac:dyDescent="0.25">
      <c r="A24" s="4" t="s">
        <v>25</v>
      </c>
      <c r="B24" s="4" t="s">
        <v>15</v>
      </c>
      <c r="C24" s="5">
        <v>2250</v>
      </c>
      <c r="D24" s="5">
        <v>2250</v>
      </c>
      <c r="E24" s="5">
        <v>2250</v>
      </c>
      <c r="F24" s="5">
        <v>2250</v>
      </c>
      <c r="G24" s="5">
        <v>2250</v>
      </c>
      <c r="H24" s="5">
        <v>2250</v>
      </c>
      <c r="I24" s="5">
        <v>2250</v>
      </c>
      <c r="J24" s="5">
        <v>2250</v>
      </c>
      <c r="K24" s="5">
        <v>2250</v>
      </c>
      <c r="L24" s="5">
        <v>2250</v>
      </c>
    </row>
    <row r="25" spans="1:12" x14ac:dyDescent="0.25">
      <c r="A25" s="4"/>
      <c r="B25" s="4"/>
      <c r="C25" s="5"/>
      <c r="D25" s="5"/>
      <c r="E25" s="5"/>
      <c r="F25" s="5"/>
      <c r="G25" s="5"/>
      <c r="H25" s="5"/>
      <c r="I25" s="5"/>
      <c r="J25" s="5"/>
      <c r="K25" s="5"/>
      <c r="L25" s="5"/>
    </row>
    <row r="26" spans="1:12" x14ac:dyDescent="0.25">
      <c r="A26" s="28" t="s">
        <v>54</v>
      </c>
      <c r="B26" s="28" t="s">
        <v>15</v>
      </c>
      <c r="C26" s="29">
        <f>C52</f>
        <v>11773.924226192816</v>
      </c>
      <c r="D26" s="29">
        <f t="shared" ref="D26:L26" si="8">D52</f>
        <v>10970.936427200792</v>
      </c>
      <c r="E26" s="29">
        <f t="shared" si="8"/>
        <v>10166.204075307163</v>
      </c>
      <c r="F26" s="29">
        <f t="shared" si="8"/>
        <v>9249.0092113210721</v>
      </c>
      <c r="G26" s="29">
        <f t="shared" si="8"/>
        <v>8316.672053625116</v>
      </c>
      <c r="H26" s="29">
        <f t="shared" si="8"/>
        <v>7303.4059576633208</v>
      </c>
      <c r="I26" s="29">
        <f t="shared" si="8"/>
        <v>5886.9621130964078</v>
      </c>
      <c r="J26" s="29">
        <f t="shared" si="8"/>
        <v>5083.1020376535816</v>
      </c>
      <c r="K26" s="29">
        <f t="shared" si="8"/>
        <v>4158.336026812558</v>
      </c>
      <c r="L26" s="29">
        <f t="shared" si="8"/>
        <v>3651.7029788316604</v>
      </c>
    </row>
    <row r="27" spans="1:12" x14ac:dyDescent="0.25">
      <c r="A27" s="28" t="s">
        <v>56</v>
      </c>
      <c r="B27" s="28" t="s">
        <v>15</v>
      </c>
      <c r="C27" s="29">
        <f>C53</f>
        <v>19038.685982779876</v>
      </c>
      <c r="D27" s="29">
        <f t="shared" ref="D27:L27" si="9">D53</f>
        <v>17740.237626962982</v>
      </c>
      <c r="E27" s="29">
        <f t="shared" si="9"/>
        <v>16438.96829198605</v>
      </c>
      <c r="F27" s="29">
        <f t="shared" si="9"/>
        <v>14955.844682136201</v>
      </c>
      <c r="G27" s="29">
        <f t="shared" si="9"/>
        <v>13448.235661181037</v>
      </c>
      <c r="H27" s="29">
        <f t="shared" si="9"/>
        <v>11809.76282515771</v>
      </c>
      <c r="I27" s="29">
        <f t="shared" si="9"/>
        <v>9519.3429913899381</v>
      </c>
      <c r="J27" s="29">
        <f t="shared" si="9"/>
        <v>8219.4841459930249</v>
      </c>
      <c r="K27" s="29">
        <f t="shared" si="9"/>
        <v>7140</v>
      </c>
      <c r="L27" s="29">
        <f t="shared" si="9"/>
        <v>7140</v>
      </c>
    </row>
    <row r="28" spans="1:12" x14ac:dyDescent="0.25">
      <c r="A28" s="4"/>
      <c r="B28" s="4"/>
      <c r="C28" s="5"/>
      <c r="D28" s="5"/>
      <c r="E28" s="5"/>
      <c r="F28" s="5"/>
      <c r="G28" s="5"/>
      <c r="H28" s="5"/>
      <c r="I28" s="5"/>
      <c r="J28" s="5"/>
      <c r="K28" s="5"/>
      <c r="L28" s="5"/>
    </row>
    <row r="29" spans="1:12" x14ac:dyDescent="0.25">
      <c r="A29" s="28" t="s">
        <v>62</v>
      </c>
      <c r="B29" s="28" t="s">
        <v>15</v>
      </c>
      <c r="C29" s="29">
        <f>C62</f>
        <v>8571.3095999999987</v>
      </c>
      <c r="D29" s="29">
        <f t="shared" ref="D29:L29" si="10">D62</f>
        <v>8149.9090500000002</v>
      </c>
      <c r="E29" s="29">
        <f t="shared" si="10"/>
        <v>7652.232</v>
      </c>
      <c r="F29" s="29">
        <f t="shared" si="10"/>
        <v>7094.1121499999999</v>
      </c>
      <c r="G29" s="29">
        <f t="shared" si="10"/>
        <v>6530.6421</v>
      </c>
      <c r="H29" s="29">
        <f t="shared" si="10"/>
        <v>5717.8454999999994</v>
      </c>
      <c r="I29" s="29">
        <f t="shared" si="10"/>
        <v>4494.059549999999</v>
      </c>
      <c r="J29" s="29">
        <f t="shared" si="10"/>
        <v>4006.9382999999998</v>
      </c>
      <c r="K29" s="29">
        <f t="shared" si="10"/>
        <v>3398.2084499999996</v>
      </c>
      <c r="L29" s="29">
        <f t="shared" si="10"/>
        <v>2903.1703499999999</v>
      </c>
    </row>
    <row r="30" spans="1:12" x14ac:dyDescent="0.25">
      <c r="A30" s="28" t="s">
        <v>63</v>
      </c>
      <c r="B30" s="28" t="s">
        <v>15</v>
      </c>
      <c r="C30" s="29">
        <f>C63</f>
        <v>4731.3628991999994</v>
      </c>
      <c r="D30" s="29">
        <f t="shared" ref="D30:L30" si="11">D63</f>
        <v>4498.7497956000007</v>
      </c>
      <c r="E30" s="29">
        <f t="shared" si="11"/>
        <v>4224.032064</v>
      </c>
      <c r="F30" s="29">
        <f t="shared" si="11"/>
        <v>3915.9499068000005</v>
      </c>
      <c r="G30" s="29">
        <f t="shared" si="11"/>
        <v>3604.9144392000003</v>
      </c>
      <c r="H30" s="29">
        <f t="shared" si="11"/>
        <v>3156.2507159999996</v>
      </c>
      <c r="I30" s="29">
        <f t="shared" si="11"/>
        <v>2480.7208716</v>
      </c>
      <c r="J30" s="29">
        <f t="shared" si="11"/>
        <v>2211.8299416</v>
      </c>
      <c r="K30" s="29">
        <f t="shared" si="11"/>
        <v>1875.8110644000001</v>
      </c>
      <c r="L30" s="29">
        <f t="shared" si="11"/>
        <v>1602.5500331999999</v>
      </c>
    </row>
    <row r="31" spans="1:12" x14ac:dyDescent="0.2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</row>
    <row r="32" spans="1:12" x14ac:dyDescent="0.25">
      <c r="A32" s="4" t="s">
        <v>26</v>
      </c>
      <c r="B32" s="4" t="s">
        <v>15</v>
      </c>
      <c r="C32" s="5">
        <f t="shared" ref="C32:L32" si="12">SUM(C15:C31)</f>
        <v>61474.202103156065</v>
      </c>
      <c r="D32" s="5">
        <f t="shared" si="12"/>
        <v>57903.948848171494</v>
      </c>
      <c r="E32" s="5">
        <f t="shared" si="12"/>
        <v>54040.032756479792</v>
      </c>
      <c r="F32" s="5">
        <f t="shared" si="12"/>
        <v>49723.606460910494</v>
      </c>
      <c r="G32" s="5">
        <f t="shared" si="12"/>
        <v>45409.952636801645</v>
      </c>
      <c r="H32" s="5">
        <f t="shared" si="12"/>
        <v>40253.319228252854</v>
      </c>
      <c r="I32" s="5">
        <f t="shared" si="12"/>
        <v>32376.795271849231</v>
      </c>
      <c r="J32" s="5">
        <f t="shared" si="12"/>
        <v>28804.663711695699</v>
      </c>
      <c r="K32" s="5">
        <f t="shared" si="12"/>
        <v>25002.725047266373</v>
      </c>
      <c r="L32" s="5">
        <f t="shared" si="12"/>
        <v>23193.571979740202</v>
      </c>
    </row>
    <row r="33" spans="1:12" x14ac:dyDescent="0.2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</row>
    <row r="34" spans="1:12" x14ac:dyDescent="0.25">
      <c r="A34" s="6" t="s">
        <v>29</v>
      </c>
      <c r="B34" s="4" t="s">
        <v>15</v>
      </c>
      <c r="C34" s="7">
        <f t="shared" ref="C34:L34" si="13">C12-C32</f>
        <v>581286.84253273939</v>
      </c>
      <c r="D34" s="7">
        <f t="shared" si="13"/>
        <v>529384.05115182849</v>
      </c>
      <c r="E34" s="7">
        <f t="shared" si="13"/>
        <v>475574.96724352019</v>
      </c>
      <c r="F34" s="7">
        <f t="shared" si="13"/>
        <v>420092.95372025145</v>
      </c>
      <c r="G34" s="7">
        <f t="shared" si="13"/>
        <v>365939.04736319836</v>
      </c>
      <c r="H34" s="7">
        <f t="shared" si="13"/>
        <v>305959.68077174714</v>
      </c>
      <c r="I34" s="7">
        <f t="shared" si="13"/>
        <v>281717.20472815074</v>
      </c>
      <c r="J34" s="7">
        <f t="shared" si="13"/>
        <v>229328.40153954041</v>
      </c>
      <c r="K34" s="7">
        <f t="shared" si="13"/>
        <v>175170.27495273363</v>
      </c>
      <c r="L34" s="7">
        <f t="shared" si="13"/>
        <v>145259.41966662</v>
      </c>
    </row>
    <row r="35" spans="1:12" x14ac:dyDescent="0.2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</row>
    <row r="36" spans="1:12" x14ac:dyDescent="0.25">
      <c r="A36" s="4" t="s">
        <v>36</v>
      </c>
      <c r="B36" s="4" t="s">
        <v>37</v>
      </c>
      <c r="C36" s="5">
        <v>205630</v>
      </c>
      <c r="D36" s="5">
        <v>191585.47099999999</v>
      </c>
      <c r="E36" s="5">
        <v>177540.94199999998</v>
      </c>
      <c r="F36" s="5">
        <v>161501.802</v>
      </c>
      <c r="G36" s="5">
        <v>145195.34299999999</v>
      </c>
      <c r="H36" s="5">
        <f>L36*2</f>
        <v>127388</v>
      </c>
      <c r="I36" s="5">
        <v>102815</v>
      </c>
      <c r="J36" s="5">
        <v>88770.47099999999</v>
      </c>
      <c r="K36" s="5">
        <v>72597.671499999997</v>
      </c>
      <c r="L36" s="5">
        <v>63694</v>
      </c>
    </row>
    <row r="37" spans="1:12" x14ac:dyDescent="0.25">
      <c r="A37" s="4"/>
      <c r="B37" s="4" t="s">
        <v>44</v>
      </c>
      <c r="C37" s="5">
        <f>C36*0.454</f>
        <v>93356.02</v>
      </c>
      <c r="D37" s="5">
        <f t="shared" ref="D37:L37" si="14">D36*0.454</f>
        <v>86979.803834000006</v>
      </c>
      <c r="E37" s="5">
        <f t="shared" si="14"/>
        <v>80603.587667999993</v>
      </c>
      <c r="F37" s="5">
        <f t="shared" si="14"/>
        <v>73321.818108000007</v>
      </c>
      <c r="G37" s="5">
        <f t="shared" si="14"/>
        <v>65918.685721999995</v>
      </c>
      <c r="H37" s="5">
        <f t="shared" si="14"/>
        <v>57834.152000000002</v>
      </c>
      <c r="I37" s="5">
        <f t="shared" si="14"/>
        <v>46678.01</v>
      </c>
      <c r="J37" s="5">
        <f t="shared" si="14"/>
        <v>40301.793833999996</v>
      </c>
      <c r="K37" s="5">
        <f t="shared" si="14"/>
        <v>32959.342860999997</v>
      </c>
      <c r="L37" s="5">
        <f t="shared" si="14"/>
        <v>28917.076000000001</v>
      </c>
    </row>
    <row r="38" spans="1:12" x14ac:dyDescent="0.25">
      <c r="A38" s="4"/>
      <c r="B38" s="4"/>
      <c r="C38" s="5"/>
      <c r="D38" s="5"/>
      <c r="E38" s="5"/>
      <c r="F38" s="5"/>
      <c r="G38" s="5"/>
      <c r="H38" s="5"/>
      <c r="I38" s="5"/>
      <c r="J38" s="5"/>
      <c r="K38" s="5"/>
      <c r="L38" s="5"/>
    </row>
    <row r="39" spans="1:12" x14ac:dyDescent="0.25">
      <c r="A39" s="4" t="s">
        <v>47</v>
      </c>
      <c r="B39" s="4" t="s">
        <v>28</v>
      </c>
      <c r="C39" s="7">
        <f>C36*22446/1000000</f>
        <v>4615.5709800000004</v>
      </c>
      <c r="D39" s="7">
        <f t="shared" ref="D39:L39" si="15">D36*22446/1000000</f>
        <v>4300.3274820659999</v>
      </c>
      <c r="E39" s="7">
        <f t="shared" si="15"/>
        <v>3985.0839841319994</v>
      </c>
      <c r="F39" s="7">
        <f t="shared" si="15"/>
        <v>3625.0694476919998</v>
      </c>
      <c r="G39" s="7">
        <f t="shared" si="15"/>
        <v>3259.0546689779999</v>
      </c>
      <c r="H39" s="7">
        <f t="shared" si="15"/>
        <v>2859.351048</v>
      </c>
      <c r="I39" s="7">
        <f t="shared" si="15"/>
        <v>2307.7854900000002</v>
      </c>
      <c r="J39" s="7">
        <f t="shared" si="15"/>
        <v>1992.5419920659997</v>
      </c>
      <c r="K39" s="7">
        <f t="shared" si="15"/>
        <v>1629.5273344889999</v>
      </c>
      <c r="L39" s="7">
        <f t="shared" si="15"/>
        <v>1429.675524</v>
      </c>
    </row>
    <row r="40" spans="1:12" x14ac:dyDescent="0.25">
      <c r="A40" s="4"/>
      <c r="B40" s="4" t="s">
        <v>45</v>
      </c>
      <c r="C40" s="7">
        <f>C39*1.055</f>
        <v>4869.4273838999998</v>
      </c>
      <c r="D40" s="7">
        <f t="shared" ref="D40:L40" si="16">D39*1.055</f>
        <v>4536.8454935796299</v>
      </c>
      <c r="E40" s="7">
        <f t="shared" si="16"/>
        <v>4204.2636032592591</v>
      </c>
      <c r="F40" s="7">
        <f t="shared" si="16"/>
        <v>3824.4482673150596</v>
      </c>
      <c r="G40" s="7">
        <f t="shared" si="16"/>
        <v>3438.3026757717898</v>
      </c>
      <c r="H40" s="7">
        <f t="shared" si="16"/>
        <v>3016.61535564</v>
      </c>
      <c r="I40" s="7">
        <f t="shared" si="16"/>
        <v>2434.7136919499999</v>
      </c>
      <c r="J40" s="7">
        <f t="shared" si="16"/>
        <v>2102.1318016296295</v>
      </c>
      <c r="K40" s="7">
        <f t="shared" si="16"/>
        <v>1719.1513378858949</v>
      </c>
      <c r="L40" s="7">
        <f t="shared" si="16"/>
        <v>1508.30767782</v>
      </c>
    </row>
    <row r="41" spans="1:12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</row>
    <row r="42" spans="1:12" x14ac:dyDescent="0.25">
      <c r="A42" s="6" t="s">
        <v>40</v>
      </c>
      <c r="B42" s="4" t="s">
        <v>38</v>
      </c>
      <c r="C42" s="5">
        <f>C39*1000000/C34</f>
        <v>7940.2639837663974</v>
      </c>
      <c r="D42" s="5">
        <f t="shared" ref="D42:L42" si="17">D39*1000000/D34</f>
        <v>8123.2660347613246</v>
      </c>
      <c r="E42" s="5">
        <f t="shared" si="17"/>
        <v>8379.5074564793485</v>
      </c>
      <c r="F42" s="5">
        <f t="shared" si="17"/>
        <v>8629.2079302668062</v>
      </c>
      <c r="G42" s="5">
        <f t="shared" si="17"/>
        <v>8906.0041350092761</v>
      </c>
      <c r="H42" s="5">
        <f t="shared" si="17"/>
        <v>9345.5158561664884</v>
      </c>
      <c r="I42" s="5">
        <f t="shared" si="17"/>
        <v>8191.8514427507143</v>
      </c>
      <c r="J42" s="5">
        <f t="shared" si="17"/>
        <v>8688.5966966566466</v>
      </c>
      <c r="K42" s="5">
        <f t="shared" si="17"/>
        <v>9302.5334060170699</v>
      </c>
      <c r="L42" s="5">
        <f t="shared" si="17"/>
        <v>9842.2224684719258</v>
      </c>
    </row>
    <row r="43" spans="1:12" x14ac:dyDescent="0.25">
      <c r="A43" s="4"/>
      <c r="B43" s="4" t="s">
        <v>46</v>
      </c>
      <c r="C43" s="5">
        <f>C42*1.055</f>
        <v>8376.9785028735496</v>
      </c>
      <c r="D43" s="5">
        <f t="shared" ref="D43:L43" si="18">D42*1.055</f>
        <v>8570.045666673197</v>
      </c>
      <c r="E43" s="5">
        <f t="shared" si="18"/>
        <v>8840.3803665857122</v>
      </c>
      <c r="F43" s="5">
        <f t="shared" si="18"/>
        <v>9103.8143664314794</v>
      </c>
      <c r="G43" s="5">
        <f t="shared" si="18"/>
        <v>9395.8343624347854</v>
      </c>
      <c r="H43" s="5">
        <f t="shared" si="18"/>
        <v>9859.5192282556454</v>
      </c>
      <c r="I43" s="5">
        <f t="shared" si="18"/>
        <v>8642.403272102003</v>
      </c>
      <c r="J43" s="5">
        <f t="shared" si="18"/>
        <v>9166.4695149727613</v>
      </c>
      <c r="K43" s="5">
        <f t="shared" si="18"/>
        <v>9814.1727433480082</v>
      </c>
      <c r="L43" s="5">
        <f t="shared" si="18"/>
        <v>10383.544704237882</v>
      </c>
    </row>
    <row r="44" spans="1:12" x14ac:dyDescent="0.25">
      <c r="A44" s="6" t="s">
        <v>48</v>
      </c>
      <c r="B44" s="4" t="s">
        <v>39</v>
      </c>
      <c r="C44" s="8">
        <f>C34/(C39*1000000*0.0002931)</f>
        <v>0.42968405732330811</v>
      </c>
      <c r="D44" s="8">
        <f t="shared" ref="D44:L44" si="19">D34/(D39*1000000*0.0002931)</f>
        <v>0.42000407596685635</v>
      </c>
      <c r="E44" s="8">
        <f t="shared" si="19"/>
        <v>0.407160547619627</v>
      </c>
      <c r="F44" s="8">
        <f t="shared" si="19"/>
        <v>0.3953786804459804</v>
      </c>
      <c r="G44" s="8">
        <f t="shared" si="19"/>
        <v>0.38309041777233871</v>
      </c>
      <c r="H44" s="8">
        <f t="shared" si="19"/>
        <v>0.36507399883246194</v>
      </c>
      <c r="I44" s="8">
        <f t="shared" si="19"/>
        <v>0.41648763635504127</v>
      </c>
      <c r="J44" s="8">
        <f t="shared" si="19"/>
        <v>0.39267616669050076</v>
      </c>
      <c r="K44" s="8">
        <f t="shared" si="19"/>
        <v>0.36676082695452117</v>
      </c>
      <c r="L44" s="8">
        <f t="shared" si="19"/>
        <v>0.34664984008358696</v>
      </c>
    </row>
    <row r="45" spans="1:12" x14ac:dyDescent="0.25">
      <c r="A45" s="26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</row>
    <row r="46" spans="1:12" x14ac:dyDescent="0.25">
      <c r="A46" s="12" t="s">
        <v>50</v>
      </c>
    </row>
    <row r="47" spans="1:12" x14ac:dyDescent="0.25">
      <c r="A47" t="s">
        <v>49</v>
      </c>
      <c r="B47" t="s">
        <v>37</v>
      </c>
      <c r="C47" s="2">
        <v>569349.04745815578</v>
      </c>
      <c r="D47" s="2">
        <v>530519.14421658695</v>
      </c>
      <c r="E47" s="2">
        <v>491604.88001654006</v>
      </c>
      <c r="F47" s="2">
        <v>447252.29101462732</v>
      </c>
      <c r="G47" s="2">
        <v>402167.46946777729</v>
      </c>
      <c r="H47" s="2">
        <f>L47*2</f>
        <v>353169.18516813079</v>
      </c>
      <c r="I47" s="2">
        <v>284674.52372907789</v>
      </c>
      <c r="J47" s="2">
        <v>245802.44000827003</v>
      </c>
      <c r="K47" s="2">
        <v>201083.73473388865</v>
      </c>
      <c r="L47" s="2">
        <v>176584.59258406539</v>
      </c>
    </row>
    <row r="48" spans="1:12" x14ac:dyDescent="0.25">
      <c r="A48" t="s">
        <v>51</v>
      </c>
      <c r="B48" t="s">
        <v>39</v>
      </c>
      <c r="C48" s="13">
        <v>0.97</v>
      </c>
      <c r="D48" s="13">
        <v>0.97</v>
      </c>
      <c r="E48" s="13">
        <v>0.97</v>
      </c>
      <c r="F48" s="13">
        <v>0.97</v>
      </c>
      <c r="G48" s="13">
        <v>0.97</v>
      </c>
      <c r="H48" s="13">
        <v>0.97</v>
      </c>
      <c r="I48" s="13">
        <v>0.97</v>
      </c>
      <c r="J48" s="13">
        <v>0.97</v>
      </c>
      <c r="K48" s="13">
        <v>0.97</v>
      </c>
      <c r="L48" s="13">
        <v>0.97</v>
      </c>
    </row>
    <row r="49" spans="1:12" x14ac:dyDescent="0.25">
      <c r="A49" t="s">
        <v>52</v>
      </c>
      <c r="B49" t="s">
        <v>37</v>
      </c>
      <c r="C49" s="3">
        <f>C47*C48</f>
        <v>552268.57603441109</v>
      </c>
      <c r="D49" s="3">
        <f t="shared" ref="D49:L49" si="20">D47*D48</f>
        <v>514603.56989008933</v>
      </c>
      <c r="E49" s="3">
        <f t="shared" si="20"/>
        <v>476856.73361604387</v>
      </c>
      <c r="F49" s="3">
        <f t="shared" si="20"/>
        <v>433834.72228418849</v>
      </c>
      <c r="G49" s="3">
        <f t="shared" si="20"/>
        <v>390102.44538374397</v>
      </c>
      <c r="H49" s="3">
        <f t="shared" si="20"/>
        <v>342574.10961308685</v>
      </c>
      <c r="I49" s="3">
        <f t="shared" si="20"/>
        <v>276134.28801720554</v>
      </c>
      <c r="J49" s="3">
        <f t="shared" si="20"/>
        <v>238428.36680802194</v>
      </c>
      <c r="K49" s="3">
        <f t="shared" si="20"/>
        <v>195051.22269187198</v>
      </c>
      <c r="L49" s="3">
        <f t="shared" si="20"/>
        <v>171287.05480654343</v>
      </c>
    </row>
    <row r="50" spans="1:12" x14ac:dyDescent="0.25">
      <c r="B50" t="s">
        <v>53</v>
      </c>
      <c r="C50" s="14">
        <f>C49*0.0004536</f>
        <v>250.50902608920887</v>
      </c>
      <c r="D50" s="14">
        <f t="shared" ref="D50:L50" si="21">D49*0.0004536</f>
        <v>233.42417930214452</v>
      </c>
      <c r="E50" s="14">
        <f t="shared" si="21"/>
        <v>216.30221436823751</v>
      </c>
      <c r="F50" s="14">
        <f t="shared" si="21"/>
        <v>196.78743002810791</v>
      </c>
      <c r="G50" s="14">
        <f t="shared" si="21"/>
        <v>176.95046922606628</v>
      </c>
      <c r="H50" s="14">
        <f t="shared" si="21"/>
        <v>155.3916161204962</v>
      </c>
      <c r="I50" s="14">
        <f t="shared" si="21"/>
        <v>125.25451304460444</v>
      </c>
      <c r="J50" s="14">
        <f t="shared" si="21"/>
        <v>108.15110718411876</v>
      </c>
      <c r="K50" s="14">
        <f t="shared" si="21"/>
        <v>88.475234613033138</v>
      </c>
      <c r="L50" s="14">
        <f t="shared" si="21"/>
        <v>77.695808060248098</v>
      </c>
    </row>
    <row r="52" spans="1:12" x14ac:dyDescent="0.25">
      <c r="A52" s="20" t="s">
        <v>55</v>
      </c>
      <c r="B52" s="20" t="s">
        <v>15</v>
      </c>
      <c r="C52" s="24">
        <f>C50*0.047*1000</f>
        <v>11773.924226192816</v>
      </c>
      <c r="D52" s="24">
        <f t="shared" ref="D52:L52" si="22">D50*0.047*1000</f>
        <v>10970.936427200792</v>
      </c>
      <c r="E52" s="24">
        <f t="shared" si="22"/>
        <v>10166.204075307163</v>
      </c>
      <c r="F52" s="24">
        <f t="shared" si="22"/>
        <v>9249.0092113210721</v>
      </c>
      <c r="G52" s="24">
        <f t="shared" si="22"/>
        <v>8316.672053625116</v>
      </c>
      <c r="H52" s="24">
        <f t="shared" si="22"/>
        <v>7303.4059576633208</v>
      </c>
      <c r="I52" s="24">
        <f t="shared" si="22"/>
        <v>5886.9621130964078</v>
      </c>
      <c r="J52" s="24">
        <f t="shared" si="22"/>
        <v>5083.1020376535816</v>
      </c>
      <c r="K52" s="24">
        <f t="shared" si="22"/>
        <v>4158.336026812558</v>
      </c>
      <c r="L52" s="24">
        <f t="shared" si="22"/>
        <v>3651.7029788316604</v>
      </c>
    </row>
    <row r="53" spans="1:12" ht="45" x14ac:dyDescent="0.25">
      <c r="A53" s="27" t="s">
        <v>122</v>
      </c>
      <c r="B53" s="20" t="s">
        <v>15</v>
      </c>
      <c r="C53" s="24">
        <f>0.076*C50*1000</f>
        <v>19038.685982779876</v>
      </c>
      <c r="D53" s="24">
        <f t="shared" ref="D53:J53" si="23">0.076*D50*1000</f>
        <v>17740.237626962982</v>
      </c>
      <c r="E53" s="24">
        <f t="shared" si="23"/>
        <v>16438.96829198605</v>
      </c>
      <c r="F53" s="24">
        <f t="shared" si="23"/>
        <v>14955.844682136201</v>
      </c>
      <c r="G53" s="24">
        <f t="shared" si="23"/>
        <v>13448.235661181037</v>
      </c>
      <c r="H53" s="24">
        <f t="shared" si="23"/>
        <v>11809.76282515771</v>
      </c>
      <c r="I53" s="24">
        <f t="shared" si="23"/>
        <v>9519.3429913899381</v>
      </c>
      <c r="J53" s="24">
        <f t="shared" si="23"/>
        <v>8219.4841459930249</v>
      </c>
      <c r="K53" s="24">
        <v>7140</v>
      </c>
      <c r="L53" s="24">
        <v>7140</v>
      </c>
    </row>
    <row r="55" spans="1:12" x14ac:dyDescent="0.25">
      <c r="A55" s="12" t="s">
        <v>57</v>
      </c>
    </row>
    <row r="56" spans="1:12" x14ac:dyDescent="0.25">
      <c r="A56" t="s">
        <v>124</v>
      </c>
    </row>
    <row r="57" spans="1:12" x14ac:dyDescent="0.25">
      <c r="A57" t="s">
        <v>123</v>
      </c>
    </row>
    <row r="59" spans="1:12" x14ac:dyDescent="0.25">
      <c r="A59" t="s">
        <v>58</v>
      </c>
      <c r="B59" t="s">
        <v>37</v>
      </c>
      <c r="C59" s="16">
        <v>237104</v>
      </c>
      <c r="D59" s="16">
        <v>225447</v>
      </c>
      <c r="E59" s="16">
        <v>211680</v>
      </c>
      <c r="F59" s="16">
        <v>196241</v>
      </c>
      <c r="G59" s="16">
        <v>180654</v>
      </c>
      <c r="H59" s="16">
        <v>158170</v>
      </c>
      <c r="I59" s="16">
        <v>124317</v>
      </c>
      <c r="J59" s="16">
        <v>110842</v>
      </c>
      <c r="K59" s="16">
        <v>94003</v>
      </c>
      <c r="L59" s="16">
        <v>80309</v>
      </c>
    </row>
    <row r="60" spans="1:12" x14ac:dyDescent="0.25">
      <c r="A60" t="s">
        <v>59</v>
      </c>
      <c r="B60" t="s">
        <v>53</v>
      </c>
      <c r="C60" s="3">
        <f>C59*0.0001446</f>
        <v>34.285238399999997</v>
      </c>
      <c r="D60" s="3">
        <f t="shared" ref="D60:L60" si="24">D59*0.0001446</f>
        <v>32.599636199999999</v>
      </c>
      <c r="E60" s="3">
        <f t="shared" si="24"/>
        <v>30.608927999999999</v>
      </c>
      <c r="F60" s="3">
        <f t="shared" si="24"/>
        <v>28.3764486</v>
      </c>
      <c r="G60" s="3">
        <f t="shared" si="24"/>
        <v>26.122568399999999</v>
      </c>
      <c r="H60" s="3">
        <f t="shared" si="24"/>
        <v>22.871381999999997</v>
      </c>
      <c r="I60" s="3">
        <f t="shared" si="24"/>
        <v>17.976238199999997</v>
      </c>
      <c r="J60" s="3">
        <f t="shared" si="24"/>
        <v>16.027753199999999</v>
      </c>
      <c r="K60" s="3">
        <f t="shared" si="24"/>
        <v>13.592833799999999</v>
      </c>
      <c r="L60" s="3">
        <f t="shared" si="24"/>
        <v>11.6126814</v>
      </c>
    </row>
    <row r="62" spans="1:12" x14ac:dyDescent="0.25">
      <c r="A62" s="20" t="s">
        <v>60</v>
      </c>
      <c r="B62" s="20" t="s">
        <v>15</v>
      </c>
      <c r="C62" s="24">
        <f>C60*0.25*1000</f>
        <v>8571.3095999999987</v>
      </c>
      <c r="D62" s="24">
        <f t="shared" ref="D62:L62" si="25">D60*0.25*1000</f>
        <v>8149.9090500000002</v>
      </c>
      <c r="E62" s="24">
        <f t="shared" si="25"/>
        <v>7652.232</v>
      </c>
      <c r="F62" s="24">
        <f t="shared" si="25"/>
        <v>7094.1121499999999</v>
      </c>
      <c r="G62" s="24">
        <f t="shared" si="25"/>
        <v>6530.6421</v>
      </c>
      <c r="H62" s="24">
        <f t="shared" si="25"/>
        <v>5717.8454999999994</v>
      </c>
      <c r="I62" s="24">
        <f t="shared" si="25"/>
        <v>4494.059549999999</v>
      </c>
      <c r="J62" s="24">
        <f t="shared" si="25"/>
        <v>4006.9382999999998</v>
      </c>
      <c r="K62" s="24">
        <f t="shared" si="25"/>
        <v>3398.2084499999996</v>
      </c>
      <c r="L62" s="24">
        <f t="shared" si="25"/>
        <v>2903.1703499999999</v>
      </c>
    </row>
    <row r="63" spans="1:12" x14ac:dyDescent="0.25">
      <c r="A63" s="20" t="s">
        <v>61</v>
      </c>
      <c r="B63" s="20" t="s">
        <v>15</v>
      </c>
      <c r="C63" s="24">
        <f>C60*0.138*1000</f>
        <v>4731.3628991999994</v>
      </c>
      <c r="D63" s="24">
        <f t="shared" ref="D63:L63" si="26">D60*0.138*1000</f>
        <v>4498.7497956000007</v>
      </c>
      <c r="E63" s="24">
        <f t="shared" si="26"/>
        <v>4224.032064</v>
      </c>
      <c r="F63" s="24">
        <f t="shared" si="26"/>
        <v>3915.9499068000005</v>
      </c>
      <c r="G63" s="24">
        <f t="shared" si="26"/>
        <v>3604.9144392000003</v>
      </c>
      <c r="H63" s="24">
        <f t="shared" si="26"/>
        <v>3156.2507159999996</v>
      </c>
      <c r="I63" s="24">
        <f t="shared" si="26"/>
        <v>2480.7208716</v>
      </c>
      <c r="J63" s="24">
        <f t="shared" si="26"/>
        <v>2211.8299416</v>
      </c>
      <c r="K63" s="24">
        <f t="shared" si="26"/>
        <v>1875.8110644000001</v>
      </c>
      <c r="L63" s="24">
        <f t="shared" si="26"/>
        <v>1602.5500331999999</v>
      </c>
    </row>
    <row r="65" spans="1:12" x14ac:dyDescent="0.25">
      <c r="A65" s="12" t="s">
        <v>64</v>
      </c>
    </row>
    <row r="66" spans="1:12" x14ac:dyDescent="0.25">
      <c r="A66" t="s">
        <v>65</v>
      </c>
      <c r="B66" t="s">
        <v>28</v>
      </c>
      <c r="C66">
        <v>571</v>
      </c>
      <c r="D66">
        <v>562</v>
      </c>
      <c r="E66">
        <v>537</v>
      </c>
      <c r="F66">
        <v>512</v>
      </c>
      <c r="G66">
        <v>490</v>
      </c>
      <c r="H66">
        <v>463.5</v>
      </c>
      <c r="I66">
        <v>305</v>
      </c>
      <c r="J66">
        <v>289</v>
      </c>
      <c r="K66">
        <v>265</v>
      </c>
      <c r="L66">
        <v>245</v>
      </c>
    </row>
    <row r="67" spans="1:12" x14ac:dyDescent="0.25">
      <c r="A67" t="s">
        <v>121</v>
      </c>
      <c r="B67" t="s">
        <v>28</v>
      </c>
      <c r="C67">
        <v>76</v>
      </c>
      <c r="D67">
        <v>70</v>
      </c>
      <c r="E67">
        <v>65</v>
      </c>
      <c r="F67">
        <v>58</v>
      </c>
      <c r="G67">
        <v>52</v>
      </c>
      <c r="H67">
        <v>45.5</v>
      </c>
      <c r="I67">
        <v>37</v>
      </c>
      <c r="J67">
        <v>32</v>
      </c>
      <c r="K67">
        <v>25</v>
      </c>
      <c r="L67">
        <v>23</v>
      </c>
    </row>
    <row r="69" spans="1:12" x14ac:dyDescent="0.25">
      <c r="A69" s="20" t="s">
        <v>127</v>
      </c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</row>
    <row r="70" spans="1:12" x14ac:dyDescent="0.25">
      <c r="A70" s="20"/>
      <c r="B70" s="20" t="s">
        <v>28</v>
      </c>
      <c r="C70" s="24">
        <f>5.864*C50</f>
        <v>1468.9849289871208</v>
      </c>
      <c r="D70" s="24">
        <f t="shared" ref="D70:L70" si="27">5.864*D50</f>
        <v>1368.7993874277754</v>
      </c>
      <c r="E70" s="24">
        <f t="shared" si="27"/>
        <v>1268.3961850553449</v>
      </c>
      <c r="F70" s="24">
        <f t="shared" si="27"/>
        <v>1153.9614896848248</v>
      </c>
      <c r="G70" s="24">
        <f t="shared" si="27"/>
        <v>1037.6375515416526</v>
      </c>
      <c r="H70" s="24">
        <f t="shared" si="27"/>
        <v>911.21643693058968</v>
      </c>
      <c r="I70" s="24">
        <f t="shared" si="27"/>
        <v>734.49246449356042</v>
      </c>
      <c r="J70" s="24">
        <f t="shared" si="27"/>
        <v>634.19809252767243</v>
      </c>
      <c r="K70" s="24">
        <f t="shared" si="27"/>
        <v>518.81877577082628</v>
      </c>
      <c r="L70" s="24">
        <f t="shared" si="27"/>
        <v>455.60821846529484</v>
      </c>
    </row>
    <row r="71" spans="1:12" x14ac:dyDescent="0.25">
      <c r="A71" s="20" t="s">
        <v>67</v>
      </c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</row>
    <row r="72" spans="1:12" x14ac:dyDescent="0.25">
      <c r="A72" s="20"/>
      <c r="B72" s="20" t="s">
        <v>28</v>
      </c>
      <c r="C72" s="24">
        <f>533/138*C60</f>
        <v>132.42052222608694</v>
      </c>
      <c r="D72" s="24">
        <f t="shared" ref="D72:L72" si="28">533/138*D60</f>
        <v>125.91018909130433</v>
      </c>
      <c r="E72" s="24">
        <f t="shared" si="28"/>
        <v>118.22143930434781</v>
      </c>
      <c r="F72" s="24">
        <f t="shared" si="28"/>
        <v>109.59889205652173</v>
      </c>
      <c r="G72" s="24">
        <f t="shared" si="28"/>
        <v>100.89368809565217</v>
      </c>
      <c r="H72" s="24">
        <f t="shared" si="28"/>
        <v>88.33656960869564</v>
      </c>
      <c r="I72" s="24">
        <f t="shared" si="28"/>
        <v>69.429963482608684</v>
      </c>
      <c r="J72" s="24">
        <f t="shared" si="28"/>
        <v>61.904293156521732</v>
      </c>
      <c r="K72" s="24">
        <f t="shared" si="28"/>
        <v>52.499858082608689</v>
      </c>
      <c r="L72" s="24">
        <f t="shared" si="28"/>
        <v>44.85187816086956</v>
      </c>
    </row>
    <row r="73" spans="1:12" x14ac:dyDescent="0.25">
      <c r="A73" s="20" t="s">
        <v>66</v>
      </c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</row>
    <row r="74" spans="1:12" x14ac:dyDescent="0.25">
      <c r="A74" s="20"/>
      <c r="B74" s="20" t="s">
        <v>28</v>
      </c>
      <c r="C74" s="24">
        <f>99/138*C60</f>
        <v>24.595931895652171</v>
      </c>
      <c r="D74" s="24">
        <f t="shared" ref="D74:L74" si="29">99/138*D60</f>
        <v>23.386695534782607</v>
      </c>
      <c r="E74" s="24">
        <f t="shared" si="29"/>
        <v>21.958578782608694</v>
      </c>
      <c r="F74" s="24">
        <f t="shared" si="29"/>
        <v>20.357017473913043</v>
      </c>
      <c r="G74" s="24">
        <f t="shared" si="29"/>
        <v>18.740103417391303</v>
      </c>
      <c r="H74" s="24">
        <f t="shared" si="29"/>
        <v>16.407730565217388</v>
      </c>
      <c r="I74" s="24">
        <f t="shared" si="29"/>
        <v>12.895996969565214</v>
      </c>
      <c r="J74" s="24">
        <f t="shared" si="29"/>
        <v>11.498170773913042</v>
      </c>
      <c r="K74" s="24">
        <f t="shared" si="29"/>
        <v>9.7513807695652162</v>
      </c>
      <c r="L74" s="24">
        <f t="shared" si="29"/>
        <v>8.330836656521738</v>
      </c>
    </row>
    <row r="75" spans="1:12" x14ac:dyDescent="0.25">
      <c r="A75" s="20"/>
      <c r="B75" s="20"/>
      <c r="C75" s="24"/>
      <c r="D75" s="24"/>
      <c r="E75" s="24"/>
      <c r="F75" s="24"/>
      <c r="G75" s="24"/>
      <c r="H75" s="24"/>
      <c r="I75" s="24"/>
      <c r="J75" s="24"/>
      <c r="K75" s="24"/>
      <c r="L75" s="24"/>
    </row>
    <row r="76" spans="1:12" x14ac:dyDescent="0.25">
      <c r="A76" s="20" t="s">
        <v>126</v>
      </c>
      <c r="B76" s="20" t="s">
        <v>28</v>
      </c>
      <c r="C76" s="24">
        <v>25</v>
      </c>
      <c r="D76" s="24">
        <v>25</v>
      </c>
      <c r="E76" s="24">
        <v>25</v>
      </c>
      <c r="F76" s="24">
        <v>25</v>
      </c>
      <c r="G76" s="24">
        <v>25</v>
      </c>
      <c r="H76" s="24">
        <v>25</v>
      </c>
      <c r="I76" s="24">
        <v>25</v>
      </c>
      <c r="J76" s="24">
        <v>25</v>
      </c>
      <c r="K76" s="24">
        <v>25</v>
      </c>
      <c r="L76" s="24">
        <v>25</v>
      </c>
    </row>
    <row r="78" spans="1:12" x14ac:dyDescent="0.25">
      <c r="A78" t="s">
        <v>68</v>
      </c>
      <c r="B78" t="s">
        <v>28</v>
      </c>
      <c r="C78" s="19">
        <f>SUM(C66:C76)</f>
        <v>2298.00138310886</v>
      </c>
      <c r="D78" s="19">
        <f t="shared" ref="D78:L78" si="30">SUM(D66:D76)</f>
        <v>2175.0962720538623</v>
      </c>
      <c r="E78" s="19">
        <f t="shared" si="30"/>
        <v>2035.5762031423012</v>
      </c>
      <c r="F78" s="19">
        <f t="shared" si="30"/>
        <v>1878.9173992152594</v>
      </c>
      <c r="G78" s="19">
        <f t="shared" si="30"/>
        <v>1724.271343054696</v>
      </c>
      <c r="H78" s="19">
        <f t="shared" si="30"/>
        <v>1549.9607371045029</v>
      </c>
      <c r="I78" s="19">
        <f t="shared" si="30"/>
        <v>1183.8184249457343</v>
      </c>
      <c r="J78" s="19">
        <f t="shared" si="30"/>
        <v>1053.6005564581071</v>
      </c>
      <c r="K78" s="19">
        <f t="shared" si="30"/>
        <v>896.07001462300025</v>
      </c>
      <c r="L78" s="19">
        <f t="shared" si="30"/>
        <v>801.79093328268607</v>
      </c>
    </row>
    <row r="79" spans="1:12" x14ac:dyDescent="0.25">
      <c r="A79" t="s">
        <v>125</v>
      </c>
      <c r="B79" t="s">
        <v>28</v>
      </c>
      <c r="C79">
        <v>1357</v>
      </c>
      <c r="D79">
        <f>C79</f>
        <v>1357</v>
      </c>
      <c r="E79">
        <f t="shared" ref="E79:L79" si="31">D79</f>
        <v>1357</v>
      </c>
      <c r="F79">
        <f t="shared" si="31"/>
        <v>1357</v>
      </c>
      <c r="G79">
        <f t="shared" si="31"/>
        <v>1357</v>
      </c>
      <c r="H79">
        <f t="shared" si="31"/>
        <v>1357</v>
      </c>
      <c r="I79">
        <f>G79</f>
        <v>1357</v>
      </c>
      <c r="J79">
        <f t="shared" si="31"/>
        <v>1357</v>
      </c>
      <c r="K79">
        <f t="shared" si="31"/>
        <v>1357</v>
      </c>
      <c r="L79">
        <f t="shared" si="31"/>
        <v>1357</v>
      </c>
    </row>
    <row r="80" spans="1:12" x14ac:dyDescent="0.25">
      <c r="A80" t="s">
        <v>69</v>
      </c>
      <c r="C80" s="18">
        <f>C78/C79</f>
        <v>1.69344243412591</v>
      </c>
      <c r="D80" s="18">
        <f t="shared" ref="D80:L80" si="32">D78/D79</f>
        <v>1.6028712395385869</v>
      </c>
      <c r="E80" s="18">
        <f t="shared" si="32"/>
        <v>1.5000561555949161</v>
      </c>
      <c r="F80" s="18">
        <f t="shared" si="32"/>
        <v>1.3846112006007807</v>
      </c>
      <c r="G80" s="18">
        <f t="shared" si="32"/>
        <v>1.2706494790380958</v>
      </c>
      <c r="H80" s="18">
        <f t="shared" si="32"/>
        <v>1.1421965638205622</v>
      </c>
      <c r="I80" s="18">
        <f t="shared" si="32"/>
        <v>0.87237908986421098</v>
      </c>
      <c r="J80" s="18">
        <f t="shared" si="32"/>
        <v>0.77641898044075686</v>
      </c>
      <c r="K80" s="18">
        <f t="shared" si="32"/>
        <v>0.66033162463006656</v>
      </c>
      <c r="L80" s="18">
        <f t="shared" si="32"/>
        <v>0.59085551457825058</v>
      </c>
    </row>
    <row r="82" spans="1:12" x14ac:dyDescent="0.25">
      <c r="A82" t="s">
        <v>70</v>
      </c>
      <c r="B82" t="s">
        <v>15</v>
      </c>
      <c r="C82" s="2">
        <f>1460/C79*C78</f>
        <v>2472.4259538238289</v>
      </c>
      <c r="D82" s="2">
        <f t="shared" ref="D82:L82" si="33">1460/D79*D78</f>
        <v>2340.1920097263369</v>
      </c>
      <c r="E82" s="2">
        <f t="shared" si="33"/>
        <v>2190.0819871685776</v>
      </c>
      <c r="F82" s="2">
        <f t="shared" si="33"/>
        <v>2021.5323528771398</v>
      </c>
      <c r="G82" s="2">
        <f t="shared" si="33"/>
        <v>1855.1482393956198</v>
      </c>
      <c r="H82" s="2">
        <f t="shared" si="33"/>
        <v>1667.6069831780208</v>
      </c>
      <c r="I82" s="2">
        <f t="shared" si="33"/>
        <v>1273.673471201748</v>
      </c>
      <c r="J82" s="2">
        <f t="shared" si="33"/>
        <v>1133.5717114435051</v>
      </c>
      <c r="K82" s="2">
        <f t="shared" si="33"/>
        <v>964.08417195989705</v>
      </c>
      <c r="L82" s="2">
        <f t="shared" si="33"/>
        <v>862.64905128424584</v>
      </c>
    </row>
    <row r="83" spans="1:12" x14ac:dyDescent="0.25">
      <c r="A83" t="s">
        <v>71</v>
      </c>
      <c r="B83" t="s">
        <v>15</v>
      </c>
      <c r="C83" s="2">
        <f>2810/C79*C78</f>
        <v>4758.5732398938071</v>
      </c>
      <c r="D83" s="2">
        <f t="shared" ref="D83:L83" si="34">2810/D79*D78</f>
        <v>4504.068183103429</v>
      </c>
      <c r="E83" s="2">
        <f t="shared" si="34"/>
        <v>4215.1577972217146</v>
      </c>
      <c r="F83" s="2">
        <f t="shared" si="34"/>
        <v>3890.7574736881938</v>
      </c>
      <c r="G83" s="2">
        <f t="shared" si="34"/>
        <v>3570.5250360970495</v>
      </c>
      <c r="H83" s="2">
        <f t="shared" si="34"/>
        <v>3209.5723443357797</v>
      </c>
      <c r="I83" s="2">
        <f t="shared" si="34"/>
        <v>2451.3852425184327</v>
      </c>
      <c r="J83" s="2">
        <f t="shared" si="34"/>
        <v>2181.7373350385269</v>
      </c>
      <c r="K83" s="2">
        <f t="shared" si="34"/>
        <v>1855.531865210487</v>
      </c>
      <c r="L83" s="2">
        <f t="shared" si="34"/>
        <v>1660.3039959648843</v>
      </c>
    </row>
    <row r="85" spans="1:12" x14ac:dyDescent="0.25">
      <c r="A85" s="12" t="s">
        <v>72</v>
      </c>
    </row>
    <row r="86" spans="1:12" x14ac:dyDescent="0.25">
      <c r="A86" t="s">
        <v>73</v>
      </c>
      <c r="B86" t="s">
        <v>31</v>
      </c>
      <c r="C86" s="2">
        <f>2897/C79*C78</f>
        <v>4905.9027316627617</v>
      </c>
      <c r="D86" s="2">
        <f t="shared" ref="D86:L86" si="35">2897/D79*D78</f>
        <v>4643.5179809432857</v>
      </c>
      <c r="E86" s="2">
        <f t="shared" si="35"/>
        <v>4345.6626827584723</v>
      </c>
      <c r="F86" s="2">
        <f t="shared" si="35"/>
        <v>4011.2186481404615</v>
      </c>
      <c r="G86" s="2">
        <f t="shared" si="35"/>
        <v>3681.0715407733637</v>
      </c>
      <c r="H86" s="2">
        <f t="shared" si="35"/>
        <v>3308.9434453881686</v>
      </c>
      <c r="I86" s="2">
        <f t="shared" si="35"/>
        <v>2527.2822233366192</v>
      </c>
      <c r="J86" s="2">
        <f t="shared" si="35"/>
        <v>2249.2857863368727</v>
      </c>
      <c r="K86" s="2">
        <f t="shared" si="35"/>
        <v>1912.9807165533027</v>
      </c>
      <c r="L86" s="2">
        <f t="shared" si="35"/>
        <v>1711.7084257331919</v>
      </c>
    </row>
    <row r="87" spans="1:12" x14ac:dyDescent="0.25">
      <c r="A87" t="s">
        <v>74</v>
      </c>
      <c r="B87" t="s">
        <v>31</v>
      </c>
      <c r="C87" s="2">
        <f>15872/500</f>
        <v>31.744</v>
      </c>
      <c r="D87" s="2">
        <f>15030/500</f>
        <v>30.06</v>
      </c>
      <c r="E87" s="2">
        <f>13814/500</f>
        <v>27.628</v>
      </c>
      <c r="F87" s="2">
        <f>12720/500</f>
        <v>25.44</v>
      </c>
      <c r="G87" s="2">
        <f>11656/500</f>
        <v>23.312000000000001</v>
      </c>
      <c r="H87" s="2">
        <f>10932/500</f>
        <v>21.864000000000001</v>
      </c>
      <c r="I87" s="2">
        <f>8019/500</f>
        <v>16.038</v>
      </c>
      <c r="J87" s="2">
        <f>7041/500</f>
        <v>14.082000000000001</v>
      </c>
      <c r="K87" s="2">
        <f>5973/500</f>
        <v>11.946</v>
      </c>
      <c r="L87" s="2">
        <f>5580/500</f>
        <v>11.16</v>
      </c>
    </row>
    <row r="89" spans="1:12" x14ac:dyDescent="0.25">
      <c r="A89" t="s">
        <v>75</v>
      </c>
    </row>
    <row r="90" spans="1:12" x14ac:dyDescent="0.25">
      <c r="B90" t="s">
        <v>31</v>
      </c>
      <c r="C90" s="3">
        <f>59*C50/250</f>
        <v>59.120130157053296</v>
      </c>
      <c r="D90" s="3">
        <f t="shared" ref="D90:L90" si="36">59*D50/250</f>
        <v>55.088106315306106</v>
      </c>
      <c r="E90" s="3">
        <f t="shared" si="36"/>
        <v>51.047322590904052</v>
      </c>
      <c r="F90" s="3">
        <f t="shared" si="36"/>
        <v>46.441833486633463</v>
      </c>
      <c r="G90" s="3">
        <f t="shared" si="36"/>
        <v>41.760310737351638</v>
      </c>
      <c r="H90" s="3">
        <f t="shared" si="36"/>
        <v>36.672421404437102</v>
      </c>
      <c r="I90" s="3">
        <f t="shared" si="36"/>
        <v>29.560065078526648</v>
      </c>
      <c r="J90" s="3">
        <f t="shared" si="36"/>
        <v>25.523661295452026</v>
      </c>
      <c r="K90" s="3">
        <f t="shared" si="36"/>
        <v>20.880155368675819</v>
      </c>
      <c r="L90" s="3">
        <f t="shared" si="36"/>
        <v>18.336210702218551</v>
      </c>
    </row>
    <row r="91" spans="1:12" x14ac:dyDescent="0.25">
      <c r="A91" t="s">
        <v>76</v>
      </c>
    </row>
    <row r="92" spans="1:12" x14ac:dyDescent="0.25">
      <c r="B92" t="s">
        <v>31</v>
      </c>
      <c r="C92" s="3">
        <f>C59/2/500</f>
        <v>237.10400000000001</v>
      </c>
      <c r="D92" s="3">
        <f t="shared" ref="D92:L92" si="37">D59/2/500</f>
        <v>225.447</v>
      </c>
      <c r="E92" s="3">
        <f t="shared" si="37"/>
        <v>211.68</v>
      </c>
      <c r="F92" s="3">
        <f t="shared" si="37"/>
        <v>196.24100000000001</v>
      </c>
      <c r="G92" s="3">
        <f>G59/2/500</f>
        <v>180.654</v>
      </c>
      <c r="H92" s="3">
        <f>H59/2/500</f>
        <v>158.16999999999999</v>
      </c>
      <c r="I92" s="3">
        <f t="shared" si="37"/>
        <v>124.31699999999999</v>
      </c>
      <c r="J92" s="3">
        <f t="shared" si="37"/>
        <v>110.842</v>
      </c>
      <c r="K92" s="3">
        <f t="shared" si="37"/>
        <v>94.003</v>
      </c>
      <c r="L92" s="3">
        <f t="shared" si="37"/>
        <v>80.308999999999997</v>
      </c>
    </row>
    <row r="93" spans="1:12" x14ac:dyDescent="0.25">
      <c r="C93" s="15"/>
      <c r="D93" s="15"/>
      <c r="E93" s="15"/>
      <c r="F93" s="15"/>
      <c r="G93" s="15"/>
      <c r="H93" s="15"/>
      <c r="I93" s="15"/>
      <c r="J93" s="15"/>
      <c r="K93" s="15"/>
      <c r="L93" s="15"/>
    </row>
    <row r="94" spans="1:12" x14ac:dyDescent="0.25">
      <c r="A94" s="21" t="s">
        <v>79</v>
      </c>
    </row>
    <row r="95" spans="1:12" x14ac:dyDescent="0.25">
      <c r="A95" s="20" t="s">
        <v>80</v>
      </c>
      <c r="B95" s="20" t="s">
        <v>53</v>
      </c>
      <c r="C95" s="23">
        <f t="shared" ref="C95:L95" si="38">C50</f>
        <v>250.50902608920887</v>
      </c>
      <c r="D95" s="23">
        <f t="shared" si="38"/>
        <v>233.42417930214452</v>
      </c>
      <c r="E95" s="23">
        <f t="shared" si="38"/>
        <v>216.30221436823751</v>
      </c>
      <c r="F95" s="23">
        <f t="shared" si="38"/>
        <v>196.78743002810791</v>
      </c>
      <c r="G95" s="23">
        <f t="shared" si="38"/>
        <v>176.95046922606628</v>
      </c>
      <c r="H95" s="23">
        <f t="shared" si="38"/>
        <v>155.3916161204962</v>
      </c>
      <c r="I95" s="23">
        <f t="shared" si="38"/>
        <v>125.25451304460444</v>
      </c>
      <c r="J95" s="23">
        <f t="shared" si="38"/>
        <v>108.15110718411876</v>
      </c>
      <c r="K95" s="23">
        <f t="shared" si="38"/>
        <v>88.475234613033138</v>
      </c>
      <c r="L95" s="23">
        <f t="shared" si="38"/>
        <v>77.695808060248098</v>
      </c>
    </row>
    <row r="96" spans="1:12" x14ac:dyDescent="0.25">
      <c r="A96" s="20" t="s">
        <v>81</v>
      </c>
      <c r="B96" s="20" t="s">
        <v>53</v>
      </c>
      <c r="C96" s="23">
        <f t="shared" ref="C96:L96" si="39">C60</f>
        <v>34.285238399999997</v>
      </c>
      <c r="D96" s="23">
        <f t="shared" si="39"/>
        <v>32.599636199999999</v>
      </c>
      <c r="E96" s="23">
        <f t="shared" si="39"/>
        <v>30.608927999999999</v>
      </c>
      <c r="F96" s="23">
        <f t="shared" si="39"/>
        <v>28.3764486</v>
      </c>
      <c r="G96" s="23">
        <f t="shared" si="39"/>
        <v>26.122568399999999</v>
      </c>
      <c r="H96" s="23">
        <f t="shared" si="39"/>
        <v>22.871381999999997</v>
      </c>
      <c r="I96" s="23">
        <f t="shared" si="39"/>
        <v>17.976238199999997</v>
      </c>
      <c r="J96" s="23">
        <f t="shared" si="39"/>
        <v>16.027753199999999</v>
      </c>
      <c r="K96" s="23">
        <f t="shared" si="39"/>
        <v>13.592833799999999</v>
      </c>
      <c r="L96" s="23">
        <f t="shared" si="39"/>
        <v>11.6126814</v>
      </c>
    </row>
    <row r="97" spans="1:12" x14ac:dyDescent="0.25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</row>
    <row r="98" spans="1:12" x14ac:dyDescent="0.25">
      <c r="A98" s="20" t="s">
        <v>82</v>
      </c>
      <c r="B98" s="20" t="s">
        <v>53</v>
      </c>
      <c r="C98" s="22">
        <f>C95+C96</f>
        <v>284.7942644892089</v>
      </c>
      <c r="D98" s="22">
        <f t="shared" ref="D98:L98" si="40">D95+D96</f>
        <v>266.02381550214454</v>
      </c>
      <c r="E98" s="22">
        <f t="shared" si="40"/>
        <v>246.91114236823751</v>
      </c>
      <c r="F98" s="22">
        <f t="shared" si="40"/>
        <v>225.16387862810791</v>
      </c>
      <c r="G98" s="22">
        <f t="shared" si="40"/>
        <v>203.07303762606628</v>
      </c>
      <c r="H98" s="22">
        <f t="shared" si="40"/>
        <v>178.26299812049621</v>
      </c>
      <c r="I98" s="22">
        <f t="shared" si="40"/>
        <v>143.23075124460445</v>
      </c>
      <c r="J98" s="22">
        <f t="shared" si="40"/>
        <v>124.17886038411876</v>
      </c>
      <c r="K98" s="22">
        <f t="shared" si="40"/>
        <v>102.06806841303313</v>
      </c>
      <c r="L98" s="22">
        <f t="shared" si="40"/>
        <v>89.308489460248097</v>
      </c>
    </row>
    <row r="99" spans="1:12" x14ac:dyDescent="0.25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</row>
    <row r="100" spans="1:12" x14ac:dyDescent="0.25">
      <c r="A100" s="20" t="s">
        <v>90</v>
      </c>
      <c r="B100" s="20" t="s">
        <v>15</v>
      </c>
      <c r="C100" s="2">
        <f>'No Carbon Capture'!C12</f>
        <v>730213</v>
      </c>
      <c r="D100" s="2">
        <f>'No Carbon Capture'!D12</f>
        <v>669550</v>
      </c>
      <c r="E100" s="2">
        <f>'No Carbon Capture'!E12</f>
        <v>605506.38727577706</v>
      </c>
      <c r="F100" s="2">
        <f>'No Carbon Capture'!F12</f>
        <v>540201.76020466222</v>
      </c>
      <c r="G100" s="2">
        <f>'No Carbon Capture'!G12</f>
        <v>475332.74288488424</v>
      </c>
      <c r="H100" s="2">
        <f>'No Carbon Capture'!H12</f>
        <v>412428.5</v>
      </c>
      <c r="I100" s="2">
        <f>'No Carbon Capture'!I12</f>
        <v>357782.17322596518</v>
      </c>
      <c r="J100" s="2">
        <f>'No Carbon Capture'!J12</f>
        <v>296690.95557237137</v>
      </c>
      <c r="K100" s="2">
        <f>'No Carbon Capture'!K12</f>
        <v>232581.5509153255</v>
      </c>
      <c r="L100" s="2">
        <f>'No Carbon Capture'!L12</f>
        <v>196539.38786160643</v>
      </c>
    </row>
    <row r="101" spans="1:12" x14ac:dyDescent="0.25">
      <c r="A101" s="20" t="s">
        <v>91</v>
      </c>
      <c r="B101" s="20" t="s">
        <v>15</v>
      </c>
      <c r="C101" s="3">
        <f t="shared" ref="C101:L101" si="41">C12</f>
        <v>642761.04463589541</v>
      </c>
      <c r="D101" s="3">
        <f t="shared" si="41"/>
        <v>587288</v>
      </c>
      <c r="E101" s="3">
        <f t="shared" si="41"/>
        <v>529615</v>
      </c>
      <c r="F101" s="3">
        <f t="shared" si="41"/>
        <v>469816.56018116197</v>
      </c>
      <c r="G101" s="3">
        <f t="shared" si="41"/>
        <v>411349</v>
      </c>
      <c r="H101" s="3">
        <f t="shared" si="41"/>
        <v>346213</v>
      </c>
      <c r="I101" s="3">
        <f t="shared" si="41"/>
        <v>314094</v>
      </c>
      <c r="J101" s="3">
        <f t="shared" si="41"/>
        <v>258133.06525123611</v>
      </c>
      <c r="K101" s="3">
        <f t="shared" si="41"/>
        <v>200173</v>
      </c>
      <c r="L101" s="3">
        <f t="shared" si="41"/>
        <v>168452.9916463602</v>
      </c>
    </row>
    <row r="102" spans="1:12" x14ac:dyDescent="0.25">
      <c r="A102" s="20" t="s">
        <v>92</v>
      </c>
      <c r="B102" s="20" t="s">
        <v>15</v>
      </c>
      <c r="C102" s="3">
        <f>C100-C101</f>
        <v>87451.955364104593</v>
      </c>
      <c r="D102" s="3">
        <f t="shared" ref="D102:L102" si="42">D100-D101</f>
        <v>82262</v>
      </c>
      <c r="E102" s="3">
        <f t="shared" si="42"/>
        <v>75891.387275777059</v>
      </c>
      <c r="F102" s="3">
        <f t="shared" si="42"/>
        <v>70385.200023500249</v>
      </c>
      <c r="G102" s="3">
        <f t="shared" si="42"/>
        <v>63983.742884884239</v>
      </c>
      <c r="H102" s="3">
        <f t="shared" si="42"/>
        <v>66215.5</v>
      </c>
      <c r="I102" s="3">
        <f t="shared" si="42"/>
        <v>43688.173225965176</v>
      </c>
      <c r="J102" s="3">
        <f t="shared" si="42"/>
        <v>38557.890321135259</v>
      </c>
      <c r="K102" s="3">
        <f t="shared" si="42"/>
        <v>32408.550915325497</v>
      </c>
      <c r="L102" s="3">
        <f t="shared" si="42"/>
        <v>28086.396215246234</v>
      </c>
    </row>
    <row r="104" spans="1:12" x14ac:dyDescent="0.25">
      <c r="A104" t="s">
        <v>93</v>
      </c>
      <c r="B104" t="s">
        <v>15</v>
      </c>
      <c r="C104" s="2">
        <f>'No Carbon Capture'!C26</f>
        <v>14067.785248115104</v>
      </c>
      <c r="D104" s="2">
        <f>'No Carbon Capture'!D26</f>
        <v>13478.210718795983</v>
      </c>
      <c r="E104" s="2">
        <f>'No Carbon Capture'!E26</f>
        <v>12715.84596535888</v>
      </c>
      <c r="F104" s="2">
        <f>'No Carbon Capture'!F26</f>
        <v>11922.407208366189</v>
      </c>
      <c r="G104" s="2">
        <f>'No Carbon Capture'!G26</f>
        <v>11174.714089651334</v>
      </c>
      <c r="H104" s="2">
        <f>'No Carbon Capture'!H26</f>
        <v>10316.183491327301</v>
      </c>
      <c r="I104" s="2">
        <f>'No Carbon Capture'!I26</f>
        <v>8324.9740668856321</v>
      </c>
      <c r="J104" s="2">
        <f>'No Carbon Capture'!J26</f>
        <v>7828.4560124838827</v>
      </c>
      <c r="K104" s="2">
        <f>'No Carbon Capture'!K26</f>
        <v>7225.8657557488568</v>
      </c>
      <c r="L104" s="2">
        <f>'No Carbon Capture'!L26</f>
        <v>6828.2992810591431</v>
      </c>
    </row>
    <row r="105" spans="1:12" x14ac:dyDescent="0.25">
      <c r="A105" t="s">
        <v>94</v>
      </c>
      <c r="B105" t="s">
        <v>15</v>
      </c>
      <c r="C105" s="3">
        <f t="shared" ref="C105:L105" si="43">C32</f>
        <v>61474.202103156065</v>
      </c>
      <c r="D105" s="3">
        <f t="shared" si="43"/>
        <v>57903.948848171494</v>
      </c>
      <c r="E105" s="3">
        <f t="shared" si="43"/>
        <v>54040.032756479792</v>
      </c>
      <c r="F105" s="3">
        <f t="shared" si="43"/>
        <v>49723.606460910494</v>
      </c>
      <c r="G105" s="3">
        <f t="shared" si="43"/>
        <v>45409.952636801645</v>
      </c>
      <c r="H105" s="3">
        <f t="shared" si="43"/>
        <v>40253.319228252854</v>
      </c>
      <c r="I105" s="3">
        <f t="shared" si="43"/>
        <v>32376.795271849231</v>
      </c>
      <c r="J105" s="3">
        <f t="shared" si="43"/>
        <v>28804.663711695699</v>
      </c>
      <c r="K105" s="3">
        <f t="shared" si="43"/>
        <v>25002.725047266373</v>
      </c>
      <c r="L105" s="3">
        <f t="shared" si="43"/>
        <v>23193.571979740202</v>
      </c>
    </row>
    <row r="106" spans="1:12" x14ac:dyDescent="0.25">
      <c r="A106" t="s">
        <v>95</v>
      </c>
      <c r="B106" t="s">
        <v>15</v>
      </c>
      <c r="C106" s="3">
        <f>C105-C104</f>
        <v>47406.416855040959</v>
      </c>
      <c r="D106" s="3">
        <f t="shared" ref="D106:L106" si="44">D105-D104</f>
        <v>44425.73812937551</v>
      </c>
      <c r="E106" s="3">
        <f t="shared" si="44"/>
        <v>41324.186791120912</v>
      </c>
      <c r="F106" s="3">
        <f t="shared" si="44"/>
        <v>37801.199252544306</v>
      </c>
      <c r="G106" s="3">
        <f t="shared" si="44"/>
        <v>34235.238547150308</v>
      </c>
      <c r="H106" s="3">
        <f t="shared" si="44"/>
        <v>29937.135736925553</v>
      </c>
      <c r="I106" s="3">
        <f t="shared" si="44"/>
        <v>24051.821204963599</v>
      </c>
      <c r="J106" s="3">
        <f t="shared" si="44"/>
        <v>20976.207699211816</v>
      </c>
      <c r="K106" s="3">
        <f t="shared" si="44"/>
        <v>17776.859291517518</v>
      </c>
      <c r="L106" s="3">
        <f t="shared" si="44"/>
        <v>16365.272698681059</v>
      </c>
    </row>
    <row r="108" spans="1:12" x14ac:dyDescent="0.25">
      <c r="A108" s="20" t="s">
        <v>83</v>
      </c>
      <c r="B108" s="20" t="s">
        <v>15</v>
      </c>
      <c r="C108" s="25">
        <f>'No Carbon Capture'!C28</f>
        <v>716145.21475188492</v>
      </c>
      <c r="D108" s="25">
        <f>'No Carbon Capture'!D28</f>
        <v>656071.78928120399</v>
      </c>
      <c r="E108" s="25">
        <f>'No Carbon Capture'!E28</f>
        <v>592790.54131041816</v>
      </c>
      <c r="F108" s="25">
        <f>'No Carbon Capture'!F28</f>
        <v>528279.35299629602</v>
      </c>
      <c r="G108" s="25">
        <f>'No Carbon Capture'!G28</f>
        <v>464158.02879523288</v>
      </c>
      <c r="H108" s="25">
        <f>H100-H104</f>
        <v>402112.31650867272</v>
      </c>
      <c r="I108" s="25">
        <f>'No Carbon Capture'!I28</f>
        <v>349457.19915907952</v>
      </c>
      <c r="J108" s="25">
        <f>'No Carbon Capture'!J28</f>
        <v>288862.49955988751</v>
      </c>
      <c r="K108" s="25">
        <f>'No Carbon Capture'!K28</f>
        <v>225355.68515957665</v>
      </c>
      <c r="L108" s="25">
        <f>'No Carbon Capture'!L28</f>
        <v>189711.08858054728</v>
      </c>
    </row>
    <row r="109" spans="1:12" x14ac:dyDescent="0.25">
      <c r="A109" s="20" t="s">
        <v>84</v>
      </c>
      <c r="B109" s="20" t="s">
        <v>15</v>
      </c>
      <c r="C109" s="24">
        <f t="shared" ref="C109:L109" si="45">C34</f>
        <v>581286.84253273939</v>
      </c>
      <c r="D109" s="24">
        <f t="shared" si="45"/>
        <v>529384.05115182849</v>
      </c>
      <c r="E109" s="24">
        <f t="shared" si="45"/>
        <v>475574.96724352019</v>
      </c>
      <c r="F109" s="24">
        <f t="shared" si="45"/>
        <v>420092.95372025145</v>
      </c>
      <c r="G109" s="24">
        <f t="shared" si="45"/>
        <v>365939.04736319836</v>
      </c>
      <c r="H109" s="24">
        <f t="shared" si="45"/>
        <v>305959.68077174714</v>
      </c>
      <c r="I109" s="24">
        <f t="shared" si="45"/>
        <v>281717.20472815074</v>
      </c>
      <c r="J109" s="24">
        <f t="shared" si="45"/>
        <v>229328.40153954041</v>
      </c>
      <c r="K109" s="24">
        <f t="shared" si="45"/>
        <v>175170.27495273363</v>
      </c>
      <c r="L109" s="24">
        <f t="shared" si="45"/>
        <v>145259.41966662</v>
      </c>
    </row>
    <row r="110" spans="1:12" x14ac:dyDescent="0.25">
      <c r="A110" s="20" t="s">
        <v>86</v>
      </c>
      <c r="B110" s="20" t="s">
        <v>15</v>
      </c>
      <c r="C110" s="24">
        <f>C108-C109</f>
        <v>134858.37221914553</v>
      </c>
      <c r="D110" s="24">
        <f t="shared" ref="D110:L110" si="46">D108-D109</f>
        <v>126687.7381293755</v>
      </c>
      <c r="E110" s="24">
        <f t="shared" si="46"/>
        <v>117215.57406689797</v>
      </c>
      <c r="F110" s="24">
        <f t="shared" si="46"/>
        <v>108186.39927604457</v>
      </c>
      <c r="G110" s="24">
        <f t="shared" si="46"/>
        <v>98218.981432034518</v>
      </c>
      <c r="H110" s="24">
        <f t="shared" si="46"/>
        <v>96152.635736925586</v>
      </c>
      <c r="I110" s="24">
        <f t="shared" si="46"/>
        <v>67739.994430928782</v>
      </c>
      <c r="J110" s="24">
        <f t="shared" si="46"/>
        <v>59534.098020347097</v>
      </c>
      <c r="K110" s="24">
        <f t="shared" si="46"/>
        <v>50185.410206843022</v>
      </c>
      <c r="L110" s="24">
        <f t="shared" si="46"/>
        <v>44451.668913927278</v>
      </c>
    </row>
    <row r="111" spans="1:12" x14ac:dyDescent="0.25">
      <c r="B111" s="20" t="s">
        <v>87</v>
      </c>
      <c r="C111" s="22">
        <f t="shared" ref="C111:L111" si="47">C110/1000</f>
        <v>134.85837221914554</v>
      </c>
      <c r="D111" s="22">
        <f t="shared" si="47"/>
        <v>126.6877381293755</v>
      </c>
      <c r="E111" s="22">
        <f t="shared" si="47"/>
        <v>117.21557406689797</v>
      </c>
      <c r="F111" s="22">
        <f t="shared" si="47"/>
        <v>108.18639927604457</v>
      </c>
      <c r="G111" s="22">
        <f t="shared" si="47"/>
        <v>98.218981432034511</v>
      </c>
      <c r="H111" s="22">
        <f t="shared" si="47"/>
        <v>96.152635736925589</v>
      </c>
      <c r="I111" s="22">
        <f t="shared" si="47"/>
        <v>67.739994430928789</v>
      </c>
      <c r="J111" s="22">
        <f t="shared" si="47"/>
        <v>59.534098020347095</v>
      </c>
      <c r="K111" s="22">
        <f t="shared" si="47"/>
        <v>50.185410206843024</v>
      </c>
      <c r="L111" s="22">
        <f t="shared" si="47"/>
        <v>44.451668913927278</v>
      </c>
    </row>
    <row r="113" spans="1:12" ht="60" x14ac:dyDescent="0.25">
      <c r="A113" s="27" t="s">
        <v>96</v>
      </c>
      <c r="B113" s="20" t="s">
        <v>39</v>
      </c>
      <c r="C113" s="13">
        <f>C110/C108</f>
        <v>0.18831148968281308</v>
      </c>
      <c r="D113" s="13">
        <f t="shared" ref="D113:L113" si="48">D110/D108</f>
        <v>0.19310042010520725</v>
      </c>
      <c r="E113" s="13">
        <f t="shared" si="48"/>
        <v>0.19773523006588825</v>
      </c>
      <c r="F113" s="13">
        <f t="shared" si="48"/>
        <v>0.2047901335958574</v>
      </c>
      <c r="G113" s="13">
        <f t="shared" si="48"/>
        <v>0.21160677040742223</v>
      </c>
      <c r="H113" s="13">
        <f t="shared" si="48"/>
        <v>0.23911885259264815</v>
      </c>
      <c r="I113" s="13">
        <f t="shared" si="48"/>
        <v>0.1938434652195912</v>
      </c>
      <c r="J113" s="13">
        <f t="shared" si="48"/>
        <v>0.20609839668026683</v>
      </c>
      <c r="K113" s="13">
        <f t="shared" si="48"/>
        <v>0.22269422744452275</v>
      </c>
      <c r="L113" s="13">
        <f t="shared" si="48"/>
        <v>0.23431244449927896</v>
      </c>
    </row>
    <row r="115" spans="1:12" x14ac:dyDescent="0.25">
      <c r="A115" t="s">
        <v>88</v>
      </c>
      <c r="B115" t="s">
        <v>89</v>
      </c>
      <c r="C115" s="19">
        <f t="shared" ref="C115:L115" si="49">C111/C98*1000</f>
        <v>473.52910165174842</v>
      </c>
      <c r="D115" s="19">
        <f t="shared" si="49"/>
        <v>476.22705467268287</v>
      </c>
      <c r="E115" s="19">
        <f t="shared" si="49"/>
        <v>474.72776215212434</v>
      </c>
      <c r="F115" s="19">
        <f t="shared" si="49"/>
        <v>480.47848498262334</v>
      </c>
      <c r="G115" s="19">
        <f t="shared" si="49"/>
        <v>483.66332911655428</v>
      </c>
      <c r="H115" s="19">
        <f t="shared" si="49"/>
        <v>539.38639398363296</v>
      </c>
      <c r="I115" s="19">
        <f t="shared" si="49"/>
        <v>472.94309247352061</v>
      </c>
      <c r="J115" s="19">
        <f t="shared" si="49"/>
        <v>479.42216441825963</v>
      </c>
      <c r="K115" s="19">
        <f t="shared" si="49"/>
        <v>491.68570530560584</v>
      </c>
      <c r="L115" s="19">
        <f t="shared" si="49"/>
        <v>497.73172945348114</v>
      </c>
    </row>
    <row r="117" spans="1:12" x14ac:dyDescent="0.25">
      <c r="A117" t="s">
        <v>99</v>
      </c>
      <c r="B117" t="s">
        <v>37</v>
      </c>
      <c r="C117" s="2">
        <f t="shared" ref="C117:L117" si="50">C47-C49</f>
        <v>17080.47142374469</v>
      </c>
      <c r="D117" s="2">
        <f t="shared" si="50"/>
        <v>15915.574326497619</v>
      </c>
      <c r="E117" s="2">
        <f t="shared" si="50"/>
        <v>14748.146400496189</v>
      </c>
      <c r="F117" s="2">
        <f t="shared" si="50"/>
        <v>13417.568730438827</v>
      </c>
      <c r="G117" s="2">
        <f t="shared" si="50"/>
        <v>12065.024084033328</v>
      </c>
      <c r="H117" s="2">
        <f t="shared" si="50"/>
        <v>10595.075555043935</v>
      </c>
      <c r="I117" s="2">
        <f t="shared" si="50"/>
        <v>8540.2357118723448</v>
      </c>
      <c r="J117" s="2">
        <f t="shared" si="50"/>
        <v>7374.0732002480945</v>
      </c>
      <c r="K117" s="2">
        <f t="shared" si="50"/>
        <v>6032.5120420166641</v>
      </c>
      <c r="L117" s="2">
        <f t="shared" si="50"/>
        <v>5297.5377775219677</v>
      </c>
    </row>
    <row r="118" spans="1:12" x14ac:dyDescent="0.25">
      <c r="B118" t="s">
        <v>53</v>
      </c>
      <c r="C118" s="14">
        <f>C117*0.0004536</f>
        <v>7.7477018378105917</v>
      </c>
      <c r="D118" s="14">
        <f t="shared" ref="D118:L118" si="51">D117*0.0004536</f>
        <v>7.2193045144993206</v>
      </c>
      <c r="E118" s="14">
        <f t="shared" si="51"/>
        <v>6.6897592072650713</v>
      </c>
      <c r="F118" s="14">
        <f t="shared" si="51"/>
        <v>6.0862091761270518</v>
      </c>
      <c r="G118" s="14">
        <f t="shared" si="51"/>
        <v>5.4726949245175183</v>
      </c>
      <c r="H118" s="14">
        <f t="shared" si="51"/>
        <v>4.8059262717679294</v>
      </c>
      <c r="I118" s="14">
        <f t="shared" si="51"/>
        <v>3.8738509189052959</v>
      </c>
      <c r="J118" s="14">
        <f t="shared" si="51"/>
        <v>3.3448796036325357</v>
      </c>
      <c r="K118" s="14">
        <f t="shared" si="51"/>
        <v>2.7363474622587591</v>
      </c>
      <c r="L118" s="14">
        <f t="shared" si="51"/>
        <v>2.4029631358839647</v>
      </c>
    </row>
    <row r="120" spans="1:12" x14ac:dyDescent="0.25">
      <c r="A120" t="s">
        <v>29</v>
      </c>
      <c r="B120" t="s">
        <v>15</v>
      </c>
      <c r="C120" s="3">
        <f t="shared" ref="C120:L120" si="52">C34</f>
        <v>581286.84253273939</v>
      </c>
      <c r="D120" s="3">
        <f t="shared" si="52"/>
        <v>529384.05115182849</v>
      </c>
      <c r="E120" s="3">
        <f t="shared" si="52"/>
        <v>475574.96724352019</v>
      </c>
      <c r="F120" s="3">
        <f t="shared" si="52"/>
        <v>420092.95372025145</v>
      </c>
      <c r="G120" s="3">
        <f t="shared" si="52"/>
        <v>365939.04736319836</v>
      </c>
      <c r="H120" s="3">
        <f t="shared" si="52"/>
        <v>305959.68077174714</v>
      </c>
      <c r="I120" s="3">
        <f t="shared" si="52"/>
        <v>281717.20472815074</v>
      </c>
      <c r="J120" s="3">
        <f t="shared" si="52"/>
        <v>229328.40153954041</v>
      </c>
      <c r="K120" s="3">
        <f t="shared" si="52"/>
        <v>175170.27495273363</v>
      </c>
      <c r="L120" s="3">
        <f t="shared" si="52"/>
        <v>145259.41966662</v>
      </c>
    </row>
    <row r="121" spans="1:12" x14ac:dyDescent="0.25">
      <c r="B121" t="s">
        <v>87</v>
      </c>
      <c r="C121" s="14">
        <f>C120/1000</f>
        <v>581.28684253273934</v>
      </c>
      <c r="D121" s="14">
        <f t="shared" ref="D121:L121" si="53">D120/1000</f>
        <v>529.38405115182854</v>
      </c>
      <c r="E121" s="14">
        <f t="shared" si="53"/>
        <v>475.57496724352018</v>
      </c>
      <c r="F121" s="14">
        <f t="shared" si="53"/>
        <v>420.09295372025144</v>
      </c>
      <c r="G121" s="14">
        <f t="shared" si="53"/>
        <v>365.93904736319837</v>
      </c>
      <c r="H121" s="14">
        <f t="shared" si="53"/>
        <v>305.95968077174712</v>
      </c>
      <c r="I121" s="14">
        <f t="shared" si="53"/>
        <v>281.71720472815076</v>
      </c>
      <c r="J121" s="14">
        <f t="shared" si="53"/>
        <v>229.32840153954041</v>
      </c>
      <c r="K121" s="14">
        <f t="shared" si="53"/>
        <v>175.17027495273362</v>
      </c>
      <c r="L121" s="14">
        <f t="shared" si="53"/>
        <v>145.25941966662</v>
      </c>
    </row>
    <row r="123" spans="1:12" x14ac:dyDescent="0.25">
      <c r="A123" t="s">
        <v>97</v>
      </c>
      <c r="B123" t="s">
        <v>98</v>
      </c>
      <c r="C123" s="17">
        <f>C118/C121</f>
        <v>1.332853467670606E-2</v>
      </c>
      <c r="D123" s="17">
        <f t="shared" ref="D123:L123" si="54">D118/D121</f>
        <v>1.3637177959539261E-2</v>
      </c>
      <c r="E123" s="17">
        <f t="shared" si="54"/>
        <v>1.406667648223703E-2</v>
      </c>
      <c r="F123" s="17">
        <f t="shared" si="54"/>
        <v>1.4487767819547822E-2</v>
      </c>
      <c r="G123" s="17">
        <f>G118/G121</f>
        <v>1.495520897250905E-2</v>
      </c>
      <c r="H123" s="17">
        <f>H118/H121</f>
        <v>1.5707711093322977E-2</v>
      </c>
      <c r="I123" s="17">
        <f t="shared" si="54"/>
        <v>1.3750849624691733E-2</v>
      </c>
      <c r="J123" s="17">
        <f t="shared" si="54"/>
        <v>1.4585544490684541E-2</v>
      </c>
      <c r="K123" s="17">
        <f t="shared" si="54"/>
        <v>1.5621071914153874E-2</v>
      </c>
      <c r="L123" s="17">
        <f t="shared" si="54"/>
        <v>1.6542563238920577E-2</v>
      </c>
    </row>
    <row r="125" spans="1:12" x14ac:dyDescent="0.25">
      <c r="A125" t="s">
        <v>100</v>
      </c>
      <c r="B125" t="s">
        <v>37</v>
      </c>
      <c r="C125" s="2">
        <f t="shared" ref="C125:L125" si="55">C117-C60*2205</f>
        <v>-58518.479248255302</v>
      </c>
      <c r="D125" s="2">
        <f t="shared" si="55"/>
        <v>-55966.623494502375</v>
      </c>
      <c r="E125" s="2">
        <f t="shared" si="55"/>
        <v>-52744.539839503806</v>
      </c>
      <c r="F125" s="2">
        <f t="shared" si="55"/>
        <v>-49152.500432561174</v>
      </c>
      <c r="G125" s="2">
        <f t="shared" si="55"/>
        <v>-45535.239237966671</v>
      </c>
      <c r="H125" s="2">
        <f t="shared" si="55"/>
        <v>-39836.321754956058</v>
      </c>
      <c r="I125" s="2">
        <f t="shared" si="55"/>
        <v>-31097.369519127649</v>
      </c>
      <c r="J125" s="2">
        <f t="shared" si="55"/>
        <v>-27967.122605751902</v>
      </c>
      <c r="K125" s="2">
        <f t="shared" si="55"/>
        <v>-23939.686486983333</v>
      </c>
      <c r="L125" s="2">
        <f t="shared" si="55"/>
        <v>-20308.424709478033</v>
      </c>
    </row>
    <row r="126" spans="1:12" x14ac:dyDescent="0.25">
      <c r="B126" t="s">
        <v>53</v>
      </c>
      <c r="C126" s="14">
        <f>C125*0.0004536</f>
        <v>-26.543982187008606</v>
      </c>
      <c r="D126" s="14">
        <f t="shared" ref="D126" si="56">D125*0.0004536</f>
        <v>-25.386460417106278</v>
      </c>
      <c r="E126" s="14">
        <f t="shared" ref="E126" si="57">E125*0.0004536</f>
        <v>-23.924923271198928</v>
      </c>
      <c r="F126" s="14">
        <f t="shared" ref="F126" si="58">F125*0.0004536</f>
        <v>-22.295574196209749</v>
      </c>
      <c r="G126" s="14">
        <f t="shared" ref="G126:H126" si="59">G125*0.0004536</f>
        <v>-20.654784518341682</v>
      </c>
      <c r="H126" s="14">
        <f t="shared" si="59"/>
        <v>-18.069755548048068</v>
      </c>
      <c r="I126" s="14">
        <f t="shared" ref="I126" si="60">I125*0.0004536</f>
        <v>-14.105766813876302</v>
      </c>
      <c r="J126" s="14">
        <f t="shared" ref="J126" si="61">J125*0.0004536</f>
        <v>-12.685886813969063</v>
      </c>
      <c r="K126" s="14">
        <f t="shared" ref="K126" si="62">K125*0.0004536</f>
        <v>-10.85904179049564</v>
      </c>
      <c r="L126" s="14">
        <f t="shared" ref="L126" si="63">L125*0.0004536</f>
        <v>-9.211901448219237</v>
      </c>
    </row>
    <row r="128" spans="1:12" x14ac:dyDescent="0.25">
      <c r="A128" t="s">
        <v>29</v>
      </c>
      <c r="B128" t="s">
        <v>15</v>
      </c>
      <c r="C128" s="3">
        <f>C120</f>
        <v>581286.84253273939</v>
      </c>
      <c r="D128" s="3">
        <f t="shared" ref="D128:L128" si="64">D120</f>
        <v>529384.05115182849</v>
      </c>
      <c r="E128" s="3">
        <f t="shared" si="64"/>
        <v>475574.96724352019</v>
      </c>
      <c r="F128" s="3">
        <f t="shared" si="64"/>
        <v>420092.95372025145</v>
      </c>
      <c r="G128" s="3">
        <f t="shared" si="64"/>
        <v>365939.04736319836</v>
      </c>
      <c r="H128" s="3">
        <f t="shared" si="64"/>
        <v>305959.68077174714</v>
      </c>
      <c r="I128" s="3">
        <f t="shared" si="64"/>
        <v>281717.20472815074</v>
      </c>
      <c r="J128" s="3">
        <f t="shared" si="64"/>
        <v>229328.40153954041</v>
      </c>
      <c r="K128" s="3">
        <f t="shared" si="64"/>
        <v>175170.27495273363</v>
      </c>
      <c r="L128" s="3">
        <f t="shared" si="64"/>
        <v>145259.41966662</v>
      </c>
    </row>
    <row r="129" spans="1:12" x14ac:dyDescent="0.25">
      <c r="B129" t="s">
        <v>87</v>
      </c>
      <c r="C129" s="14">
        <f>C128/1000</f>
        <v>581.28684253273934</v>
      </c>
      <c r="D129" s="14">
        <f t="shared" ref="D129" si="65">D128/1000</f>
        <v>529.38405115182854</v>
      </c>
      <c r="E129" s="14">
        <f t="shared" ref="E129" si="66">E128/1000</f>
        <v>475.57496724352018</v>
      </c>
      <c r="F129" s="14">
        <f t="shared" ref="F129" si="67">F128/1000</f>
        <v>420.09295372025144</v>
      </c>
      <c r="G129" s="14">
        <f t="shared" ref="G129:H129" si="68">G128/1000</f>
        <v>365.93904736319837</v>
      </c>
      <c r="H129" s="14">
        <f t="shared" si="68"/>
        <v>305.95968077174712</v>
      </c>
      <c r="I129" s="14">
        <f t="shared" ref="I129" si="69">I128/1000</f>
        <v>281.71720472815076</v>
      </c>
      <c r="J129" s="14">
        <f t="shared" ref="J129" si="70">J128/1000</f>
        <v>229.32840153954041</v>
      </c>
      <c r="K129" s="14">
        <f t="shared" ref="K129" si="71">K128/1000</f>
        <v>175.17027495273362</v>
      </c>
      <c r="L129" s="14">
        <f t="shared" ref="L129" si="72">L128/1000</f>
        <v>145.25941966662</v>
      </c>
    </row>
    <row r="131" spans="1:12" x14ac:dyDescent="0.25">
      <c r="A131" t="s">
        <v>97</v>
      </c>
      <c r="B131" t="s">
        <v>98</v>
      </c>
      <c r="C131" s="17">
        <f>C126/C129</f>
        <v>-4.5664171704546348E-2</v>
      </c>
      <c r="D131" s="17">
        <f t="shared" ref="D131:L131" si="73">D126/D129</f>
        <v>-4.7954713334998796E-2</v>
      </c>
      <c r="E131" s="17">
        <f t="shared" si="73"/>
        <v>-5.0307364598835308E-2</v>
      </c>
      <c r="F131" s="17">
        <f t="shared" si="73"/>
        <v>-5.3072954446783775E-2</v>
      </c>
      <c r="G131" s="17">
        <f t="shared" si="73"/>
        <v>-5.6443237383852041E-2</v>
      </c>
      <c r="H131" s="17">
        <f t="shared" si="73"/>
        <v>-5.9059270497567672E-2</v>
      </c>
      <c r="I131" s="17">
        <f t="shared" si="73"/>
        <v>-5.0070661561078506E-2</v>
      </c>
      <c r="J131" s="17">
        <f t="shared" si="73"/>
        <v>-5.5317556520716356E-2</v>
      </c>
      <c r="K131" s="17">
        <f t="shared" si="73"/>
        <v>-6.1991349807641434E-2</v>
      </c>
      <c r="L131" s="17">
        <f t="shared" si="73"/>
        <v>-6.3416895574560067E-2</v>
      </c>
    </row>
    <row r="133" spans="1:12" x14ac:dyDescent="0.25">
      <c r="A133" s="6" t="s">
        <v>101</v>
      </c>
      <c r="B133" s="39"/>
      <c r="C133" s="39"/>
      <c r="D133" s="39"/>
      <c r="E133" s="39"/>
      <c r="F133" s="39"/>
      <c r="G133" s="4"/>
      <c r="H133" s="4"/>
      <c r="I133" s="4"/>
      <c r="J133" s="4"/>
      <c r="K133" s="4"/>
      <c r="L133" s="4"/>
    </row>
    <row r="134" spans="1:12" x14ac:dyDescent="0.25">
      <c r="A134" s="35" t="s">
        <v>105</v>
      </c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</row>
    <row r="135" spans="1:12" ht="30" x14ac:dyDescent="0.25">
      <c r="A135" s="36" t="s">
        <v>112</v>
      </c>
      <c r="B135" s="4" t="s">
        <v>31</v>
      </c>
      <c r="C135" s="4"/>
      <c r="D135" s="4"/>
      <c r="E135" s="4"/>
      <c r="F135" s="4"/>
      <c r="G135" s="4"/>
      <c r="H135" s="4"/>
      <c r="I135" s="4"/>
      <c r="J135" s="4"/>
      <c r="K135" s="4"/>
      <c r="L135" s="4"/>
    </row>
    <row r="136" spans="1:12" x14ac:dyDescent="0.25">
      <c r="A136" s="37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</row>
    <row r="137" spans="1:12" x14ac:dyDescent="0.25">
      <c r="A137" s="38" t="s">
        <v>115</v>
      </c>
      <c r="B137" s="4" t="s">
        <v>31</v>
      </c>
      <c r="C137" s="7">
        <f t="shared" ref="C137:L137" si="74">C87</f>
        <v>31.744</v>
      </c>
      <c r="D137" s="7">
        <f t="shared" si="74"/>
        <v>30.06</v>
      </c>
      <c r="E137" s="7">
        <f t="shared" si="74"/>
        <v>27.628</v>
      </c>
      <c r="F137" s="7">
        <f t="shared" si="74"/>
        <v>25.44</v>
      </c>
      <c r="G137" s="7">
        <f t="shared" si="74"/>
        <v>23.312000000000001</v>
      </c>
      <c r="H137" s="7">
        <f t="shared" si="74"/>
        <v>21.864000000000001</v>
      </c>
      <c r="I137" s="7">
        <f t="shared" si="74"/>
        <v>16.038</v>
      </c>
      <c r="J137" s="7">
        <f t="shared" si="74"/>
        <v>14.082000000000001</v>
      </c>
      <c r="K137" s="7">
        <f t="shared" si="74"/>
        <v>11.946</v>
      </c>
      <c r="L137" s="7">
        <f t="shared" si="74"/>
        <v>11.16</v>
      </c>
    </row>
    <row r="138" spans="1:12" x14ac:dyDescent="0.25">
      <c r="A138" s="37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</row>
    <row r="139" spans="1:12" x14ac:dyDescent="0.25">
      <c r="A139" s="37" t="s">
        <v>120</v>
      </c>
      <c r="B139" s="4" t="s">
        <v>31</v>
      </c>
      <c r="C139" s="7">
        <f t="shared" ref="C139:L139" si="75">C90</f>
        <v>59.120130157053296</v>
      </c>
      <c r="D139" s="7">
        <f t="shared" si="75"/>
        <v>55.088106315306106</v>
      </c>
      <c r="E139" s="7">
        <f t="shared" si="75"/>
        <v>51.047322590904052</v>
      </c>
      <c r="F139" s="7">
        <f t="shared" si="75"/>
        <v>46.441833486633463</v>
      </c>
      <c r="G139" s="7">
        <f t="shared" si="75"/>
        <v>41.760310737351638</v>
      </c>
      <c r="H139" s="7">
        <f t="shared" si="75"/>
        <v>36.672421404437102</v>
      </c>
      <c r="I139" s="7">
        <f t="shared" si="75"/>
        <v>29.560065078526648</v>
      </c>
      <c r="J139" s="7">
        <f t="shared" si="75"/>
        <v>25.523661295452026</v>
      </c>
      <c r="K139" s="7">
        <f t="shared" si="75"/>
        <v>20.880155368675819</v>
      </c>
      <c r="L139" s="7">
        <f t="shared" si="75"/>
        <v>18.336210702218551</v>
      </c>
    </row>
    <row r="140" spans="1:12" x14ac:dyDescent="0.25">
      <c r="A140" s="37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</row>
    <row r="141" spans="1:12" x14ac:dyDescent="0.25">
      <c r="A141" s="37" t="s">
        <v>116</v>
      </c>
      <c r="B141" s="4" t="s">
        <v>31</v>
      </c>
      <c r="C141" s="4"/>
      <c r="D141" s="4"/>
      <c r="E141" s="4"/>
      <c r="F141" s="4"/>
      <c r="G141" s="4"/>
      <c r="H141" s="4"/>
      <c r="I141" s="4"/>
      <c r="J141" s="4"/>
      <c r="K141" s="4"/>
      <c r="L141" s="4"/>
    </row>
    <row r="142" spans="1:12" x14ac:dyDescent="0.25">
      <c r="A142" s="37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</row>
    <row r="143" spans="1:12" x14ac:dyDescent="0.25">
      <c r="A143" s="37" t="s">
        <v>117</v>
      </c>
      <c r="B143" s="4" t="s">
        <v>31</v>
      </c>
      <c r="C143" s="7">
        <f t="shared" ref="C143:L143" si="76">C92</f>
        <v>237.10400000000001</v>
      </c>
      <c r="D143" s="7">
        <f t="shared" si="76"/>
        <v>225.447</v>
      </c>
      <c r="E143" s="7">
        <f t="shared" si="76"/>
        <v>211.68</v>
      </c>
      <c r="F143" s="7">
        <f t="shared" si="76"/>
        <v>196.24100000000001</v>
      </c>
      <c r="G143" s="7">
        <f>G92</f>
        <v>180.654</v>
      </c>
      <c r="H143" s="7">
        <f>H92</f>
        <v>158.16999999999999</v>
      </c>
      <c r="I143" s="7">
        <f t="shared" si="76"/>
        <v>124.31699999999999</v>
      </c>
      <c r="J143" s="7">
        <f t="shared" si="76"/>
        <v>110.842</v>
      </c>
      <c r="K143" s="7">
        <f t="shared" si="76"/>
        <v>94.003</v>
      </c>
      <c r="L143" s="7">
        <f t="shared" si="76"/>
        <v>80.308999999999997</v>
      </c>
    </row>
    <row r="144" spans="1:12" x14ac:dyDescent="0.25">
      <c r="A144" s="37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</row>
    <row r="145" spans="1:12" x14ac:dyDescent="0.25">
      <c r="A145" s="35" t="s">
        <v>103</v>
      </c>
      <c r="B145" s="4" t="s">
        <v>31</v>
      </c>
      <c r="C145" s="7">
        <f t="shared" ref="C145:L145" si="77">C86</f>
        <v>4905.9027316627617</v>
      </c>
      <c r="D145" s="7">
        <f t="shared" si="77"/>
        <v>4643.5179809432857</v>
      </c>
      <c r="E145" s="7">
        <f t="shared" si="77"/>
        <v>4345.6626827584723</v>
      </c>
      <c r="F145" s="7">
        <f t="shared" si="77"/>
        <v>4011.2186481404615</v>
      </c>
      <c r="G145" s="7">
        <f t="shared" si="77"/>
        <v>3681.0715407733637</v>
      </c>
      <c r="H145" s="7">
        <f t="shared" si="77"/>
        <v>3308.9434453881686</v>
      </c>
      <c r="I145" s="7">
        <f t="shared" si="77"/>
        <v>2527.2822233366192</v>
      </c>
      <c r="J145" s="7">
        <f t="shared" si="77"/>
        <v>2249.2857863368727</v>
      </c>
      <c r="K145" s="7">
        <f t="shared" si="77"/>
        <v>1912.9807165533027</v>
      </c>
      <c r="L145" s="7">
        <f t="shared" si="77"/>
        <v>1711.7084257331919</v>
      </c>
    </row>
    <row r="146" spans="1:12" x14ac:dyDescent="0.2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</row>
    <row r="147" spans="1:12" x14ac:dyDescent="0.25">
      <c r="A147" s="4" t="s">
        <v>104</v>
      </c>
      <c r="B147" s="4" t="s">
        <v>31</v>
      </c>
      <c r="C147" s="7">
        <f t="shared" ref="C147:L147" si="78">SUM(C136:C145)</f>
        <v>5233.8708618198152</v>
      </c>
      <c r="D147" s="7">
        <f t="shared" si="78"/>
        <v>4954.1130872585918</v>
      </c>
      <c r="E147" s="7">
        <f t="shared" si="78"/>
        <v>4636.0180053493768</v>
      </c>
      <c r="F147" s="7">
        <f t="shared" si="78"/>
        <v>4279.3414816270952</v>
      </c>
      <c r="G147" s="7">
        <f t="shared" si="78"/>
        <v>3926.7978515107152</v>
      </c>
      <c r="H147" s="7">
        <f t="shared" si="78"/>
        <v>3525.6498667926057</v>
      </c>
      <c r="I147" s="7">
        <f t="shared" si="78"/>
        <v>2697.197288415146</v>
      </c>
      <c r="J147" s="7">
        <f t="shared" si="78"/>
        <v>2399.7334476323249</v>
      </c>
      <c r="K147" s="7">
        <f t="shared" si="78"/>
        <v>2039.8098719219786</v>
      </c>
      <c r="L147" s="7">
        <f t="shared" si="78"/>
        <v>1821.5136364354105</v>
      </c>
    </row>
    <row r="148" spans="1:12" x14ac:dyDescent="0.2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</row>
    <row r="149" spans="1:12" x14ac:dyDescent="0.25">
      <c r="A149" s="6" t="s">
        <v>77</v>
      </c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</row>
    <row r="150" spans="1:12" x14ac:dyDescent="0.25">
      <c r="A150" s="35" t="s">
        <v>105</v>
      </c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</row>
    <row r="151" spans="1:12" ht="30" x14ac:dyDescent="0.25">
      <c r="A151" s="36" t="s">
        <v>112</v>
      </c>
      <c r="B151" s="4" t="s">
        <v>31</v>
      </c>
      <c r="C151" s="4"/>
      <c r="D151" s="4"/>
      <c r="E151" s="4"/>
      <c r="F151" s="4"/>
      <c r="G151" s="4"/>
      <c r="H151" s="4"/>
      <c r="I151" s="4"/>
      <c r="J151" s="4"/>
      <c r="K151" s="4"/>
      <c r="L151" s="4"/>
    </row>
    <row r="152" spans="1:12" x14ac:dyDescent="0.25">
      <c r="A152" s="37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</row>
    <row r="153" spans="1:12" x14ac:dyDescent="0.25">
      <c r="A153" s="38" t="s">
        <v>115</v>
      </c>
      <c r="B153" s="4" t="s">
        <v>31</v>
      </c>
      <c r="C153" s="7">
        <f t="shared" ref="C153:L153" si="79">C137</f>
        <v>31.744</v>
      </c>
      <c r="D153" s="7">
        <f t="shared" si="79"/>
        <v>30.06</v>
      </c>
      <c r="E153" s="7">
        <f t="shared" si="79"/>
        <v>27.628</v>
      </c>
      <c r="F153" s="7">
        <f t="shared" si="79"/>
        <v>25.44</v>
      </c>
      <c r="G153" s="7">
        <f t="shared" si="79"/>
        <v>23.312000000000001</v>
      </c>
      <c r="H153" s="7">
        <f t="shared" si="79"/>
        <v>21.864000000000001</v>
      </c>
      <c r="I153" s="7">
        <f t="shared" si="79"/>
        <v>16.038</v>
      </c>
      <c r="J153" s="7">
        <f t="shared" si="79"/>
        <v>14.082000000000001</v>
      </c>
      <c r="K153" s="7">
        <f t="shared" si="79"/>
        <v>11.946</v>
      </c>
      <c r="L153" s="7">
        <f t="shared" si="79"/>
        <v>11.16</v>
      </c>
    </row>
    <row r="154" spans="1:12" x14ac:dyDescent="0.25">
      <c r="A154" s="37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</row>
    <row r="155" spans="1:12" x14ac:dyDescent="0.25">
      <c r="A155" s="37" t="s">
        <v>120</v>
      </c>
      <c r="B155" s="4" t="s">
        <v>31</v>
      </c>
      <c r="C155" s="7">
        <f>C139</f>
        <v>59.120130157053296</v>
      </c>
      <c r="D155" s="7">
        <f t="shared" ref="D155:L155" si="80">D139</f>
        <v>55.088106315306106</v>
      </c>
      <c r="E155" s="7">
        <f t="shared" si="80"/>
        <v>51.047322590904052</v>
      </c>
      <c r="F155" s="7">
        <f t="shared" si="80"/>
        <v>46.441833486633463</v>
      </c>
      <c r="G155" s="7">
        <f t="shared" si="80"/>
        <v>41.760310737351638</v>
      </c>
      <c r="H155" s="7">
        <f t="shared" si="80"/>
        <v>36.672421404437102</v>
      </c>
      <c r="I155" s="7">
        <f t="shared" si="80"/>
        <v>29.560065078526648</v>
      </c>
      <c r="J155" s="7">
        <f t="shared" si="80"/>
        <v>25.523661295452026</v>
      </c>
      <c r="K155" s="7">
        <f t="shared" si="80"/>
        <v>20.880155368675819</v>
      </c>
      <c r="L155" s="7">
        <f t="shared" si="80"/>
        <v>18.336210702218551</v>
      </c>
    </row>
    <row r="156" spans="1:12" x14ac:dyDescent="0.25">
      <c r="A156" s="37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</row>
    <row r="157" spans="1:12" x14ac:dyDescent="0.25">
      <c r="A157" s="37" t="s">
        <v>116</v>
      </c>
      <c r="B157" s="4" t="s">
        <v>31</v>
      </c>
      <c r="C157" s="4"/>
      <c r="D157" s="4"/>
      <c r="E157" s="4"/>
      <c r="F157" s="4"/>
      <c r="G157" s="4"/>
      <c r="H157" s="4"/>
      <c r="I157" s="4"/>
      <c r="J157" s="4"/>
      <c r="K157" s="4"/>
      <c r="L157" s="4"/>
    </row>
    <row r="158" spans="1:12" x14ac:dyDescent="0.25">
      <c r="A158" s="37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</row>
    <row r="159" spans="1:12" x14ac:dyDescent="0.25">
      <c r="A159" s="37" t="s">
        <v>117</v>
      </c>
      <c r="B159" s="4" t="s">
        <v>31</v>
      </c>
      <c r="C159" s="7">
        <f>C143</f>
        <v>237.10400000000001</v>
      </c>
      <c r="D159" s="7">
        <f t="shared" ref="D159:L159" si="81">D143</f>
        <v>225.447</v>
      </c>
      <c r="E159" s="7">
        <f t="shared" si="81"/>
        <v>211.68</v>
      </c>
      <c r="F159" s="7">
        <f t="shared" si="81"/>
        <v>196.24100000000001</v>
      </c>
      <c r="G159" s="7">
        <f t="shared" si="81"/>
        <v>180.654</v>
      </c>
      <c r="H159" s="7">
        <f t="shared" si="81"/>
        <v>158.16999999999999</v>
      </c>
      <c r="I159" s="7">
        <f t="shared" si="81"/>
        <v>124.31699999999999</v>
      </c>
      <c r="J159" s="7">
        <f t="shared" si="81"/>
        <v>110.842</v>
      </c>
      <c r="K159" s="7">
        <f t="shared" si="81"/>
        <v>94.003</v>
      </c>
      <c r="L159" s="7">
        <f t="shared" si="81"/>
        <v>80.308999999999997</v>
      </c>
    </row>
    <row r="160" spans="1:12" x14ac:dyDescent="0.25">
      <c r="A160" s="37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</row>
    <row r="161" spans="1:12" x14ac:dyDescent="0.25">
      <c r="A161" s="35" t="s">
        <v>103</v>
      </c>
      <c r="B161" s="4" t="s">
        <v>31</v>
      </c>
      <c r="C161" s="7">
        <f>C145</f>
        <v>4905.9027316627617</v>
      </c>
      <c r="D161" s="7">
        <f t="shared" ref="D161:L161" si="82">D145</f>
        <v>4643.5179809432857</v>
      </c>
      <c r="E161" s="7">
        <f t="shared" si="82"/>
        <v>4345.6626827584723</v>
      </c>
      <c r="F161" s="7">
        <f t="shared" si="82"/>
        <v>4011.2186481404615</v>
      </c>
      <c r="G161" s="7">
        <f t="shared" si="82"/>
        <v>3681.0715407733637</v>
      </c>
      <c r="H161" s="7">
        <f t="shared" si="82"/>
        <v>3308.9434453881686</v>
      </c>
      <c r="I161" s="7">
        <f t="shared" si="82"/>
        <v>2527.2822233366192</v>
      </c>
      <c r="J161" s="7">
        <f t="shared" si="82"/>
        <v>2249.2857863368727</v>
      </c>
      <c r="K161" s="7">
        <f t="shared" si="82"/>
        <v>1912.9807165533027</v>
      </c>
      <c r="L161" s="7">
        <f t="shared" si="82"/>
        <v>1711.7084257331919</v>
      </c>
    </row>
    <row r="162" spans="1:12" x14ac:dyDescent="0.2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</row>
    <row r="163" spans="1:12" x14ac:dyDescent="0.25">
      <c r="A163" s="4" t="s">
        <v>106</v>
      </c>
      <c r="B163" s="4" t="s">
        <v>31</v>
      </c>
      <c r="C163" s="7">
        <f t="shared" ref="C163:L163" si="83">SUM(C152:C161)</f>
        <v>5233.8708618198152</v>
      </c>
      <c r="D163" s="7">
        <f t="shared" si="83"/>
        <v>4954.1130872585918</v>
      </c>
      <c r="E163" s="7">
        <f t="shared" si="83"/>
        <v>4636.0180053493768</v>
      </c>
      <c r="F163" s="7">
        <f t="shared" si="83"/>
        <v>4279.3414816270952</v>
      </c>
      <c r="G163" s="7">
        <f t="shared" si="83"/>
        <v>3926.7978515107152</v>
      </c>
      <c r="H163" s="7">
        <f t="shared" si="83"/>
        <v>3525.6498667926057</v>
      </c>
      <c r="I163" s="7">
        <f t="shared" si="83"/>
        <v>2697.197288415146</v>
      </c>
      <c r="J163" s="7">
        <f t="shared" si="83"/>
        <v>2399.7334476323249</v>
      </c>
      <c r="K163" s="7">
        <f t="shared" si="83"/>
        <v>2039.8098719219786</v>
      </c>
      <c r="L163" s="7">
        <f t="shared" si="83"/>
        <v>1821.5136364354105</v>
      </c>
    </row>
    <row r="164" spans="1:12" x14ac:dyDescent="0.2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</row>
    <row r="165" spans="1:12" x14ac:dyDescent="0.25">
      <c r="A165" s="6" t="s">
        <v>78</v>
      </c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</row>
    <row r="166" spans="1:12" x14ac:dyDescent="0.25">
      <c r="A166" s="35" t="s">
        <v>105</v>
      </c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</row>
    <row r="167" spans="1:12" ht="30" x14ac:dyDescent="0.25">
      <c r="A167" s="36" t="s">
        <v>112</v>
      </c>
      <c r="B167" s="4" t="s">
        <v>31</v>
      </c>
      <c r="C167" s="7">
        <f t="shared" ref="C167:L167" si="84">C153</f>
        <v>31.744</v>
      </c>
      <c r="D167" s="7">
        <f t="shared" si="84"/>
        <v>30.06</v>
      </c>
      <c r="E167" s="7">
        <f t="shared" si="84"/>
        <v>27.628</v>
      </c>
      <c r="F167" s="7">
        <f t="shared" si="84"/>
        <v>25.44</v>
      </c>
      <c r="G167" s="7">
        <f t="shared" si="84"/>
        <v>23.312000000000001</v>
      </c>
      <c r="H167" s="7">
        <f t="shared" si="84"/>
        <v>21.864000000000001</v>
      </c>
      <c r="I167" s="7">
        <f t="shared" si="84"/>
        <v>16.038</v>
      </c>
      <c r="J167" s="7">
        <f t="shared" si="84"/>
        <v>14.082000000000001</v>
      </c>
      <c r="K167" s="7">
        <f t="shared" si="84"/>
        <v>11.946</v>
      </c>
      <c r="L167" s="7">
        <f t="shared" si="84"/>
        <v>11.16</v>
      </c>
    </row>
    <row r="168" spans="1:12" x14ac:dyDescent="0.25">
      <c r="A168" s="37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</row>
    <row r="169" spans="1:12" x14ac:dyDescent="0.25">
      <c r="A169" s="38" t="s">
        <v>115</v>
      </c>
      <c r="B169" s="4" t="s">
        <v>31</v>
      </c>
      <c r="C169" s="4"/>
      <c r="D169" s="4"/>
      <c r="E169" s="4"/>
      <c r="F169" s="4"/>
      <c r="G169" s="4"/>
      <c r="H169" s="4"/>
      <c r="I169" s="4"/>
      <c r="J169" s="4"/>
      <c r="K169" s="4"/>
      <c r="L169" s="4"/>
    </row>
    <row r="170" spans="1:12" x14ac:dyDescent="0.25">
      <c r="A170" s="37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</row>
    <row r="171" spans="1:12" x14ac:dyDescent="0.25">
      <c r="A171" s="37" t="s">
        <v>120</v>
      </c>
      <c r="B171" s="4" t="s">
        <v>31</v>
      </c>
      <c r="C171" s="4"/>
      <c r="D171" s="4"/>
      <c r="E171" s="7"/>
      <c r="F171" s="7"/>
      <c r="G171" s="7"/>
      <c r="H171" s="7"/>
      <c r="I171" s="7"/>
      <c r="J171" s="7"/>
      <c r="K171" s="7"/>
      <c r="L171" s="7"/>
    </row>
    <row r="172" spans="1:12" x14ac:dyDescent="0.25">
      <c r="A172" s="37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</row>
    <row r="173" spans="1:12" x14ac:dyDescent="0.25">
      <c r="A173" s="37" t="s">
        <v>116</v>
      </c>
      <c r="B173" s="4" t="s">
        <v>31</v>
      </c>
      <c r="C173" s="7">
        <f t="shared" ref="C173:L173" si="85">C159</f>
        <v>237.10400000000001</v>
      </c>
      <c r="D173" s="7">
        <f t="shared" si="85"/>
        <v>225.447</v>
      </c>
      <c r="E173" s="7">
        <f t="shared" si="85"/>
        <v>211.68</v>
      </c>
      <c r="F173" s="7">
        <f t="shared" si="85"/>
        <v>196.24100000000001</v>
      </c>
      <c r="G173" s="7">
        <f t="shared" si="85"/>
        <v>180.654</v>
      </c>
      <c r="H173" s="7">
        <f t="shared" si="85"/>
        <v>158.16999999999999</v>
      </c>
      <c r="I173" s="7">
        <f t="shared" si="85"/>
        <v>124.31699999999999</v>
      </c>
      <c r="J173" s="7">
        <f t="shared" si="85"/>
        <v>110.842</v>
      </c>
      <c r="K173" s="7">
        <f t="shared" si="85"/>
        <v>94.003</v>
      </c>
      <c r="L173" s="7">
        <f t="shared" si="85"/>
        <v>80.308999999999997</v>
      </c>
    </row>
    <row r="174" spans="1:12" x14ac:dyDescent="0.25">
      <c r="A174" s="37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</row>
    <row r="175" spans="1:12" x14ac:dyDescent="0.25">
      <c r="A175" s="37" t="s">
        <v>117</v>
      </c>
      <c r="B175" s="4" t="s">
        <v>31</v>
      </c>
      <c r="C175" s="4"/>
      <c r="D175" s="4"/>
      <c r="E175" s="4"/>
      <c r="F175" s="4"/>
      <c r="G175" s="4"/>
      <c r="H175" s="4"/>
      <c r="I175" s="4"/>
      <c r="J175" s="4"/>
      <c r="K175" s="4"/>
      <c r="L175" s="4"/>
    </row>
    <row r="176" spans="1:12" x14ac:dyDescent="0.25">
      <c r="A176" s="37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</row>
    <row r="177" spans="1:12" x14ac:dyDescent="0.25">
      <c r="A177" s="35" t="s">
        <v>114</v>
      </c>
      <c r="B177" s="4" t="s">
        <v>31</v>
      </c>
      <c r="C177" s="7">
        <f t="shared" ref="C177:L177" si="86">651*(C78/1332)</f>
        <v>1123.1222976005015</v>
      </c>
      <c r="D177" s="7">
        <f t="shared" si="86"/>
        <v>1063.0538086389372</v>
      </c>
      <c r="E177" s="7">
        <f t="shared" si="86"/>
        <v>994.86494613035893</v>
      </c>
      <c r="F177" s="7">
        <f t="shared" si="86"/>
        <v>918.29971988673719</v>
      </c>
      <c r="G177" s="7">
        <f t="shared" si="86"/>
        <v>842.71820144790331</v>
      </c>
      <c r="H177" s="7">
        <f t="shared" si="86"/>
        <v>757.52585574702061</v>
      </c>
      <c r="I177" s="7">
        <f t="shared" si="86"/>
        <v>578.57792390365842</v>
      </c>
      <c r="J177" s="7">
        <f t="shared" si="86"/>
        <v>514.93540709776858</v>
      </c>
      <c r="K177" s="7">
        <f t="shared" si="86"/>
        <v>437.94412876844831</v>
      </c>
      <c r="L177" s="7">
        <f t="shared" si="86"/>
        <v>391.86628946473621</v>
      </c>
    </row>
    <row r="178" spans="1:12" x14ac:dyDescent="0.2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</row>
    <row r="179" spans="1:12" x14ac:dyDescent="0.25">
      <c r="A179" s="4" t="s">
        <v>107</v>
      </c>
      <c r="B179" s="4" t="s">
        <v>31</v>
      </c>
      <c r="C179" s="7">
        <f>SUM(C167:C177)</f>
        <v>1391.9702976005015</v>
      </c>
      <c r="D179" s="7">
        <f t="shared" ref="D179:L179" si="87">SUM(D167:D177)</f>
        <v>1318.5608086389373</v>
      </c>
      <c r="E179" s="7">
        <f t="shared" si="87"/>
        <v>1234.1729461303589</v>
      </c>
      <c r="F179" s="7">
        <f t="shared" si="87"/>
        <v>1139.9807198867372</v>
      </c>
      <c r="G179" s="7">
        <f t="shared" si="87"/>
        <v>1046.6842014479034</v>
      </c>
      <c r="H179" s="7">
        <f t="shared" si="87"/>
        <v>937.55985574702061</v>
      </c>
      <c r="I179" s="7">
        <f t="shared" si="87"/>
        <v>718.93292390365843</v>
      </c>
      <c r="J179" s="7">
        <f t="shared" si="87"/>
        <v>639.85940709776855</v>
      </c>
      <c r="K179" s="7">
        <f t="shared" si="87"/>
        <v>543.89312876844826</v>
      </c>
      <c r="L179" s="7">
        <f t="shared" si="87"/>
        <v>483.33528946473621</v>
      </c>
    </row>
    <row r="180" spans="1:12" x14ac:dyDescent="0.25">
      <c r="A180" s="6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</row>
    <row r="181" spans="1:12" x14ac:dyDescent="0.25">
      <c r="A181" s="6" t="s">
        <v>108</v>
      </c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</row>
    <row r="182" spans="1:12" x14ac:dyDescent="0.25">
      <c r="A182" s="35" t="s">
        <v>105</v>
      </c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</row>
    <row r="183" spans="1:12" ht="30" x14ac:dyDescent="0.25">
      <c r="A183" s="36" t="s">
        <v>112</v>
      </c>
      <c r="B183" s="4" t="s">
        <v>31</v>
      </c>
      <c r="C183" s="7">
        <f>-C167</f>
        <v>-31.744</v>
      </c>
      <c r="D183" s="7">
        <f t="shared" ref="D183:L183" si="88">-D167</f>
        <v>-30.06</v>
      </c>
      <c r="E183" s="7">
        <f t="shared" si="88"/>
        <v>-27.628</v>
      </c>
      <c r="F183" s="7">
        <f t="shared" si="88"/>
        <v>-25.44</v>
      </c>
      <c r="G183" s="7">
        <f t="shared" si="88"/>
        <v>-23.312000000000001</v>
      </c>
      <c r="H183" s="7">
        <f t="shared" si="88"/>
        <v>-21.864000000000001</v>
      </c>
      <c r="I183" s="7">
        <f t="shared" si="88"/>
        <v>-16.038</v>
      </c>
      <c r="J183" s="7">
        <f t="shared" si="88"/>
        <v>-14.082000000000001</v>
      </c>
      <c r="K183" s="7">
        <f t="shared" si="88"/>
        <v>-11.946</v>
      </c>
      <c r="L183" s="7">
        <f t="shared" si="88"/>
        <v>-11.16</v>
      </c>
    </row>
    <row r="184" spans="1:12" x14ac:dyDescent="0.25">
      <c r="A184" s="37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</row>
    <row r="185" spans="1:12" x14ac:dyDescent="0.25">
      <c r="A185" s="38" t="s">
        <v>115</v>
      </c>
      <c r="B185" s="4" t="s">
        <v>31</v>
      </c>
      <c r="C185" s="7">
        <f>C153</f>
        <v>31.744</v>
      </c>
      <c r="D185" s="7">
        <f t="shared" ref="D185:L185" si="89">D153</f>
        <v>30.06</v>
      </c>
      <c r="E185" s="7">
        <f t="shared" si="89"/>
        <v>27.628</v>
      </c>
      <c r="F185" s="7">
        <f t="shared" si="89"/>
        <v>25.44</v>
      </c>
      <c r="G185" s="7">
        <f t="shared" si="89"/>
        <v>23.312000000000001</v>
      </c>
      <c r="H185" s="7">
        <f t="shared" si="89"/>
        <v>21.864000000000001</v>
      </c>
      <c r="I185" s="7">
        <f t="shared" si="89"/>
        <v>16.038</v>
      </c>
      <c r="J185" s="7">
        <f t="shared" si="89"/>
        <v>14.082000000000001</v>
      </c>
      <c r="K185" s="7">
        <f t="shared" si="89"/>
        <v>11.946</v>
      </c>
      <c r="L185" s="7">
        <f t="shared" si="89"/>
        <v>11.16</v>
      </c>
    </row>
    <row r="186" spans="1:12" x14ac:dyDescent="0.25">
      <c r="A186" s="37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</row>
    <row r="187" spans="1:12" x14ac:dyDescent="0.25">
      <c r="A187" s="37" t="s">
        <v>120</v>
      </c>
      <c r="B187" s="4" t="s">
        <v>31</v>
      </c>
      <c r="C187" s="7">
        <f>C155</f>
        <v>59.120130157053296</v>
      </c>
      <c r="D187" s="7">
        <f t="shared" ref="D187:L187" si="90">D155</f>
        <v>55.088106315306106</v>
      </c>
      <c r="E187" s="7">
        <f t="shared" si="90"/>
        <v>51.047322590904052</v>
      </c>
      <c r="F187" s="7">
        <f t="shared" si="90"/>
        <v>46.441833486633463</v>
      </c>
      <c r="G187" s="7">
        <f t="shared" si="90"/>
        <v>41.760310737351638</v>
      </c>
      <c r="H187" s="7">
        <f t="shared" si="90"/>
        <v>36.672421404437102</v>
      </c>
      <c r="I187" s="7">
        <f t="shared" si="90"/>
        <v>29.560065078526648</v>
      </c>
      <c r="J187" s="7">
        <f t="shared" si="90"/>
        <v>25.523661295452026</v>
      </c>
      <c r="K187" s="7">
        <f t="shared" si="90"/>
        <v>20.880155368675819</v>
      </c>
      <c r="L187" s="7">
        <f t="shared" si="90"/>
        <v>18.336210702218551</v>
      </c>
    </row>
    <row r="188" spans="1:12" x14ac:dyDescent="0.25">
      <c r="A188" s="37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</row>
    <row r="189" spans="1:12" x14ac:dyDescent="0.25">
      <c r="A189" s="37" t="s">
        <v>116</v>
      </c>
      <c r="B189" s="4" t="s">
        <v>31</v>
      </c>
      <c r="C189" s="7">
        <f>-C173</f>
        <v>-237.10400000000001</v>
      </c>
      <c r="D189" s="7">
        <f t="shared" ref="D189:L189" si="91">-D173</f>
        <v>-225.447</v>
      </c>
      <c r="E189" s="7">
        <f t="shared" si="91"/>
        <v>-211.68</v>
      </c>
      <c r="F189" s="7">
        <f t="shared" si="91"/>
        <v>-196.24100000000001</v>
      </c>
      <c r="G189" s="7">
        <f t="shared" si="91"/>
        <v>-180.654</v>
      </c>
      <c r="H189" s="7">
        <f t="shared" si="91"/>
        <v>-158.16999999999999</v>
      </c>
      <c r="I189" s="7">
        <f t="shared" si="91"/>
        <v>-124.31699999999999</v>
      </c>
      <c r="J189" s="7">
        <f t="shared" si="91"/>
        <v>-110.842</v>
      </c>
      <c r="K189" s="7">
        <f t="shared" si="91"/>
        <v>-94.003</v>
      </c>
      <c r="L189" s="7">
        <f t="shared" si="91"/>
        <v>-80.308999999999997</v>
      </c>
    </row>
    <row r="190" spans="1:12" x14ac:dyDescent="0.25">
      <c r="A190" s="37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</row>
    <row r="191" spans="1:12" x14ac:dyDescent="0.25">
      <c r="A191" s="37" t="s">
        <v>117</v>
      </c>
      <c r="B191" s="4" t="s">
        <v>31</v>
      </c>
      <c r="C191" s="7">
        <f>C159</f>
        <v>237.10400000000001</v>
      </c>
      <c r="D191" s="7">
        <f t="shared" ref="D191:L191" si="92">D159</f>
        <v>225.447</v>
      </c>
      <c r="E191" s="7">
        <f t="shared" si="92"/>
        <v>211.68</v>
      </c>
      <c r="F191" s="7">
        <f t="shared" si="92"/>
        <v>196.24100000000001</v>
      </c>
      <c r="G191" s="7">
        <f t="shared" si="92"/>
        <v>180.654</v>
      </c>
      <c r="H191" s="7">
        <f t="shared" si="92"/>
        <v>158.16999999999999</v>
      </c>
      <c r="I191" s="7">
        <f t="shared" si="92"/>
        <v>124.31699999999999</v>
      </c>
      <c r="J191" s="7">
        <f t="shared" si="92"/>
        <v>110.842</v>
      </c>
      <c r="K191" s="7">
        <f t="shared" si="92"/>
        <v>94.003</v>
      </c>
      <c r="L191" s="7">
        <f t="shared" si="92"/>
        <v>80.308999999999997</v>
      </c>
    </row>
    <row r="192" spans="1:12" x14ac:dyDescent="0.25">
      <c r="A192" s="37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</row>
    <row r="193" spans="1:12" x14ac:dyDescent="0.25">
      <c r="A193" s="35" t="s">
        <v>118</v>
      </c>
      <c r="B193" s="4" t="s">
        <v>31</v>
      </c>
      <c r="C193" s="7">
        <f>C161-C177</f>
        <v>3782.7804340622602</v>
      </c>
      <c r="D193" s="7">
        <f t="shared" ref="D193:L193" si="93">D161-D177</f>
        <v>3580.4641723043487</v>
      </c>
      <c r="E193" s="7">
        <f t="shared" si="93"/>
        <v>3350.7977366281134</v>
      </c>
      <c r="F193" s="7">
        <f t="shared" si="93"/>
        <v>3092.9189282537245</v>
      </c>
      <c r="G193" s="7">
        <f t="shared" si="93"/>
        <v>2838.3533393254602</v>
      </c>
      <c r="H193" s="7">
        <f t="shared" si="93"/>
        <v>2551.417589641148</v>
      </c>
      <c r="I193" s="7">
        <f t="shared" si="93"/>
        <v>1948.7042994329609</v>
      </c>
      <c r="J193" s="7">
        <f t="shared" si="93"/>
        <v>1734.3503792391041</v>
      </c>
      <c r="K193" s="7">
        <f t="shared" si="93"/>
        <v>1475.0365877848544</v>
      </c>
      <c r="L193" s="7">
        <f t="shared" si="93"/>
        <v>1319.8421362684558</v>
      </c>
    </row>
    <row r="194" spans="1:12" x14ac:dyDescent="0.2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</row>
    <row r="195" spans="1:12" x14ac:dyDescent="0.25">
      <c r="A195" s="4" t="s">
        <v>119</v>
      </c>
      <c r="B195" s="4" t="s">
        <v>31</v>
      </c>
      <c r="C195" s="7">
        <f>SUM(C183:C193)</f>
        <v>3841.9005642193133</v>
      </c>
      <c r="D195" s="7">
        <f t="shared" ref="D195:L195" si="94">SUM(D183:D193)</f>
        <v>3635.5522786196548</v>
      </c>
      <c r="E195" s="7">
        <f t="shared" si="94"/>
        <v>3401.8450592190175</v>
      </c>
      <c r="F195" s="7">
        <f t="shared" si="94"/>
        <v>3139.3607617403582</v>
      </c>
      <c r="G195" s="7">
        <f t="shared" si="94"/>
        <v>2880.1136500628118</v>
      </c>
      <c r="H195" s="7">
        <f t="shared" si="94"/>
        <v>2588.090011045585</v>
      </c>
      <c r="I195" s="7">
        <f t="shared" si="94"/>
        <v>1978.2643645114874</v>
      </c>
      <c r="J195" s="7">
        <f t="shared" si="94"/>
        <v>1759.8740405345561</v>
      </c>
      <c r="K195" s="7">
        <f t="shared" si="94"/>
        <v>1495.9167431535302</v>
      </c>
      <c r="L195" s="7">
        <f t="shared" si="94"/>
        <v>1338.1783469706743</v>
      </c>
    </row>
    <row r="196" spans="1:12" x14ac:dyDescent="0.25">
      <c r="C196" s="3"/>
      <c r="D196" s="3"/>
      <c r="E196" s="3"/>
      <c r="F196" s="3"/>
      <c r="G196" s="3"/>
      <c r="H196" s="3"/>
      <c r="I196" s="3"/>
      <c r="J196" s="3"/>
      <c r="K196" s="3"/>
      <c r="L196" s="3"/>
    </row>
    <row r="197" spans="1:12" x14ac:dyDescent="0.25">
      <c r="A197" s="20" t="s">
        <v>85</v>
      </c>
      <c r="B197" s="20" t="s">
        <v>15</v>
      </c>
      <c r="C197" s="24">
        <f>260*C163/2902</f>
        <v>468.92020126573124</v>
      </c>
      <c r="D197" s="24">
        <f t="shared" ref="D197:L197" si="95">260*D163/2902</f>
        <v>443.85575557795789</v>
      </c>
      <c r="E197" s="24">
        <f t="shared" si="95"/>
        <v>415.35654079629154</v>
      </c>
      <c r="F197" s="24">
        <f t="shared" si="95"/>
        <v>383.40068408788585</v>
      </c>
      <c r="G197" s="24">
        <f t="shared" si="95"/>
        <v>351.81510730282082</v>
      </c>
      <c r="H197" s="24">
        <f t="shared" si="95"/>
        <v>315.8749019180143</v>
      </c>
      <c r="I197" s="24">
        <f t="shared" si="95"/>
        <v>241.65103204270775</v>
      </c>
      <c r="J197" s="24">
        <f t="shared" si="95"/>
        <v>215.00023996705872</v>
      </c>
      <c r="K197" s="24">
        <f t="shared" si="95"/>
        <v>182.75346888343017</v>
      </c>
      <c r="L197" s="24">
        <f t="shared" si="95"/>
        <v>163.19557045940962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8342B-0BA7-45D9-8699-FD1C8F9EFE41}">
  <dimension ref="A1:P197"/>
  <sheetViews>
    <sheetView tabSelected="1" workbookViewId="0">
      <pane xSplit="2" ySplit="2" topLeftCell="C142" activePane="bottomRight" state="frozen"/>
      <selection pane="topRight" activeCell="C1" sqref="C1"/>
      <selection pane="bottomLeft" activeCell="A3" sqref="A3"/>
      <selection pane="bottomRight" activeCell="O149" sqref="O149"/>
    </sheetView>
  </sheetViews>
  <sheetFormatPr defaultRowHeight="15" x14ac:dyDescent="0.25"/>
  <cols>
    <col min="1" max="1" width="36.85546875" customWidth="1"/>
    <col min="2" max="2" width="10.5703125" bestFit="1" customWidth="1"/>
    <col min="3" max="3" width="13.42578125" bestFit="1" customWidth="1"/>
    <col min="4" max="7" width="11.7109375" bestFit="1" customWidth="1"/>
    <col min="8" max="8" width="11.7109375" customWidth="1"/>
    <col min="9" max="9" width="11.7109375" bestFit="1" customWidth="1"/>
    <col min="10" max="12" width="11.5703125" bestFit="1" customWidth="1"/>
  </cols>
  <sheetData>
    <row r="1" spans="1:15" ht="30" x14ac:dyDescent="0.25">
      <c r="A1" s="9" t="s">
        <v>42</v>
      </c>
      <c r="B1" s="4"/>
      <c r="C1" s="10">
        <v>1</v>
      </c>
      <c r="D1" s="10">
        <v>0.9</v>
      </c>
      <c r="E1" s="10">
        <v>0.8</v>
      </c>
      <c r="F1" s="10">
        <v>0.7</v>
      </c>
      <c r="G1" s="10">
        <v>0.6</v>
      </c>
      <c r="H1" s="10">
        <v>0.5</v>
      </c>
      <c r="I1" s="10">
        <v>0.5</v>
      </c>
      <c r="J1" s="10">
        <v>0.4</v>
      </c>
      <c r="K1" s="10">
        <v>0.3</v>
      </c>
      <c r="L1" s="10">
        <v>0.25</v>
      </c>
    </row>
    <row r="2" spans="1:15" x14ac:dyDescent="0.25">
      <c r="A2" s="6" t="s">
        <v>43</v>
      </c>
      <c r="B2" s="4"/>
      <c r="C2" s="11" t="s">
        <v>0</v>
      </c>
      <c r="D2" s="11" t="s">
        <v>1</v>
      </c>
      <c r="E2" s="11" t="s">
        <v>2</v>
      </c>
      <c r="F2" s="11" t="s">
        <v>3</v>
      </c>
      <c r="G2" s="11" t="s">
        <v>4</v>
      </c>
      <c r="H2" s="11" t="s">
        <v>128</v>
      </c>
      <c r="I2" s="11" t="s">
        <v>5</v>
      </c>
      <c r="J2" s="11" t="s">
        <v>6</v>
      </c>
      <c r="K2" s="11" t="s">
        <v>7</v>
      </c>
      <c r="L2" s="11" t="s">
        <v>8</v>
      </c>
    </row>
    <row r="3" spans="1:15" x14ac:dyDescent="0.25">
      <c r="A3" s="4"/>
      <c r="B3" s="4"/>
      <c r="C3" s="4"/>
      <c r="D3" s="4"/>
      <c r="E3" s="4"/>
      <c r="F3" s="4"/>
      <c r="G3" s="4"/>
      <c r="H3" s="40"/>
      <c r="I3" s="4"/>
      <c r="J3" s="4"/>
      <c r="K3" s="4"/>
      <c r="L3" s="4"/>
    </row>
    <row r="4" spans="1:15" x14ac:dyDescent="0.25">
      <c r="A4" s="6" t="s">
        <v>41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</row>
    <row r="5" spans="1:15" x14ac:dyDescent="0.25">
      <c r="A5" s="4" t="s">
        <v>9</v>
      </c>
      <c r="B5" s="4" t="s">
        <v>15</v>
      </c>
      <c r="C5" s="5">
        <v>477000</v>
      </c>
      <c r="D5" s="5">
        <v>429300</v>
      </c>
      <c r="E5" s="5">
        <f>477000*0.8</f>
        <v>381600</v>
      </c>
      <c r="F5" s="5">
        <f>477000*0.7</f>
        <v>333900</v>
      </c>
      <c r="G5" s="5">
        <v>286200</v>
      </c>
      <c r="H5" s="5">
        <f>L5*2</f>
        <v>238500</v>
      </c>
      <c r="I5" s="5">
        <v>238500</v>
      </c>
      <c r="J5" s="5">
        <v>190800</v>
      </c>
      <c r="K5" s="5">
        <v>143100</v>
      </c>
      <c r="L5" s="5">
        <v>119250</v>
      </c>
    </row>
    <row r="6" spans="1:15" x14ac:dyDescent="0.25">
      <c r="A6" s="4"/>
      <c r="B6" s="4"/>
      <c r="C6" s="5"/>
      <c r="D6" s="5"/>
      <c r="E6" s="5"/>
      <c r="F6" s="5"/>
      <c r="G6" s="5"/>
      <c r="H6" s="5"/>
      <c r="I6" s="5"/>
      <c r="J6" s="5"/>
      <c r="K6" s="5"/>
      <c r="L6" s="5"/>
    </row>
    <row r="7" spans="1:15" x14ac:dyDescent="0.25">
      <c r="A7" s="4" t="s">
        <v>10</v>
      </c>
      <c r="B7" s="4" t="s">
        <v>15</v>
      </c>
      <c r="C7" s="5">
        <f>SUM(C8:C10)</f>
        <v>100765.04463589548</v>
      </c>
      <c r="D7" s="5">
        <f t="shared" ref="D7:L7" si="0">SUM(D8:D10)</f>
        <v>93908</v>
      </c>
      <c r="E7" s="5">
        <f t="shared" si="0"/>
        <v>86432</v>
      </c>
      <c r="F7" s="5">
        <f t="shared" si="0"/>
        <v>78281.560181161942</v>
      </c>
      <c r="G7" s="5">
        <f t="shared" si="0"/>
        <v>70091</v>
      </c>
      <c r="H7" s="5">
        <f t="shared" si="0"/>
        <v>58112</v>
      </c>
      <c r="I7" s="5">
        <f t="shared" si="0"/>
        <v>47296</v>
      </c>
      <c r="J7" s="5">
        <f t="shared" si="0"/>
        <v>40597.065251236105</v>
      </c>
      <c r="K7" s="5">
        <f t="shared" si="0"/>
        <v>32855</v>
      </c>
      <c r="L7" s="5">
        <f t="shared" si="0"/>
        <v>28010.991646360206</v>
      </c>
      <c r="O7" s="3"/>
    </row>
    <row r="8" spans="1:15" x14ac:dyDescent="0.25">
      <c r="A8" s="4" t="s">
        <v>11</v>
      </c>
      <c r="B8" s="4" t="s">
        <v>15</v>
      </c>
      <c r="C8" s="5">
        <f>'Max Power'!C8</f>
        <v>52010.04463589548</v>
      </c>
      <c r="D8" s="5">
        <f>'Max Power'!D8</f>
        <v>49180</v>
      </c>
      <c r="E8" s="5">
        <f>'Max Power'!E8</f>
        <v>45400</v>
      </c>
      <c r="F8" s="5">
        <f>'Max Power'!F8</f>
        <v>41572.560181161942</v>
      </c>
      <c r="G8" s="5">
        <f>'Max Power'!G8</f>
        <v>37846</v>
      </c>
      <c r="H8" s="5">
        <f>'Max Power'!H8</f>
        <v>32601</v>
      </c>
      <c r="I8" s="5">
        <f>'Max Power'!I8</f>
        <v>23432</v>
      </c>
      <c r="J8" s="5">
        <f>'Max Power'!J8</f>
        <v>20653.065251236105</v>
      </c>
      <c r="K8" s="5">
        <f>'Max Power'!K8</f>
        <v>17190</v>
      </c>
      <c r="L8" s="5">
        <f>'Max Power'!L8</f>
        <v>14608.991646360206</v>
      </c>
    </row>
    <row r="9" spans="1:15" x14ac:dyDescent="0.25">
      <c r="A9" s="4" t="s">
        <v>12</v>
      </c>
      <c r="B9" s="4" t="s">
        <v>15</v>
      </c>
      <c r="C9" s="5">
        <f>'Max Power'!C9</f>
        <v>48755</v>
      </c>
      <c r="D9" s="5">
        <f>'Max Power'!D9</f>
        <v>44728</v>
      </c>
      <c r="E9" s="5">
        <f>'Max Power'!E9</f>
        <v>41032</v>
      </c>
      <c r="F9" s="5">
        <f>'Max Power'!F9</f>
        <v>36709</v>
      </c>
      <c r="G9" s="5">
        <f>'Max Power'!G9</f>
        <v>32245</v>
      </c>
      <c r="H9" s="5">
        <f>'Max Power'!H9</f>
        <v>25511</v>
      </c>
      <c r="I9" s="5">
        <f>'Max Power'!I9</f>
        <v>23864</v>
      </c>
      <c r="J9" s="5">
        <f>'Max Power'!J9</f>
        <v>19944</v>
      </c>
      <c r="K9" s="5">
        <f>'Max Power'!K9</f>
        <v>15665</v>
      </c>
      <c r="L9" s="5">
        <f>'Max Power'!L9</f>
        <v>13402</v>
      </c>
    </row>
    <row r="10" spans="1:15" x14ac:dyDescent="0.25">
      <c r="A10" s="4" t="s">
        <v>13</v>
      </c>
      <c r="B10" s="4" t="s">
        <v>15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</row>
    <row r="11" spans="1:15" x14ac:dyDescent="0.25">
      <c r="A11" s="4"/>
      <c r="B11" s="4"/>
      <c r="C11" s="5"/>
      <c r="D11" s="4"/>
      <c r="E11" s="4"/>
      <c r="F11" s="4"/>
      <c r="G11" s="4"/>
      <c r="H11" s="4"/>
      <c r="I11" s="4"/>
      <c r="J11" s="4"/>
      <c r="K11" s="4"/>
      <c r="L11" s="4"/>
    </row>
    <row r="12" spans="1:15" s="20" customFormat="1" x14ac:dyDescent="0.25">
      <c r="A12" s="28" t="s">
        <v>14</v>
      </c>
      <c r="B12" s="28" t="s">
        <v>15</v>
      </c>
      <c r="C12" s="29">
        <f>C5+C7</f>
        <v>577765.04463589552</v>
      </c>
      <c r="D12" s="29">
        <f t="shared" ref="D12:L12" si="1">D5+D7</f>
        <v>523208</v>
      </c>
      <c r="E12" s="29">
        <f t="shared" si="1"/>
        <v>468032</v>
      </c>
      <c r="F12" s="29">
        <f t="shared" si="1"/>
        <v>412181.56018116197</v>
      </c>
      <c r="G12" s="29">
        <f t="shared" si="1"/>
        <v>356291</v>
      </c>
      <c r="H12" s="5">
        <f t="shared" si="1"/>
        <v>296612</v>
      </c>
      <c r="I12" s="29">
        <f t="shared" si="1"/>
        <v>285796</v>
      </c>
      <c r="J12" s="29">
        <f t="shared" si="1"/>
        <v>231397.06525123611</v>
      </c>
      <c r="K12" s="29">
        <f t="shared" si="1"/>
        <v>175955</v>
      </c>
      <c r="L12" s="29">
        <f t="shared" si="1"/>
        <v>147260.9916463602</v>
      </c>
    </row>
    <row r="13" spans="1:15" x14ac:dyDescent="0.2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</row>
    <row r="14" spans="1:15" x14ac:dyDescent="0.25">
      <c r="A14" s="6" t="s">
        <v>16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</row>
    <row r="15" spans="1:15" x14ac:dyDescent="0.25">
      <c r="A15" s="4" t="s">
        <v>17</v>
      </c>
      <c r="B15" s="4" t="s">
        <v>15</v>
      </c>
      <c r="C15" s="5">
        <f>C83</f>
        <v>4536.4779340836758</v>
      </c>
      <c r="D15" s="5">
        <f t="shared" ref="D15:L15" si="2">D83</f>
        <v>4286.3220718949442</v>
      </c>
      <c r="E15" s="5">
        <f t="shared" si="2"/>
        <v>4001.819674483193</v>
      </c>
      <c r="F15" s="5">
        <f t="shared" si="2"/>
        <v>3685.9193812166936</v>
      </c>
      <c r="G15" s="5">
        <f t="shared" si="2"/>
        <v>3371.674430871712</v>
      </c>
      <c r="H15" s="5">
        <f t="shared" si="2"/>
        <v>3006.5442685596745</v>
      </c>
      <c r="I15" s="5">
        <f t="shared" si="2"/>
        <v>2291.2852835173117</v>
      </c>
      <c r="J15" s="5">
        <f t="shared" si="2"/>
        <v>2024.7514282830882</v>
      </c>
      <c r="K15" s="5">
        <f t="shared" si="2"/>
        <v>1710.0847914887859</v>
      </c>
      <c r="L15" s="5">
        <f t="shared" si="2"/>
        <v>1515.9857305474354</v>
      </c>
    </row>
    <row r="16" spans="1:15" x14ac:dyDescent="0.25">
      <c r="A16" s="4" t="s">
        <v>18</v>
      </c>
      <c r="B16" s="4" t="s">
        <v>15</v>
      </c>
      <c r="C16" s="5">
        <v>1020</v>
      </c>
      <c r="D16" s="7">
        <f>C16</f>
        <v>1020</v>
      </c>
      <c r="E16" s="7">
        <f t="shared" ref="E16:L16" si="3">D16</f>
        <v>1020</v>
      </c>
      <c r="F16" s="7">
        <f t="shared" si="3"/>
        <v>1020</v>
      </c>
      <c r="G16" s="7">
        <f t="shared" si="3"/>
        <v>1020</v>
      </c>
      <c r="H16" s="7">
        <f t="shared" si="3"/>
        <v>1020</v>
      </c>
      <c r="I16" s="7">
        <f>G16</f>
        <v>1020</v>
      </c>
      <c r="J16" s="7">
        <f t="shared" si="3"/>
        <v>1020</v>
      </c>
      <c r="K16" s="7">
        <f t="shared" si="3"/>
        <v>1020</v>
      </c>
      <c r="L16" s="7">
        <f t="shared" si="3"/>
        <v>1020</v>
      </c>
    </row>
    <row r="17" spans="1:12" x14ac:dyDescent="0.25">
      <c r="A17" s="4" t="s">
        <v>19</v>
      </c>
      <c r="B17" s="4" t="s">
        <v>15</v>
      </c>
      <c r="C17" s="5">
        <v>178</v>
      </c>
      <c r="D17" s="5">
        <v>170</v>
      </c>
      <c r="E17" s="5">
        <v>159</v>
      </c>
      <c r="F17" s="5">
        <v>148</v>
      </c>
      <c r="G17" s="5">
        <v>137</v>
      </c>
      <c r="H17" s="5">
        <f>'Max Power'!H17</f>
        <v>123</v>
      </c>
      <c r="I17" s="5">
        <v>89</v>
      </c>
      <c r="J17" s="5">
        <v>80</v>
      </c>
      <c r="K17" s="5">
        <v>69</v>
      </c>
      <c r="L17" s="5">
        <v>62</v>
      </c>
    </row>
    <row r="18" spans="1:12" x14ac:dyDescent="0.25">
      <c r="A18" s="4" t="s">
        <v>20</v>
      </c>
      <c r="B18" s="4" t="s">
        <v>15</v>
      </c>
      <c r="C18" s="5">
        <f>C82</f>
        <v>2357.0312397730131</v>
      </c>
      <c r="D18" s="5">
        <f t="shared" ref="D18:L18" si="4">D82</f>
        <v>2227.057019561074</v>
      </c>
      <c r="E18" s="5">
        <f t="shared" si="4"/>
        <v>2079.2372685926912</v>
      </c>
      <c r="F18" s="5">
        <f t="shared" si="4"/>
        <v>1915.1040201339404</v>
      </c>
      <c r="G18" s="5">
        <f t="shared" si="4"/>
        <v>1751.8308430863699</v>
      </c>
      <c r="H18" s="5">
        <f t="shared" si="4"/>
        <v>1562.1190861555604</v>
      </c>
      <c r="I18" s="5">
        <f t="shared" si="4"/>
        <v>1190.4898626104182</v>
      </c>
      <c r="J18" s="5">
        <f t="shared" si="4"/>
        <v>1052.0060801755546</v>
      </c>
      <c r="K18" s="5">
        <f t="shared" si="4"/>
        <v>888.51380625395996</v>
      </c>
      <c r="L18" s="5">
        <f t="shared" si="4"/>
        <v>787.66518384315145</v>
      </c>
    </row>
    <row r="19" spans="1:12" x14ac:dyDescent="0.25">
      <c r="A19" s="4" t="s">
        <v>21</v>
      </c>
      <c r="B19" s="4" t="s">
        <v>15</v>
      </c>
      <c r="C19" s="5">
        <f>(2498+219)*2</f>
        <v>5434</v>
      </c>
      <c r="D19" s="5">
        <f>(207+2315)*2</f>
        <v>5044</v>
      </c>
      <c r="E19" s="5">
        <f>(2071+199)*2</f>
        <v>4540</v>
      </c>
      <c r="F19" s="5">
        <f>(1833+180)*2</f>
        <v>4026</v>
      </c>
      <c r="G19" s="5">
        <f>(161+1616)*2</f>
        <v>3554</v>
      </c>
      <c r="H19" s="5">
        <f>'Max Power'!H19</f>
        <v>2908</v>
      </c>
      <c r="I19" s="5">
        <f>(128+1770)</f>
        <v>1898</v>
      </c>
      <c r="J19" s="5">
        <f>(115+1518)</f>
        <v>1633</v>
      </c>
      <c r="K19" s="5">
        <f>(1225+93)</f>
        <v>1318</v>
      </c>
      <c r="L19" s="5">
        <f>(75+1032)</f>
        <v>1107</v>
      </c>
    </row>
    <row r="20" spans="1:12" x14ac:dyDescent="0.25">
      <c r="A20" s="4" t="s">
        <v>22</v>
      </c>
      <c r="B20" s="4" t="s">
        <v>15</v>
      </c>
      <c r="C20" s="5">
        <f t="shared" ref="C20:L20" si="5">C197</f>
        <v>517.06100512387445</v>
      </c>
      <c r="D20" s="5">
        <f t="shared" si="5"/>
        <v>491.29081885687776</v>
      </c>
      <c r="E20" s="5">
        <f t="shared" si="5"/>
        <v>459.96846848769712</v>
      </c>
      <c r="F20" s="5">
        <f t="shared" si="5"/>
        <v>425.70739179328677</v>
      </c>
      <c r="G20" s="5">
        <f t="shared" si="5"/>
        <v>391.98016266188978</v>
      </c>
      <c r="H20" s="5">
        <f t="shared" si="5"/>
        <v>351.37869944186235</v>
      </c>
      <c r="I20" s="5">
        <f t="shared" si="5"/>
        <v>260.66428996044954</v>
      </c>
      <c r="J20" s="5">
        <f t="shared" si="5"/>
        <v>232.39727498692093</v>
      </c>
      <c r="K20" s="5">
        <f t="shared" si="5"/>
        <v>198.33633510298921</v>
      </c>
      <c r="L20" s="5">
        <f t="shared" si="5"/>
        <v>176.14257756976781</v>
      </c>
    </row>
    <row r="21" spans="1:12" x14ac:dyDescent="0.25">
      <c r="A21" s="4" t="s">
        <v>23</v>
      </c>
      <c r="B21" s="4" t="s">
        <v>15</v>
      </c>
      <c r="C21" s="5">
        <v>570</v>
      </c>
      <c r="D21" s="7">
        <f>C21</f>
        <v>570</v>
      </c>
      <c r="E21" s="7">
        <f t="shared" ref="E21:L22" si="6">D21</f>
        <v>570</v>
      </c>
      <c r="F21" s="7">
        <f t="shared" si="6"/>
        <v>570</v>
      </c>
      <c r="G21" s="7">
        <f t="shared" si="6"/>
        <v>570</v>
      </c>
      <c r="H21" s="7">
        <f t="shared" si="6"/>
        <v>570</v>
      </c>
      <c r="I21" s="7">
        <f>G21</f>
        <v>570</v>
      </c>
      <c r="J21" s="7">
        <f t="shared" si="6"/>
        <v>570</v>
      </c>
      <c r="K21" s="7">
        <f t="shared" si="6"/>
        <v>570</v>
      </c>
      <c r="L21" s="7">
        <f t="shared" si="6"/>
        <v>570</v>
      </c>
    </row>
    <row r="22" spans="1:12" x14ac:dyDescent="0.25">
      <c r="A22" s="4" t="s">
        <v>24</v>
      </c>
      <c r="B22" s="4" t="s">
        <v>15</v>
      </c>
      <c r="C22" s="5">
        <v>2</v>
      </c>
      <c r="D22" s="7">
        <f>C22</f>
        <v>2</v>
      </c>
      <c r="E22" s="7">
        <f t="shared" si="6"/>
        <v>2</v>
      </c>
      <c r="F22" s="7">
        <f t="shared" si="6"/>
        <v>2</v>
      </c>
      <c r="G22" s="7">
        <f t="shared" si="6"/>
        <v>2</v>
      </c>
      <c r="H22" s="7">
        <f t="shared" si="6"/>
        <v>2</v>
      </c>
      <c r="I22" s="7">
        <f>G22</f>
        <v>2</v>
      </c>
      <c r="J22" s="7">
        <f t="shared" si="6"/>
        <v>2</v>
      </c>
      <c r="K22" s="7">
        <f t="shared" si="6"/>
        <v>2</v>
      </c>
      <c r="L22" s="7">
        <f t="shared" si="6"/>
        <v>2</v>
      </c>
    </row>
    <row r="23" spans="1:12" x14ac:dyDescent="0.25">
      <c r="A23" s="4" t="s">
        <v>35</v>
      </c>
      <c r="B23" s="4" t="s">
        <v>15</v>
      </c>
      <c r="C23" s="5">
        <v>200</v>
      </c>
      <c r="D23" s="5">
        <v>200</v>
      </c>
      <c r="E23" s="5">
        <v>200</v>
      </c>
      <c r="F23" s="5">
        <v>200</v>
      </c>
      <c r="G23" s="5">
        <v>200</v>
      </c>
      <c r="H23" s="5">
        <v>200</v>
      </c>
      <c r="I23" s="5">
        <v>200</v>
      </c>
      <c r="J23" s="5">
        <v>200</v>
      </c>
      <c r="K23" s="5">
        <v>200</v>
      </c>
      <c r="L23" s="5">
        <v>200</v>
      </c>
    </row>
    <row r="24" spans="1:12" x14ac:dyDescent="0.25">
      <c r="A24" s="4" t="s">
        <v>25</v>
      </c>
      <c r="B24" s="4" t="s">
        <v>15</v>
      </c>
      <c r="C24" s="5">
        <v>2250</v>
      </c>
      <c r="D24" s="5">
        <v>2250</v>
      </c>
      <c r="E24" s="5">
        <v>2250</v>
      </c>
      <c r="F24" s="5">
        <v>2250</v>
      </c>
      <c r="G24" s="5">
        <v>2250</v>
      </c>
      <c r="H24" s="5">
        <v>2250</v>
      </c>
      <c r="I24" s="5">
        <v>2250</v>
      </c>
      <c r="J24" s="5">
        <v>2250</v>
      </c>
      <c r="K24" s="5">
        <v>2250</v>
      </c>
      <c r="L24" s="5">
        <v>2250</v>
      </c>
    </row>
    <row r="25" spans="1:12" x14ac:dyDescent="0.25">
      <c r="A25" s="4"/>
      <c r="B25" s="4"/>
      <c r="C25" s="5"/>
      <c r="D25" s="5"/>
      <c r="E25" s="5"/>
      <c r="F25" s="5"/>
      <c r="G25" s="5"/>
      <c r="H25" s="5"/>
      <c r="I25" s="5"/>
      <c r="J25" s="5"/>
      <c r="K25" s="5"/>
      <c r="L25" s="5"/>
    </row>
    <row r="26" spans="1:12" x14ac:dyDescent="0.25">
      <c r="A26" s="4" t="s">
        <v>54</v>
      </c>
      <c r="B26" s="4" t="s">
        <v>15</v>
      </c>
      <c r="C26" s="5">
        <f>C52</f>
        <v>11773.924226192816</v>
      </c>
      <c r="D26" s="5">
        <f t="shared" ref="D26:L27" si="7">D52</f>
        <v>10970.936427200792</v>
      </c>
      <c r="E26" s="5">
        <f t="shared" si="7"/>
        <v>10166.204075307163</v>
      </c>
      <c r="F26" s="5">
        <f t="shared" si="7"/>
        <v>9249.0092113210721</v>
      </c>
      <c r="G26" s="5">
        <f t="shared" si="7"/>
        <v>8316.672053625116</v>
      </c>
      <c r="H26" s="5">
        <f t="shared" si="7"/>
        <v>7303.4059576633208</v>
      </c>
      <c r="I26" s="5">
        <f t="shared" si="7"/>
        <v>5886.9621130964078</v>
      </c>
      <c r="J26" s="5">
        <f t="shared" si="7"/>
        <v>5083.1020376535816</v>
      </c>
      <c r="K26" s="5">
        <f t="shared" si="7"/>
        <v>4158.336026812558</v>
      </c>
      <c r="L26" s="5">
        <f t="shared" si="7"/>
        <v>3651.7029788316604</v>
      </c>
    </row>
    <row r="27" spans="1:12" x14ac:dyDescent="0.25">
      <c r="A27" s="4" t="s">
        <v>56</v>
      </c>
      <c r="B27" s="4" t="s">
        <v>15</v>
      </c>
      <c r="C27" s="5">
        <f>C53</f>
        <v>19038.685982779876</v>
      </c>
      <c r="D27" s="5">
        <f t="shared" si="7"/>
        <v>17740.237626962982</v>
      </c>
      <c r="E27" s="5">
        <f t="shared" si="7"/>
        <v>16438.96829198605</v>
      </c>
      <c r="F27" s="5">
        <f t="shared" si="7"/>
        <v>14955.844682136201</v>
      </c>
      <c r="G27" s="5">
        <f t="shared" si="7"/>
        <v>13448.235661181037</v>
      </c>
      <c r="H27" s="5">
        <f t="shared" si="7"/>
        <v>11809.76282515771</v>
      </c>
      <c r="I27" s="5">
        <f t="shared" si="7"/>
        <v>9519.3429913899381</v>
      </c>
      <c r="J27" s="5">
        <f t="shared" si="7"/>
        <v>8219.4841459930249</v>
      </c>
      <c r="K27" s="5">
        <f t="shared" si="7"/>
        <v>7140</v>
      </c>
      <c r="L27" s="5">
        <f t="shared" si="7"/>
        <v>7140</v>
      </c>
    </row>
    <row r="28" spans="1:12" x14ac:dyDescent="0.25">
      <c r="A28" s="4"/>
      <c r="B28" s="4"/>
      <c r="C28" s="5"/>
      <c r="D28" s="5"/>
      <c r="E28" s="5"/>
      <c r="F28" s="5"/>
      <c r="G28" s="5"/>
      <c r="H28" s="5"/>
      <c r="I28" s="5"/>
      <c r="J28" s="5"/>
      <c r="K28" s="5"/>
      <c r="L28" s="5"/>
    </row>
    <row r="29" spans="1:12" x14ac:dyDescent="0.25">
      <c r="A29" s="4" t="s">
        <v>62</v>
      </c>
      <c r="B29" s="4" t="s">
        <v>15</v>
      </c>
      <c r="C29" s="5">
        <f>C62</f>
        <v>35087.515349999994</v>
      </c>
      <c r="D29" s="5">
        <f t="shared" ref="D29:L30" si="8">D62</f>
        <v>34234.881449999993</v>
      </c>
      <c r="E29" s="5">
        <f t="shared" si="8"/>
        <v>32488.691849999996</v>
      </c>
      <c r="F29" s="5">
        <f t="shared" si="8"/>
        <v>30735.344549999998</v>
      </c>
      <c r="G29" s="5">
        <f t="shared" si="8"/>
        <v>29128.766249999997</v>
      </c>
      <c r="H29" s="5">
        <f t="shared" si="8"/>
        <v>26666.445149999996</v>
      </c>
      <c r="I29" s="5">
        <f t="shared" si="8"/>
        <v>17523.531749999998</v>
      </c>
      <c r="J29" s="5">
        <f t="shared" si="8"/>
        <v>16299.673499999997</v>
      </c>
      <c r="K29" s="5">
        <f t="shared" si="8"/>
        <v>14575.824599999998</v>
      </c>
      <c r="L29" s="5">
        <f t="shared" si="8"/>
        <v>13018.7718</v>
      </c>
    </row>
    <row r="30" spans="1:12" x14ac:dyDescent="0.25">
      <c r="A30" s="4" t="s">
        <v>63</v>
      </c>
      <c r="B30" s="4" t="s">
        <v>15</v>
      </c>
      <c r="C30" s="5">
        <f>C63</f>
        <v>19368.308473199999</v>
      </c>
      <c r="D30" s="5">
        <f t="shared" si="8"/>
        <v>18897.654560399998</v>
      </c>
      <c r="E30" s="5">
        <f t="shared" si="8"/>
        <v>17933.757901199999</v>
      </c>
      <c r="F30" s="5">
        <f t="shared" si="8"/>
        <v>16965.9101916</v>
      </c>
      <c r="G30" s="5">
        <f t="shared" si="8"/>
        <v>16079.07897</v>
      </c>
      <c r="H30" s="5">
        <f t="shared" si="8"/>
        <v>14719.8777228</v>
      </c>
      <c r="I30" s="5">
        <f t="shared" si="8"/>
        <v>9672.9895259999994</v>
      </c>
      <c r="J30" s="5">
        <f t="shared" si="8"/>
        <v>8997.4197719999993</v>
      </c>
      <c r="K30" s="5">
        <f t="shared" si="8"/>
        <v>8045.8551791999998</v>
      </c>
      <c r="L30" s="5">
        <f t="shared" si="8"/>
        <v>7186.3620336000004</v>
      </c>
    </row>
    <row r="31" spans="1:12" x14ac:dyDescent="0.2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</row>
    <row r="32" spans="1:12" x14ac:dyDescent="0.25">
      <c r="A32" s="4" t="s">
        <v>26</v>
      </c>
      <c r="B32" s="4" t="s">
        <v>15</v>
      </c>
      <c r="C32" s="5">
        <f t="shared" ref="C32:L32" si="9">SUM(C15:C31)</f>
        <v>102333.00421115324</v>
      </c>
      <c r="D32" s="5">
        <f t="shared" si="9"/>
        <v>98104.379974876661</v>
      </c>
      <c r="E32" s="5">
        <f t="shared" si="9"/>
        <v>92309.647530056798</v>
      </c>
      <c r="F32" s="5">
        <f t="shared" si="9"/>
        <v>86148.839428201201</v>
      </c>
      <c r="G32" s="5">
        <f t="shared" si="9"/>
        <v>80221.238371426123</v>
      </c>
      <c r="H32" s="5">
        <f t="shared" si="9"/>
        <v>72492.533709778116</v>
      </c>
      <c r="I32" s="5">
        <f t="shared" si="9"/>
        <v>52374.265816574516</v>
      </c>
      <c r="J32" s="5">
        <f t="shared" si="9"/>
        <v>47663.834239092168</v>
      </c>
      <c r="K32" s="5">
        <f t="shared" si="9"/>
        <v>42145.950738858293</v>
      </c>
      <c r="L32" s="5">
        <f t="shared" si="9"/>
        <v>38687.63030439202</v>
      </c>
    </row>
    <row r="33" spans="1:12" x14ac:dyDescent="0.2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</row>
    <row r="34" spans="1:12" x14ac:dyDescent="0.25">
      <c r="A34" s="6" t="s">
        <v>29</v>
      </c>
      <c r="B34" s="4" t="s">
        <v>15</v>
      </c>
      <c r="C34" s="7">
        <f t="shared" ref="C34:L34" si="10">C12-C32</f>
        <v>475432.04042474227</v>
      </c>
      <c r="D34" s="7">
        <f t="shared" si="10"/>
        <v>425103.62002512335</v>
      </c>
      <c r="E34" s="7">
        <f t="shared" si="10"/>
        <v>375722.35246994323</v>
      </c>
      <c r="F34" s="7">
        <f t="shared" si="10"/>
        <v>326032.72075296077</v>
      </c>
      <c r="G34" s="7">
        <f t="shared" si="10"/>
        <v>276069.76162857388</v>
      </c>
      <c r="H34" s="7">
        <f t="shared" si="10"/>
        <v>224119.4662902219</v>
      </c>
      <c r="I34" s="7">
        <f t="shared" si="10"/>
        <v>233421.73418342549</v>
      </c>
      <c r="J34" s="7">
        <f t="shared" si="10"/>
        <v>183733.23101214395</v>
      </c>
      <c r="K34" s="7">
        <f t="shared" si="10"/>
        <v>133809.04926114171</v>
      </c>
      <c r="L34" s="7">
        <f t="shared" si="10"/>
        <v>108573.36134196818</v>
      </c>
    </row>
    <row r="35" spans="1:12" x14ac:dyDescent="0.2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</row>
    <row r="36" spans="1:12" x14ac:dyDescent="0.25">
      <c r="A36" s="4" t="s">
        <v>36</v>
      </c>
      <c r="B36" s="4" t="s">
        <v>37</v>
      </c>
      <c r="C36" s="5">
        <v>205630</v>
      </c>
      <c r="D36" s="5">
        <v>191585.47099999999</v>
      </c>
      <c r="E36" s="5">
        <v>177540.94199999998</v>
      </c>
      <c r="F36" s="5">
        <v>161501.802</v>
      </c>
      <c r="G36" s="5">
        <v>145195.34299999999</v>
      </c>
      <c r="H36" s="5">
        <f>'Max Power'!H36</f>
        <v>127388</v>
      </c>
      <c r="I36" s="5">
        <v>102815</v>
      </c>
      <c r="J36" s="5">
        <v>88770.47099999999</v>
      </c>
      <c r="K36" s="5">
        <v>72597.671499999997</v>
      </c>
      <c r="L36" s="5">
        <v>63694</v>
      </c>
    </row>
    <row r="37" spans="1:12" x14ac:dyDescent="0.25">
      <c r="A37" s="4"/>
      <c r="B37" s="4" t="s">
        <v>44</v>
      </c>
      <c r="C37" s="5">
        <f>C36*0.454</f>
        <v>93356.02</v>
      </c>
      <c r="D37" s="5">
        <f t="shared" ref="D37:L37" si="11">D36*0.454</f>
        <v>86979.803834000006</v>
      </c>
      <c r="E37" s="5">
        <f t="shared" si="11"/>
        <v>80603.587667999993</v>
      </c>
      <c r="F37" s="5">
        <f t="shared" si="11"/>
        <v>73321.818108000007</v>
      </c>
      <c r="G37" s="5">
        <f t="shared" si="11"/>
        <v>65918.685721999995</v>
      </c>
      <c r="H37" s="5">
        <f>'Max Power'!H37</f>
        <v>57834.152000000002</v>
      </c>
      <c r="I37" s="5">
        <f t="shared" si="11"/>
        <v>46678.01</v>
      </c>
      <c r="J37" s="5">
        <f t="shared" si="11"/>
        <v>40301.793833999996</v>
      </c>
      <c r="K37" s="5">
        <f t="shared" si="11"/>
        <v>32959.342860999997</v>
      </c>
      <c r="L37" s="5">
        <f t="shared" si="11"/>
        <v>28917.076000000001</v>
      </c>
    </row>
    <row r="38" spans="1:12" x14ac:dyDescent="0.25">
      <c r="A38" s="4"/>
      <c r="B38" s="4"/>
      <c r="C38" s="5"/>
      <c r="D38" s="5"/>
      <c r="E38" s="5"/>
      <c r="F38" s="5"/>
      <c r="G38" s="5"/>
      <c r="H38" s="5"/>
      <c r="I38" s="5"/>
      <c r="J38" s="5"/>
      <c r="K38" s="5"/>
      <c r="L38" s="5"/>
    </row>
    <row r="39" spans="1:12" x14ac:dyDescent="0.25">
      <c r="A39" s="4" t="s">
        <v>47</v>
      </c>
      <c r="B39" s="4" t="s">
        <v>28</v>
      </c>
      <c r="C39" s="7">
        <f>C36*22446/1000000</f>
        <v>4615.5709800000004</v>
      </c>
      <c r="D39" s="7">
        <f t="shared" ref="D39:L39" si="12">D36*22446/1000000</f>
        <v>4300.3274820659999</v>
      </c>
      <c r="E39" s="7">
        <f t="shared" si="12"/>
        <v>3985.0839841319994</v>
      </c>
      <c r="F39" s="7">
        <f t="shared" si="12"/>
        <v>3625.0694476919998</v>
      </c>
      <c r="G39" s="7">
        <f t="shared" si="12"/>
        <v>3259.0546689779999</v>
      </c>
      <c r="H39" s="7">
        <f t="shared" si="12"/>
        <v>2859.351048</v>
      </c>
      <c r="I39" s="7">
        <f t="shared" si="12"/>
        <v>2307.7854900000002</v>
      </c>
      <c r="J39" s="7">
        <f t="shared" si="12"/>
        <v>1992.5419920659997</v>
      </c>
      <c r="K39" s="7">
        <f t="shared" si="12"/>
        <v>1629.5273344889999</v>
      </c>
      <c r="L39" s="7">
        <f t="shared" si="12"/>
        <v>1429.675524</v>
      </c>
    </row>
    <row r="40" spans="1:12" x14ac:dyDescent="0.25">
      <c r="A40" s="4"/>
      <c r="B40" s="4" t="s">
        <v>45</v>
      </c>
      <c r="C40" s="7">
        <f>C39*1.055</f>
        <v>4869.4273838999998</v>
      </c>
      <c r="D40" s="7">
        <f t="shared" ref="D40:L40" si="13">D39*1.055</f>
        <v>4536.8454935796299</v>
      </c>
      <c r="E40" s="7">
        <f t="shared" si="13"/>
        <v>4204.2636032592591</v>
      </c>
      <c r="F40" s="7">
        <f t="shared" si="13"/>
        <v>3824.4482673150596</v>
      </c>
      <c r="G40" s="7">
        <f t="shared" si="13"/>
        <v>3438.3026757717898</v>
      </c>
      <c r="H40" s="7">
        <f t="shared" si="13"/>
        <v>3016.61535564</v>
      </c>
      <c r="I40" s="7">
        <f t="shared" si="13"/>
        <v>2434.7136919499999</v>
      </c>
      <c r="J40" s="7">
        <f t="shared" si="13"/>
        <v>2102.1318016296295</v>
      </c>
      <c r="K40" s="7">
        <f t="shared" si="13"/>
        <v>1719.1513378858949</v>
      </c>
      <c r="L40" s="7">
        <f t="shared" si="13"/>
        <v>1508.30767782</v>
      </c>
    </row>
    <row r="41" spans="1:12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</row>
    <row r="42" spans="1:12" x14ac:dyDescent="0.25">
      <c r="A42" s="6" t="s">
        <v>40</v>
      </c>
      <c r="B42" s="4" t="s">
        <v>38</v>
      </c>
      <c r="C42" s="5">
        <f>C39*1000000/C34</f>
        <v>9708.1613933224471</v>
      </c>
      <c r="D42" s="5">
        <f t="shared" ref="D42:L42" si="14">D39*1000000/D34</f>
        <v>10115.951216345449</v>
      </c>
      <c r="E42" s="5">
        <f t="shared" si="14"/>
        <v>10606.459684750311</v>
      </c>
      <c r="F42" s="5">
        <f t="shared" si="14"/>
        <v>11118.728940211991</v>
      </c>
      <c r="G42" s="5">
        <f t="shared" si="14"/>
        <v>11805.185217505834</v>
      </c>
      <c r="H42" s="5">
        <f t="shared" si="14"/>
        <v>12758.155707444457</v>
      </c>
      <c r="I42" s="5">
        <f t="shared" si="14"/>
        <v>9886.7635358518746</v>
      </c>
      <c r="J42" s="5">
        <f t="shared" si="14"/>
        <v>10844.75563342323</v>
      </c>
      <c r="K42" s="5">
        <f t="shared" si="14"/>
        <v>12178.005474867508</v>
      </c>
      <c r="L42" s="5">
        <f t="shared" si="14"/>
        <v>13167.829625326061</v>
      </c>
    </row>
    <row r="43" spans="1:12" x14ac:dyDescent="0.25">
      <c r="A43" s="4"/>
      <c r="B43" s="4" t="s">
        <v>46</v>
      </c>
      <c r="C43" s="5">
        <f>C42*1.055</f>
        <v>10242.110269955181</v>
      </c>
      <c r="D43" s="5">
        <f t="shared" ref="D43:L43" si="15">D42*1.055</f>
        <v>10672.328533244448</v>
      </c>
      <c r="E43" s="5">
        <f t="shared" si="15"/>
        <v>11189.814967411578</v>
      </c>
      <c r="F43" s="5">
        <f t="shared" si="15"/>
        <v>11730.25903192365</v>
      </c>
      <c r="G43" s="5">
        <f t="shared" si="15"/>
        <v>12454.470404468653</v>
      </c>
      <c r="H43" s="5">
        <f t="shared" si="15"/>
        <v>13459.854271353901</v>
      </c>
      <c r="I43" s="5">
        <f t="shared" si="15"/>
        <v>10430.535530323727</v>
      </c>
      <c r="J43" s="5">
        <f t="shared" si="15"/>
        <v>11441.217193261507</v>
      </c>
      <c r="K43" s="5">
        <f t="shared" si="15"/>
        <v>12847.79577598522</v>
      </c>
      <c r="L43" s="5">
        <f t="shared" si="15"/>
        <v>13892.060254718994</v>
      </c>
    </row>
    <row r="44" spans="1:12" x14ac:dyDescent="0.25">
      <c r="A44" s="6" t="s">
        <v>48</v>
      </c>
      <c r="B44" s="4" t="s">
        <v>39</v>
      </c>
      <c r="C44" s="8">
        <f>C34/(C39*1000000*0.0002931)</f>
        <v>0.35143676609142666</v>
      </c>
      <c r="D44" s="8">
        <f t="shared" ref="D44:L44" si="16">D34/(D39*1000000*0.0002931)</f>
        <v>0.33726980012023516</v>
      </c>
      <c r="E44" s="8">
        <f t="shared" si="16"/>
        <v>0.32167235309141679</v>
      </c>
      <c r="F44" s="8">
        <f t="shared" si="16"/>
        <v>0.30685205684111488</v>
      </c>
      <c r="G44" s="8">
        <f t="shared" si="16"/>
        <v>0.28900900594965129</v>
      </c>
      <c r="H44" s="8">
        <f t="shared" si="16"/>
        <v>0.26742147713184533</v>
      </c>
      <c r="I44" s="8">
        <f t="shared" si="16"/>
        <v>0.34508814056195669</v>
      </c>
      <c r="J44" s="8">
        <f t="shared" si="16"/>
        <v>0.31460412388157405</v>
      </c>
      <c r="K44" s="8">
        <f t="shared" si="16"/>
        <v>0.28016121784507558</v>
      </c>
      <c r="L44" s="8">
        <f t="shared" si="16"/>
        <v>0.25910153319426749</v>
      </c>
    </row>
    <row r="46" spans="1:12" x14ac:dyDescent="0.25">
      <c r="A46" s="12" t="s">
        <v>50</v>
      </c>
    </row>
    <row r="47" spans="1:12" x14ac:dyDescent="0.25">
      <c r="A47" t="s">
        <v>49</v>
      </c>
      <c r="B47" t="s">
        <v>37</v>
      </c>
      <c r="C47" s="2">
        <v>569349.04745815578</v>
      </c>
      <c r="D47" s="2">
        <v>530519.14421658695</v>
      </c>
      <c r="E47" s="2">
        <v>491604.88001654006</v>
      </c>
      <c r="F47" s="2">
        <v>447252.29101462732</v>
      </c>
      <c r="G47" s="2">
        <v>402167.46946777729</v>
      </c>
      <c r="H47" s="2">
        <f>'Max Power'!H47</f>
        <v>353169.18516813079</v>
      </c>
      <c r="I47" s="2">
        <v>284674.52372907789</v>
      </c>
      <c r="J47" s="2">
        <v>245802.44000827003</v>
      </c>
      <c r="K47" s="2">
        <v>201083.73473388865</v>
      </c>
      <c r="L47" s="2">
        <v>176584.59258406539</v>
      </c>
    </row>
    <row r="48" spans="1:12" x14ac:dyDescent="0.25">
      <c r="A48" t="s">
        <v>51</v>
      </c>
      <c r="B48" t="s">
        <v>39</v>
      </c>
      <c r="C48" s="13">
        <v>0.97</v>
      </c>
      <c r="D48" s="13">
        <v>0.97</v>
      </c>
      <c r="E48" s="13">
        <v>0.97</v>
      </c>
      <c r="F48" s="13">
        <v>0.97</v>
      </c>
      <c r="G48" s="13">
        <v>0.97</v>
      </c>
      <c r="H48" s="13">
        <v>0.97</v>
      </c>
      <c r="I48" s="13">
        <v>0.97</v>
      </c>
      <c r="J48" s="13">
        <v>0.97</v>
      </c>
      <c r="K48" s="13">
        <v>0.97</v>
      </c>
      <c r="L48" s="13">
        <v>0.97</v>
      </c>
    </row>
    <row r="49" spans="1:12" x14ac:dyDescent="0.25">
      <c r="A49" t="s">
        <v>52</v>
      </c>
      <c r="B49" t="s">
        <v>37</v>
      </c>
      <c r="C49" s="3">
        <f>C47*C48</f>
        <v>552268.57603441109</v>
      </c>
      <c r="D49" s="3">
        <f t="shared" ref="D49:L49" si="17">D47*D48</f>
        <v>514603.56989008933</v>
      </c>
      <c r="E49" s="3">
        <f t="shared" si="17"/>
        <v>476856.73361604387</v>
      </c>
      <c r="F49" s="3">
        <f t="shared" si="17"/>
        <v>433834.72228418849</v>
      </c>
      <c r="G49" s="3">
        <f t="shared" si="17"/>
        <v>390102.44538374397</v>
      </c>
      <c r="H49" s="3">
        <f t="shared" si="17"/>
        <v>342574.10961308685</v>
      </c>
      <c r="I49" s="3">
        <f t="shared" si="17"/>
        <v>276134.28801720554</v>
      </c>
      <c r="J49" s="3">
        <f t="shared" si="17"/>
        <v>238428.36680802194</v>
      </c>
      <c r="K49" s="3">
        <f t="shared" si="17"/>
        <v>195051.22269187198</v>
      </c>
      <c r="L49" s="3">
        <f t="shared" si="17"/>
        <v>171287.05480654343</v>
      </c>
    </row>
    <row r="50" spans="1:12" x14ac:dyDescent="0.25">
      <c r="B50" t="s">
        <v>53</v>
      </c>
      <c r="C50" s="14">
        <f>C49*0.0004536</f>
        <v>250.50902608920887</v>
      </c>
      <c r="D50" s="14">
        <f t="shared" ref="D50:L50" si="18">D49*0.0004536</f>
        <v>233.42417930214452</v>
      </c>
      <c r="E50" s="14">
        <f t="shared" si="18"/>
        <v>216.30221436823751</v>
      </c>
      <c r="F50" s="14">
        <f t="shared" si="18"/>
        <v>196.78743002810791</v>
      </c>
      <c r="G50" s="14">
        <f t="shared" si="18"/>
        <v>176.95046922606628</v>
      </c>
      <c r="H50" s="14">
        <f t="shared" si="18"/>
        <v>155.3916161204962</v>
      </c>
      <c r="I50" s="14">
        <f t="shared" si="18"/>
        <v>125.25451304460444</v>
      </c>
      <c r="J50" s="14">
        <f t="shared" si="18"/>
        <v>108.15110718411876</v>
      </c>
      <c r="K50" s="14">
        <f t="shared" si="18"/>
        <v>88.475234613033138</v>
      </c>
      <c r="L50" s="14">
        <f t="shared" si="18"/>
        <v>77.695808060248098</v>
      </c>
    </row>
    <row r="52" spans="1:12" x14ac:dyDescent="0.25">
      <c r="A52" s="20" t="s">
        <v>55</v>
      </c>
      <c r="B52" s="20" t="s">
        <v>15</v>
      </c>
      <c r="C52" s="24">
        <f>C50*0.047*1000</f>
        <v>11773.924226192816</v>
      </c>
      <c r="D52" s="24">
        <f t="shared" ref="D52:L52" si="19">D50*0.047*1000</f>
        <v>10970.936427200792</v>
      </c>
      <c r="E52" s="24">
        <f t="shared" si="19"/>
        <v>10166.204075307163</v>
      </c>
      <c r="F52" s="24">
        <f t="shared" si="19"/>
        <v>9249.0092113210721</v>
      </c>
      <c r="G52" s="24">
        <f t="shared" si="19"/>
        <v>8316.672053625116</v>
      </c>
      <c r="H52" s="24">
        <f t="shared" si="19"/>
        <v>7303.4059576633208</v>
      </c>
      <c r="I52" s="24">
        <f t="shared" si="19"/>
        <v>5886.9621130964078</v>
      </c>
      <c r="J52" s="24">
        <f t="shared" si="19"/>
        <v>5083.1020376535816</v>
      </c>
      <c r="K52" s="24">
        <f t="shared" si="19"/>
        <v>4158.336026812558</v>
      </c>
      <c r="L52" s="24">
        <f t="shared" si="19"/>
        <v>3651.7029788316604</v>
      </c>
    </row>
    <row r="53" spans="1:12" ht="45" x14ac:dyDescent="0.25">
      <c r="A53" s="27" t="s">
        <v>122</v>
      </c>
      <c r="B53" s="20" t="s">
        <v>15</v>
      </c>
      <c r="C53" s="24">
        <f>0.076*C50*1000</f>
        <v>19038.685982779876</v>
      </c>
      <c r="D53" s="24">
        <f t="shared" ref="D53:J53" si="20">0.076*D50*1000</f>
        <v>17740.237626962982</v>
      </c>
      <c r="E53" s="24">
        <f t="shared" si="20"/>
        <v>16438.96829198605</v>
      </c>
      <c r="F53" s="24">
        <f t="shared" si="20"/>
        <v>14955.844682136201</v>
      </c>
      <c r="G53" s="24">
        <f t="shared" si="20"/>
        <v>13448.235661181037</v>
      </c>
      <c r="H53" s="24">
        <f t="shared" si="20"/>
        <v>11809.76282515771</v>
      </c>
      <c r="I53" s="24">
        <f t="shared" si="20"/>
        <v>9519.3429913899381</v>
      </c>
      <c r="J53" s="24">
        <f t="shared" si="20"/>
        <v>8219.4841459930249</v>
      </c>
      <c r="K53" s="24">
        <v>7140</v>
      </c>
      <c r="L53" s="24">
        <v>7140</v>
      </c>
    </row>
    <row r="55" spans="1:12" x14ac:dyDescent="0.25">
      <c r="A55" s="12" t="s">
        <v>57</v>
      </c>
    </row>
    <row r="56" spans="1:12" x14ac:dyDescent="0.25">
      <c r="A56" t="s">
        <v>124</v>
      </c>
    </row>
    <row r="57" spans="1:12" x14ac:dyDescent="0.25">
      <c r="A57" t="s">
        <v>123</v>
      </c>
    </row>
    <row r="59" spans="1:12" x14ac:dyDescent="0.25">
      <c r="A59" t="s">
        <v>58</v>
      </c>
      <c r="B59" t="s">
        <v>37</v>
      </c>
      <c r="C59" s="16">
        <v>970609</v>
      </c>
      <c r="D59" s="16">
        <v>947023</v>
      </c>
      <c r="E59" s="16">
        <v>898719</v>
      </c>
      <c r="F59" s="16">
        <v>850217</v>
      </c>
      <c r="G59" s="16">
        <v>805775</v>
      </c>
      <c r="H59" s="16">
        <v>737661</v>
      </c>
      <c r="I59" s="16">
        <v>484745</v>
      </c>
      <c r="J59" s="16">
        <v>450890</v>
      </c>
      <c r="K59" s="16">
        <v>403204</v>
      </c>
      <c r="L59" s="16">
        <v>360132</v>
      </c>
    </row>
    <row r="60" spans="1:12" x14ac:dyDescent="0.25">
      <c r="A60" t="s">
        <v>59</v>
      </c>
      <c r="B60" t="s">
        <v>53</v>
      </c>
      <c r="C60" s="3">
        <f>C59*0.0001446</f>
        <v>140.35006139999999</v>
      </c>
      <c r="D60" s="3">
        <f t="shared" ref="D60:L60" si="21">D59*0.0001446</f>
        <v>136.93952579999998</v>
      </c>
      <c r="E60" s="3">
        <f t="shared" si="21"/>
        <v>129.95476739999998</v>
      </c>
      <c r="F60" s="3">
        <f t="shared" si="21"/>
        <v>122.94137819999999</v>
      </c>
      <c r="G60" s="3">
        <f t="shared" si="21"/>
        <v>116.51506499999999</v>
      </c>
      <c r="H60" s="3">
        <f t="shared" si="21"/>
        <v>106.66578059999999</v>
      </c>
      <c r="I60" s="3">
        <f t="shared" si="21"/>
        <v>70.094127</v>
      </c>
      <c r="J60" s="3">
        <f t="shared" si="21"/>
        <v>65.198693999999989</v>
      </c>
      <c r="K60" s="3">
        <f t="shared" si="21"/>
        <v>58.303298399999996</v>
      </c>
      <c r="L60" s="3">
        <f t="shared" si="21"/>
        <v>52.075087199999999</v>
      </c>
    </row>
    <row r="62" spans="1:12" x14ac:dyDescent="0.25">
      <c r="A62" s="20" t="s">
        <v>60</v>
      </c>
      <c r="B62" s="20" t="s">
        <v>15</v>
      </c>
      <c r="C62" s="24">
        <f>C60*0.25*1000</f>
        <v>35087.515349999994</v>
      </c>
      <c r="D62" s="24">
        <f t="shared" ref="D62:L62" si="22">D60*0.25*1000</f>
        <v>34234.881449999993</v>
      </c>
      <c r="E62" s="24">
        <f t="shared" si="22"/>
        <v>32488.691849999996</v>
      </c>
      <c r="F62" s="24">
        <f t="shared" si="22"/>
        <v>30735.344549999998</v>
      </c>
      <c r="G62" s="24">
        <f t="shared" si="22"/>
        <v>29128.766249999997</v>
      </c>
      <c r="H62" s="24">
        <f t="shared" si="22"/>
        <v>26666.445149999996</v>
      </c>
      <c r="I62" s="24">
        <f t="shared" si="22"/>
        <v>17523.531749999998</v>
      </c>
      <c r="J62" s="24">
        <f t="shared" si="22"/>
        <v>16299.673499999997</v>
      </c>
      <c r="K62" s="24">
        <f t="shared" si="22"/>
        <v>14575.824599999998</v>
      </c>
      <c r="L62" s="24">
        <f t="shared" si="22"/>
        <v>13018.7718</v>
      </c>
    </row>
    <row r="63" spans="1:12" x14ac:dyDescent="0.25">
      <c r="A63" s="20" t="s">
        <v>61</v>
      </c>
      <c r="B63" s="20" t="s">
        <v>15</v>
      </c>
      <c r="C63" s="24">
        <f>C60*0.138*1000</f>
        <v>19368.308473199999</v>
      </c>
      <c r="D63" s="24">
        <f t="shared" ref="D63:L63" si="23">D60*0.138*1000</f>
        <v>18897.654560399998</v>
      </c>
      <c r="E63" s="24">
        <f t="shared" si="23"/>
        <v>17933.757901199999</v>
      </c>
      <c r="F63" s="24">
        <f t="shared" si="23"/>
        <v>16965.9101916</v>
      </c>
      <c r="G63" s="24">
        <f t="shared" si="23"/>
        <v>16079.07897</v>
      </c>
      <c r="H63" s="24">
        <f t="shared" si="23"/>
        <v>14719.8777228</v>
      </c>
      <c r="I63" s="24">
        <f t="shared" si="23"/>
        <v>9672.9895259999994</v>
      </c>
      <c r="J63" s="24">
        <f t="shared" si="23"/>
        <v>8997.4197719999993</v>
      </c>
      <c r="K63" s="24">
        <f t="shared" si="23"/>
        <v>8045.8551791999998</v>
      </c>
      <c r="L63" s="24">
        <f t="shared" si="23"/>
        <v>7186.3620336000004</v>
      </c>
    </row>
    <row r="64" spans="1:12" x14ac:dyDescent="0.25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</row>
    <row r="65" spans="1:16" x14ac:dyDescent="0.25">
      <c r="A65" s="12" t="s">
        <v>64</v>
      </c>
    </row>
    <row r="66" spans="1:16" x14ac:dyDescent="0.25">
      <c r="A66" t="s">
        <v>65</v>
      </c>
      <c r="B66" t="s">
        <v>28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</row>
    <row r="67" spans="1:16" x14ac:dyDescent="0.25">
      <c r="A67" t="s">
        <v>121</v>
      </c>
      <c r="B67" t="s">
        <v>28</v>
      </c>
      <c r="C67">
        <v>54</v>
      </c>
      <c r="D67">
        <v>49</v>
      </c>
      <c r="E67">
        <v>44</v>
      </c>
      <c r="F67">
        <v>38</v>
      </c>
      <c r="G67">
        <v>32</v>
      </c>
      <c r="H67">
        <v>27.2</v>
      </c>
      <c r="I67">
        <v>26</v>
      </c>
      <c r="J67">
        <v>20</v>
      </c>
      <c r="K67">
        <v>15</v>
      </c>
      <c r="L67">
        <v>13</v>
      </c>
    </row>
    <row r="69" spans="1:16" x14ac:dyDescent="0.25">
      <c r="A69" s="20" t="s">
        <v>127</v>
      </c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</row>
    <row r="70" spans="1:16" x14ac:dyDescent="0.25">
      <c r="A70" s="20"/>
      <c r="B70" s="20" t="s">
        <v>28</v>
      </c>
      <c r="C70" s="24">
        <f>5.864*C50</f>
        <v>1468.9849289871208</v>
      </c>
      <c r="D70" s="24">
        <f t="shared" ref="D70:L70" si="24">5.864*D50</f>
        <v>1368.7993874277754</v>
      </c>
      <c r="E70" s="24">
        <f t="shared" si="24"/>
        <v>1268.3961850553449</v>
      </c>
      <c r="F70" s="24">
        <f t="shared" si="24"/>
        <v>1153.9614896848248</v>
      </c>
      <c r="G70" s="24">
        <f t="shared" si="24"/>
        <v>1037.6375515416526</v>
      </c>
      <c r="H70" s="24">
        <f t="shared" si="24"/>
        <v>911.21643693058968</v>
      </c>
      <c r="I70" s="24">
        <f t="shared" si="24"/>
        <v>734.49246449356042</v>
      </c>
      <c r="J70" s="24">
        <f t="shared" si="24"/>
        <v>634.19809252767243</v>
      </c>
      <c r="K70" s="24">
        <f t="shared" si="24"/>
        <v>518.81877577082628</v>
      </c>
      <c r="L70" s="24">
        <f t="shared" si="24"/>
        <v>455.60821846529484</v>
      </c>
    </row>
    <row r="71" spans="1:16" x14ac:dyDescent="0.25">
      <c r="A71" s="20" t="s">
        <v>67</v>
      </c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O71" s="20"/>
      <c r="P71" s="20"/>
    </row>
    <row r="72" spans="1:16" x14ac:dyDescent="0.25">
      <c r="A72" s="20"/>
      <c r="B72" s="20" t="s">
        <v>28</v>
      </c>
      <c r="C72" s="24">
        <f>533/138*C60</f>
        <v>542.07668642173905</v>
      </c>
      <c r="D72" s="24">
        <f t="shared" ref="D72:L72" si="25">533/138*D60</f>
        <v>528.90411051739125</v>
      </c>
      <c r="E72" s="24">
        <f t="shared" si="25"/>
        <v>501.92674655217382</v>
      </c>
      <c r="F72" s="24">
        <f t="shared" si="25"/>
        <v>474.83880130869557</v>
      </c>
      <c r="G72" s="24">
        <f t="shared" si="25"/>
        <v>450.0183307608695</v>
      </c>
      <c r="H72" s="24">
        <f t="shared" si="25"/>
        <v>411.9772540565217</v>
      </c>
      <c r="I72" s="24">
        <f t="shared" si="25"/>
        <v>270.72586732608693</v>
      </c>
      <c r="J72" s="24">
        <f t="shared" si="25"/>
        <v>251.81814421739125</v>
      </c>
      <c r="K72" s="24">
        <f t="shared" si="25"/>
        <v>225.18592787826086</v>
      </c>
      <c r="L72" s="24">
        <f t="shared" si="25"/>
        <v>201.13059041739129</v>
      </c>
    </row>
    <row r="73" spans="1:16" x14ac:dyDescent="0.25">
      <c r="A73" s="20" t="s">
        <v>66</v>
      </c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</row>
    <row r="74" spans="1:16" x14ac:dyDescent="0.25">
      <c r="A74" s="20"/>
      <c r="B74" s="20" t="s">
        <v>28</v>
      </c>
      <c r="C74" s="24">
        <f>99/138*C60</f>
        <v>100.68591361304347</v>
      </c>
      <c r="D74" s="24">
        <f t="shared" ref="D74:L74" si="26">99/138*D60</f>
        <v>98.239225030434767</v>
      </c>
      <c r="E74" s="24">
        <f t="shared" si="26"/>
        <v>93.228420091304329</v>
      </c>
      <c r="F74" s="24">
        <f t="shared" si="26"/>
        <v>88.197075665217383</v>
      </c>
      <c r="G74" s="24">
        <f t="shared" si="26"/>
        <v>83.586894456521733</v>
      </c>
      <c r="H74" s="24">
        <f t="shared" si="26"/>
        <v>76.52110347391303</v>
      </c>
      <c r="I74" s="24">
        <f t="shared" si="26"/>
        <v>50.28491719565217</v>
      </c>
      <c r="J74" s="24">
        <f t="shared" si="26"/>
        <v>46.77297613043477</v>
      </c>
      <c r="K74" s="24">
        <f t="shared" si="26"/>
        <v>41.826279286956513</v>
      </c>
      <c r="L74" s="24">
        <f t="shared" si="26"/>
        <v>37.358214730434781</v>
      </c>
    </row>
    <row r="75" spans="1:16" x14ac:dyDescent="0.25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</row>
    <row r="76" spans="1:16" x14ac:dyDescent="0.25">
      <c r="A76" t="s">
        <v>126</v>
      </c>
      <c r="B76" t="s">
        <v>28</v>
      </c>
      <c r="C76">
        <v>25</v>
      </c>
      <c r="D76">
        <v>25</v>
      </c>
      <c r="E76">
        <v>25</v>
      </c>
      <c r="F76">
        <v>25</v>
      </c>
      <c r="G76">
        <v>25</v>
      </c>
      <c r="H76">
        <v>25</v>
      </c>
      <c r="I76">
        <v>25</v>
      </c>
      <c r="J76">
        <v>25</v>
      </c>
      <c r="K76">
        <v>25</v>
      </c>
      <c r="L76">
        <v>25</v>
      </c>
    </row>
    <row r="78" spans="1:16" x14ac:dyDescent="0.25">
      <c r="A78" t="s">
        <v>68</v>
      </c>
      <c r="C78" s="19">
        <f>SUM(C66:C76)</f>
        <v>2190.7475290219031</v>
      </c>
      <c r="D78" s="19">
        <f t="shared" ref="D78:L78" si="27">SUM(D66:D76)</f>
        <v>2069.9427229756011</v>
      </c>
      <c r="E78" s="19">
        <f t="shared" si="27"/>
        <v>1932.5513516988231</v>
      </c>
      <c r="F78" s="19">
        <f t="shared" si="27"/>
        <v>1779.9973666587377</v>
      </c>
      <c r="G78" s="19">
        <f t="shared" si="27"/>
        <v>1628.2427767590439</v>
      </c>
      <c r="H78" s="19">
        <f t="shared" si="27"/>
        <v>1451.9147944610243</v>
      </c>
      <c r="I78" s="19">
        <f t="shared" si="27"/>
        <v>1106.5032490152996</v>
      </c>
      <c r="J78" s="19">
        <f t="shared" si="27"/>
        <v>977.78921287549849</v>
      </c>
      <c r="K78" s="19">
        <f t="shared" si="27"/>
        <v>825.8309829360436</v>
      </c>
      <c r="L78" s="19">
        <f t="shared" si="27"/>
        <v>732.09702361312088</v>
      </c>
    </row>
    <row r="79" spans="1:16" x14ac:dyDescent="0.25">
      <c r="A79" t="s">
        <v>125</v>
      </c>
      <c r="C79">
        <v>1357</v>
      </c>
      <c r="D79">
        <f>C79</f>
        <v>1357</v>
      </c>
      <c r="E79">
        <f t="shared" ref="E79:L79" si="28">D79</f>
        <v>1357</v>
      </c>
      <c r="F79">
        <f t="shared" si="28"/>
        <v>1357</v>
      </c>
      <c r="G79">
        <f t="shared" si="28"/>
        <v>1357</v>
      </c>
      <c r="H79">
        <f t="shared" si="28"/>
        <v>1357</v>
      </c>
      <c r="I79">
        <f>G79</f>
        <v>1357</v>
      </c>
      <c r="J79">
        <f t="shared" si="28"/>
        <v>1357</v>
      </c>
      <c r="K79">
        <f t="shared" si="28"/>
        <v>1357</v>
      </c>
      <c r="L79">
        <f t="shared" si="28"/>
        <v>1357</v>
      </c>
    </row>
    <row r="80" spans="1:16" x14ac:dyDescent="0.25">
      <c r="A80" t="s">
        <v>69</v>
      </c>
      <c r="C80" s="18">
        <f>C78/C79</f>
        <v>1.6144049587486391</v>
      </c>
      <c r="D80" s="18">
        <f t="shared" ref="D80:L80" si="29">D78/D79</f>
        <v>1.5253815202473111</v>
      </c>
      <c r="E80" s="18">
        <f t="shared" si="29"/>
        <v>1.4241351154744459</v>
      </c>
      <c r="F80" s="18">
        <f t="shared" si="29"/>
        <v>1.3117150822835209</v>
      </c>
      <c r="G80" s="18">
        <f t="shared" si="29"/>
        <v>1.1998841391002535</v>
      </c>
      <c r="H80" s="18">
        <f t="shared" si="29"/>
        <v>1.0699445795586029</v>
      </c>
      <c r="I80" s="18">
        <f t="shared" si="29"/>
        <v>0.81540401548658781</v>
      </c>
      <c r="J80" s="18">
        <f t="shared" si="29"/>
        <v>0.72055210970928407</v>
      </c>
      <c r="K80" s="18">
        <f t="shared" si="29"/>
        <v>0.60857110017394522</v>
      </c>
      <c r="L80" s="18">
        <f t="shared" si="29"/>
        <v>0.53949670126243243</v>
      </c>
    </row>
    <row r="82" spans="1:12" x14ac:dyDescent="0.25">
      <c r="A82" t="s">
        <v>70</v>
      </c>
      <c r="B82" t="s">
        <v>15</v>
      </c>
      <c r="C82" s="2">
        <f>1460/C79*C78</f>
        <v>2357.0312397730131</v>
      </c>
      <c r="D82" s="2">
        <f t="shared" ref="D82:L82" si="30">1460/D79*D78</f>
        <v>2227.057019561074</v>
      </c>
      <c r="E82" s="2">
        <f t="shared" si="30"/>
        <v>2079.2372685926912</v>
      </c>
      <c r="F82" s="2">
        <f t="shared" si="30"/>
        <v>1915.1040201339404</v>
      </c>
      <c r="G82" s="2">
        <f t="shared" si="30"/>
        <v>1751.8308430863699</v>
      </c>
      <c r="H82" s="2">
        <f t="shared" si="30"/>
        <v>1562.1190861555604</v>
      </c>
      <c r="I82" s="2">
        <f t="shared" si="30"/>
        <v>1190.4898626104182</v>
      </c>
      <c r="J82" s="2">
        <f t="shared" si="30"/>
        <v>1052.0060801755546</v>
      </c>
      <c r="K82" s="2">
        <f t="shared" si="30"/>
        <v>888.51380625395996</v>
      </c>
      <c r="L82" s="2">
        <f t="shared" si="30"/>
        <v>787.66518384315145</v>
      </c>
    </row>
    <row r="83" spans="1:12" x14ac:dyDescent="0.25">
      <c r="A83" t="s">
        <v>71</v>
      </c>
      <c r="B83" t="s">
        <v>15</v>
      </c>
      <c r="C83" s="2">
        <f>2810/C79*C78</f>
        <v>4536.4779340836758</v>
      </c>
      <c r="D83" s="2">
        <f t="shared" ref="D83:L83" si="31">2810/D79*D78</f>
        <v>4286.3220718949442</v>
      </c>
      <c r="E83" s="2">
        <f t="shared" si="31"/>
        <v>4001.819674483193</v>
      </c>
      <c r="F83" s="2">
        <f t="shared" si="31"/>
        <v>3685.9193812166936</v>
      </c>
      <c r="G83" s="2">
        <f t="shared" si="31"/>
        <v>3371.674430871712</v>
      </c>
      <c r="H83" s="2">
        <f t="shared" si="31"/>
        <v>3006.5442685596745</v>
      </c>
      <c r="I83" s="2">
        <f t="shared" si="31"/>
        <v>2291.2852835173117</v>
      </c>
      <c r="J83" s="2">
        <f t="shared" si="31"/>
        <v>2024.7514282830882</v>
      </c>
      <c r="K83" s="2">
        <f t="shared" si="31"/>
        <v>1710.0847914887859</v>
      </c>
      <c r="L83" s="2">
        <f t="shared" si="31"/>
        <v>1515.9857305474354</v>
      </c>
    </row>
    <row r="85" spans="1:12" x14ac:dyDescent="0.25">
      <c r="A85" s="12" t="s">
        <v>72</v>
      </c>
    </row>
    <row r="86" spans="1:12" x14ac:dyDescent="0.25">
      <c r="A86" t="s">
        <v>73</v>
      </c>
      <c r="B86" t="s">
        <v>31</v>
      </c>
      <c r="C86" s="2">
        <f>2897/C79*C78</f>
        <v>4676.9311654948069</v>
      </c>
      <c r="D86" s="2">
        <f t="shared" ref="D86:L86" si="32">2897/D79*D78</f>
        <v>4419.0302641564604</v>
      </c>
      <c r="E86" s="2">
        <f t="shared" si="32"/>
        <v>4125.7194295294694</v>
      </c>
      <c r="F86" s="2">
        <f t="shared" si="32"/>
        <v>3800.0385933753601</v>
      </c>
      <c r="G86" s="2">
        <f t="shared" si="32"/>
        <v>3476.0643509734341</v>
      </c>
      <c r="H86" s="2">
        <f t="shared" si="32"/>
        <v>3099.6294469812728</v>
      </c>
      <c r="I86" s="2">
        <f t="shared" si="32"/>
        <v>2362.225432864645</v>
      </c>
      <c r="J86" s="2">
        <f t="shared" si="32"/>
        <v>2087.4394618277961</v>
      </c>
      <c r="K86" s="2">
        <f t="shared" si="32"/>
        <v>1763.0304772039192</v>
      </c>
      <c r="L86" s="2">
        <f t="shared" si="32"/>
        <v>1562.921943557267</v>
      </c>
    </row>
    <row r="87" spans="1:12" x14ac:dyDescent="0.25">
      <c r="A87" t="s">
        <v>74</v>
      </c>
      <c r="B87" t="s">
        <v>31</v>
      </c>
      <c r="C87" s="2">
        <f>32268/500</f>
        <v>64.536000000000001</v>
      </c>
      <c r="D87" s="2">
        <f>31210/500</f>
        <v>62.42</v>
      </c>
      <c r="E87" s="2">
        <f>29235/500</f>
        <v>58.47</v>
      </c>
      <c r="F87" s="2">
        <f>27426/500</f>
        <v>54.851999999999997</v>
      </c>
      <c r="G87" s="2">
        <f>25751/500</f>
        <v>51.502000000000002</v>
      </c>
      <c r="H87" s="2">
        <f>23982/500</f>
        <v>47.963999999999999</v>
      </c>
      <c r="I87" s="2">
        <f>16442/500</f>
        <v>32.884</v>
      </c>
      <c r="J87" s="2">
        <f>15029/500</f>
        <v>30.058</v>
      </c>
      <c r="K87" s="2">
        <f>13312/500</f>
        <v>26.623999999999999</v>
      </c>
      <c r="L87" s="2">
        <f>12316/500</f>
        <v>24.632000000000001</v>
      </c>
    </row>
    <row r="89" spans="1:12" x14ac:dyDescent="0.25">
      <c r="A89" t="s">
        <v>75</v>
      </c>
    </row>
    <row r="90" spans="1:12" x14ac:dyDescent="0.25">
      <c r="B90" t="s">
        <v>31</v>
      </c>
      <c r="C90" s="3">
        <f>59*C50/250</f>
        <v>59.120130157053296</v>
      </c>
      <c r="D90" s="3">
        <f t="shared" ref="D90:L90" si="33">59*D50/250</f>
        <v>55.088106315306106</v>
      </c>
      <c r="E90" s="3">
        <f t="shared" si="33"/>
        <v>51.047322590904052</v>
      </c>
      <c r="F90" s="3">
        <f t="shared" si="33"/>
        <v>46.441833486633463</v>
      </c>
      <c r="G90" s="3">
        <f t="shared" si="33"/>
        <v>41.760310737351638</v>
      </c>
      <c r="H90" s="3">
        <f t="shared" si="33"/>
        <v>36.672421404437102</v>
      </c>
      <c r="I90" s="3">
        <f t="shared" si="33"/>
        <v>29.560065078526648</v>
      </c>
      <c r="J90" s="3">
        <f t="shared" si="33"/>
        <v>25.523661295452026</v>
      </c>
      <c r="K90" s="3">
        <f t="shared" si="33"/>
        <v>20.880155368675819</v>
      </c>
      <c r="L90" s="3">
        <f t="shared" si="33"/>
        <v>18.336210702218551</v>
      </c>
    </row>
    <row r="91" spans="1:12" x14ac:dyDescent="0.25">
      <c r="A91" t="s">
        <v>76</v>
      </c>
    </row>
    <row r="92" spans="1:12" x14ac:dyDescent="0.25">
      <c r="B92" t="s">
        <v>31</v>
      </c>
      <c r="C92" s="3">
        <f>C59/2/500</f>
        <v>970.60900000000004</v>
      </c>
      <c r="D92" s="3">
        <f t="shared" ref="D92:L92" si="34">D59/2/500</f>
        <v>947.02300000000002</v>
      </c>
      <c r="E92" s="3">
        <f t="shared" si="34"/>
        <v>898.71900000000005</v>
      </c>
      <c r="F92" s="3">
        <f t="shared" si="34"/>
        <v>850.21699999999998</v>
      </c>
      <c r="G92" s="3">
        <f t="shared" si="34"/>
        <v>805.77499999999998</v>
      </c>
      <c r="H92" s="3">
        <f t="shared" si="34"/>
        <v>737.66099999999994</v>
      </c>
      <c r="I92" s="3">
        <f t="shared" si="34"/>
        <v>484.745</v>
      </c>
      <c r="J92" s="3">
        <f t="shared" si="34"/>
        <v>450.89</v>
      </c>
      <c r="K92" s="3">
        <f t="shared" si="34"/>
        <v>403.20400000000001</v>
      </c>
      <c r="L92" s="3">
        <f t="shared" si="34"/>
        <v>360.13200000000001</v>
      </c>
    </row>
    <row r="93" spans="1:12" x14ac:dyDescent="0.25">
      <c r="C93" s="15"/>
      <c r="D93" s="15"/>
      <c r="E93" s="15"/>
      <c r="F93" s="15"/>
      <c r="G93" s="15"/>
      <c r="H93" s="15"/>
      <c r="I93" s="15"/>
      <c r="J93" s="15"/>
      <c r="K93" s="15"/>
      <c r="L93" s="15"/>
    </row>
    <row r="94" spans="1:12" x14ac:dyDescent="0.25">
      <c r="A94" s="21" t="s">
        <v>79</v>
      </c>
    </row>
    <row r="95" spans="1:12" x14ac:dyDescent="0.25">
      <c r="A95" s="20" t="s">
        <v>80</v>
      </c>
      <c r="B95" s="20" t="s">
        <v>53</v>
      </c>
      <c r="C95" s="23">
        <f t="shared" ref="C95:L95" si="35">C50</f>
        <v>250.50902608920887</v>
      </c>
      <c r="D95" s="23">
        <f t="shared" si="35"/>
        <v>233.42417930214452</v>
      </c>
      <c r="E95" s="23">
        <f t="shared" si="35"/>
        <v>216.30221436823751</v>
      </c>
      <c r="F95" s="23">
        <f t="shared" si="35"/>
        <v>196.78743002810791</v>
      </c>
      <c r="G95" s="23">
        <f t="shared" si="35"/>
        <v>176.95046922606628</v>
      </c>
      <c r="H95" s="23">
        <f t="shared" si="35"/>
        <v>155.3916161204962</v>
      </c>
      <c r="I95" s="23">
        <f t="shared" si="35"/>
        <v>125.25451304460444</v>
      </c>
      <c r="J95" s="23">
        <f t="shared" si="35"/>
        <v>108.15110718411876</v>
      </c>
      <c r="K95" s="23">
        <f t="shared" si="35"/>
        <v>88.475234613033138</v>
      </c>
      <c r="L95" s="23">
        <f t="shared" si="35"/>
        <v>77.695808060248098</v>
      </c>
    </row>
    <row r="96" spans="1:12" x14ac:dyDescent="0.25">
      <c r="A96" s="20" t="s">
        <v>81</v>
      </c>
      <c r="B96" s="20" t="s">
        <v>53</v>
      </c>
      <c r="C96" s="23">
        <f t="shared" ref="C96:L96" si="36">C60</f>
        <v>140.35006139999999</v>
      </c>
      <c r="D96" s="23">
        <f t="shared" si="36"/>
        <v>136.93952579999998</v>
      </c>
      <c r="E96" s="23">
        <f t="shared" si="36"/>
        <v>129.95476739999998</v>
      </c>
      <c r="F96" s="23">
        <f t="shared" si="36"/>
        <v>122.94137819999999</v>
      </c>
      <c r="G96" s="23">
        <f t="shared" si="36"/>
        <v>116.51506499999999</v>
      </c>
      <c r="H96" s="23">
        <f t="shared" si="36"/>
        <v>106.66578059999999</v>
      </c>
      <c r="I96" s="23">
        <f t="shared" si="36"/>
        <v>70.094127</v>
      </c>
      <c r="J96" s="23">
        <f t="shared" si="36"/>
        <v>65.198693999999989</v>
      </c>
      <c r="K96" s="23">
        <f t="shared" si="36"/>
        <v>58.303298399999996</v>
      </c>
      <c r="L96" s="23">
        <f t="shared" si="36"/>
        <v>52.075087199999999</v>
      </c>
    </row>
    <row r="97" spans="1:12" x14ac:dyDescent="0.25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</row>
    <row r="98" spans="1:12" x14ac:dyDescent="0.25">
      <c r="A98" s="20" t="s">
        <v>82</v>
      </c>
      <c r="B98" s="20" t="s">
        <v>53</v>
      </c>
      <c r="C98" s="22">
        <f>C95+C96</f>
        <v>390.85908748920883</v>
      </c>
      <c r="D98" s="22">
        <f t="shared" ref="D98:L98" si="37">D95+D96</f>
        <v>370.36370510214454</v>
      </c>
      <c r="E98" s="22">
        <f t="shared" si="37"/>
        <v>346.25698176823749</v>
      </c>
      <c r="F98" s="22">
        <f t="shared" si="37"/>
        <v>319.72880822810788</v>
      </c>
      <c r="G98" s="22">
        <f t="shared" si="37"/>
        <v>293.46553422606627</v>
      </c>
      <c r="H98" s="22">
        <f t="shared" si="37"/>
        <v>262.05739672049617</v>
      </c>
      <c r="I98" s="22">
        <f t="shared" si="37"/>
        <v>195.34864004460445</v>
      </c>
      <c r="J98" s="22">
        <f t="shared" si="37"/>
        <v>173.34980118411875</v>
      </c>
      <c r="K98" s="22">
        <f t="shared" si="37"/>
        <v>146.77853301303313</v>
      </c>
      <c r="L98" s="22">
        <f t="shared" si="37"/>
        <v>129.7708952602481</v>
      </c>
    </row>
    <row r="99" spans="1:12" x14ac:dyDescent="0.25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</row>
    <row r="100" spans="1:12" x14ac:dyDescent="0.25">
      <c r="A100" s="20" t="s">
        <v>90</v>
      </c>
      <c r="B100" s="20" t="s">
        <v>15</v>
      </c>
      <c r="C100" s="2">
        <f>'No Carbon Capture'!C12</f>
        <v>730213</v>
      </c>
      <c r="D100" s="2">
        <f>'No Carbon Capture'!D12</f>
        <v>669550</v>
      </c>
      <c r="E100" s="2">
        <f>'No Carbon Capture'!E12</f>
        <v>605506.38727577706</v>
      </c>
      <c r="F100" s="2">
        <f>'No Carbon Capture'!F12</f>
        <v>540201.76020466222</v>
      </c>
      <c r="G100" s="2">
        <f>'No Carbon Capture'!G12</f>
        <v>475332.74288488424</v>
      </c>
      <c r="H100" s="2">
        <f>'No Carbon Capture'!H12</f>
        <v>412428.5</v>
      </c>
      <c r="I100" s="2">
        <f>'No Carbon Capture'!I12</f>
        <v>357782.17322596518</v>
      </c>
      <c r="J100" s="2">
        <f>'No Carbon Capture'!J12</f>
        <v>296690.95557237137</v>
      </c>
      <c r="K100" s="2">
        <f>'No Carbon Capture'!K12</f>
        <v>232581.5509153255</v>
      </c>
      <c r="L100" s="2">
        <f>'No Carbon Capture'!L12</f>
        <v>196539.38786160643</v>
      </c>
    </row>
    <row r="101" spans="1:12" x14ac:dyDescent="0.25">
      <c r="A101" s="20" t="s">
        <v>91</v>
      </c>
      <c r="B101" s="20" t="s">
        <v>15</v>
      </c>
      <c r="C101" s="3">
        <f t="shared" ref="C101:L101" si="38">C12</f>
        <v>577765.04463589552</v>
      </c>
      <c r="D101" s="3">
        <f t="shared" si="38"/>
        <v>523208</v>
      </c>
      <c r="E101" s="3">
        <f t="shared" si="38"/>
        <v>468032</v>
      </c>
      <c r="F101" s="3">
        <f t="shared" si="38"/>
        <v>412181.56018116197</v>
      </c>
      <c r="G101" s="3">
        <f t="shared" si="38"/>
        <v>356291</v>
      </c>
      <c r="H101" s="3">
        <f t="shared" si="38"/>
        <v>296612</v>
      </c>
      <c r="I101" s="3">
        <f t="shared" si="38"/>
        <v>285796</v>
      </c>
      <c r="J101" s="3">
        <f t="shared" si="38"/>
        <v>231397.06525123611</v>
      </c>
      <c r="K101" s="3">
        <f t="shared" si="38"/>
        <v>175955</v>
      </c>
      <c r="L101" s="3">
        <f t="shared" si="38"/>
        <v>147260.9916463602</v>
      </c>
    </row>
    <row r="102" spans="1:12" x14ac:dyDescent="0.25">
      <c r="A102" s="20" t="s">
        <v>92</v>
      </c>
      <c r="B102" s="20" t="s">
        <v>15</v>
      </c>
      <c r="C102" s="3">
        <f>C100-C101</f>
        <v>152447.95536410448</v>
      </c>
      <c r="D102" s="3">
        <f t="shared" ref="D102:L102" si="39">D100-D101</f>
        <v>146342</v>
      </c>
      <c r="E102" s="3">
        <f t="shared" si="39"/>
        <v>137474.38727577706</v>
      </c>
      <c r="F102" s="3">
        <f t="shared" si="39"/>
        <v>128020.20002350025</v>
      </c>
      <c r="G102" s="3">
        <f t="shared" si="39"/>
        <v>119041.74288488424</v>
      </c>
      <c r="H102" s="3">
        <f t="shared" si="39"/>
        <v>115816.5</v>
      </c>
      <c r="I102" s="3">
        <f t="shared" si="39"/>
        <v>71986.173225965176</v>
      </c>
      <c r="J102" s="3">
        <f t="shared" si="39"/>
        <v>65293.890321135259</v>
      </c>
      <c r="K102" s="3">
        <f t="shared" si="39"/>
        <v>56626.550915325497</v>
      </c>
      <c r="L102" s="3">
        <f t="shared" si="39"/>
        <v>49278.396215246234</v>
      </c>
    </row>
    <row r="104" spans="1:12" x14ac:dyDescent="0.25">
      <c r="A104" t="s">
        <v>93</v>
      </c>
      <c r="B104" t="s">
        <v>15</v>
      </c>
      <c r="C104" s="2">
        <f>'No Carbon Capture'!C26</f>
        <v>14067.785248115104</v>
      </c>
      <c r="D104" s="2">
        <f>'No Carbon Capture'!D26</f>
        <v>13478.210718795983</v>
      </c>
      <c r="E104" s="2">
        <f>'No Carbon Capture'!E26</f>
        <v>12715.84596535888</v>
      </c>
      <c r="F104" s="2">
        <f>'No Carbon Capture'!F26</f>
        <v>11922.407208366189</v>
      </c>
      <c r="G104" s="2">
        <f>'No Carbon Capture'!G26</f>
        <v>11174.714089651334</v>
      </c>
      <c r="H104" s="2">
        <f>'No Carbon Capture'!H26</f>
        <v>10316.183491327301</v>
      </c>
      <c r="I104" s="2">
        <f>'No Carbon Capture'!I26</f>
        <v>8324.9740668856321</v>
      </c>
      <c r="J104" s="2">
        <f>'No Carbon Capture'!J26</f>
        <v>7828.4560124838827</v>
      </c>
      <c r="K104" s="2">
        <f>'No Carbon Capture'!K26</f>
        <v>7225.8657557488568</v>
      </c>
      <c r="L104" s="2">
        <f>'No Carbon Capture'!L26</f>
        <v>6828.2992810591431</v>
      </c>
    </row>
    <row r="105" spans="1:12" x14ac:dyDescent="0.25">
      <c r="A105" t="s">
        <v>94</v>
      </c>
      <c r="B105" t="s">
        <v>15</v>
      </c>
      <c r="C105" s="3">
        <f t="shared" ref="C105:L105" si="40">C32</f>
        <v>102333.00421115324</v>
      </c>
      <c r="D105" s="3">
        <f t="shared" si="40"/>
        <v>98104.379974876661</v>
      </c>
      <c r="E105" s="3">
        <f t="shared" si="40"/>
        <v>92309.647530056798</v>
      </c>
      <c r="F105" s="3">
        <f t="shared" si="40"/>
        <v>86148.839428201201</v>
      </c>
      <c r="G105" s="3">
        <f t="shared" si="40"/>
        <v>80221.238371426123</v>
      </c>
      <c r="H105" s="3">
        <f t="shared" si="40"/>
        <v>72492.533709778116</v>
      </c>
      <c r="I105" s="3">
        <f t="shared" si="40"/>
        <v>52374.265816574516</v>
      </c>
      <c r="J105" s="3">
        <f t="shared" si="40"/>
        <v>47663.834239092168</v>
      </c>
      <c r="K105" s="3">
        <f t="shared" si="40"/>
        <v>42145.950738858293</v>
      </c>
      <c r="L105" s="3">
        <f t="shared" si="40"/>
        <v>38687.63030439202</v>
      </c>
    </row>
    <row r="106" spans="1:12" x14ac:dyDescent="0.25">
      <c r="A106" t="s">
        <v>95</v>
      </c>
      <c r="B106" t="s">
        <v>15</v>
      </c>
      <c r="C106" s="3">
        <f>C105-C104</f>
        <v>88265.218963038133</v>
      </c>
      <c r="D106" s="3">
        <f t="shared" ref="D106:L106" si="41">D105-D104</f>
        <v>84626.169256080684</v>
      </c>
      <c r="E106" s="3">
        <f t="shared" si="41"/>
        <v>79593.801564697918</v>
      </c>
      <c r="F106" s="3">
        <f t="shared" si="41"/>
        <v>74226.432219835013</v>
      </c>
      <c r="G106" s="3">
        <f t="shared" si="41"/>
        <v>69046.524281774793</v>
      </c>
      <c r="H106" s="3">
        <f t="shared" si="41"/>
        <v>62176.350218450811</v>
      </c>
      <c r="I106" s="3">
        <f t="shared" si="41"/>
        <v>44049.291749688884</v>
      </c>
      <c r="J106" s="3">
        <f t="shared" si="41"/>
        <v>39835.378226608285</v>
      </c>
      <c r="K106" s="3">
        <f t="shared" si="41"/>
        <v>34920.084983109438</v>
      </c>
      <c r="L106" s="3">
        <f t="shared" si="41"/>
        <v>31859.331023332878</v>
      </c>
    </row>
    <row r="108" spans="1:12" x14ac:dyDescent="0.25">
      <c r="A108" s="20" t="s">
        <v>83</v>
      </c>
      <c r="B108" s="20" t="s">
        <v>15</v>
      </c>
      <c r="C108" s="25">
        <f>'No Carbon Capture'!C28</f>
        <v>716145.21475188492</v>
      </c>
      <c r="D108" s="25">
        <f>'No Carbon Capture'!D28</f>
        <v>656071.78928120399</v>
      </c>
      <c r="E108" s="25">
        <f>'No Carbon Capture'!E28</f>
        <v>592790.54131041816</v>
      </c>
      <c r="F108" s="25">
        <f>'No Carbon Capture'!F28</f>
        <v>528279.35299629602</v>
      </c>
      <c r="G108" s="25">
        <f>'No Carbon Capture'!G28</f>
        <v>464158.02879523288</v>
      </c>
      <c r="H108" s="25">
        <f>'No Carbon Capture'!H28</f>
        <v>402112.31650867272</v>
      </c>
      <c r="I108" s="25">
        <f>'No Carbon Capture'!I28</f>
        <v>349457.19915907952</v>
      </c>
      <c r="J108" s="25">
        <f>'No Carbon Capture'!J28</f>
        <v>288862.49955988751</v>
      </c>
      <c r="K108" s="25">
        <f>'No Carbon Capture'!K28</f>
        <v>225355.68515957665</v>
      </c>
      <c r="L108" s="25">
        <f>'No Carbon Capture'!L28</f>
        <v>189711.08858054728</v>
      </c>
    </row>
    <row r="109" spans="1:12" x14ac:dyDescent="0.25">
      <c r="A109" s="20" t="s">
        <v>84</v>
      </c>
      <c r="B109" s="20" t="s">
        <v>15</v>
      </c>
      <c r="C109" s="24">
        <f t="shared" ref="C109:L109" si="42">C34</f>
        <v>475432.04042474227</v>
      </c>
      <c r="D109" s="24">
        <f t="shared" si="42"/>
        <v>425103.62002512335</v>
      </c>
      <c r="E109" s="24">
        <f t="shared" si="42"/>
        <v>375722.35246994323</v>
      </c>
      <c r="F109" s="24">
        <f t="shared" si="42"/>
        <v>326032.72075296077</v>
      </c>
      <c r="G109" s="24">
        <f t="shared" si="42"/>
        <v>276069.76162857388</v>
      </c>
      <c r="H109" s="24">
        <f t="shared" si="42"/>
        <v>224119.4662902219</v>
      </c>
      <c r="I109" s="24">
        <f t="shared" si="42"/>
        <v>233421.73418342549</v>
      </c>
      <c r="J109" s="24">
        <f t="shared" si="42"/>
        <v>183733.23101214395</v>
      </c>
      <c r="K109" s="24">
        <f t="shared" si="42"/>
        <v>133809.04926114171</v>
      </c>
      <c r="L109" s="24">
        <f t="shared" si="42"/>
        <v>108573.36134196818</v>
      </c>
    </row>
    <row r="110" spans="1:12" x14ac:dyDescent="0.25">
      <c r="A110" s="20" t="s">
        <v>86</v>
      </c>
      <c r="B110" s="20" t="s">
        <v>15</v>
      </c>
      <c r="C110" s="24">
        <f>C108-C109</f>
        <v>240713.17432714265</v>
      </c>
      <c r="D110" s="24">
        <f t="shared" ref="D110:L110" si="43">D108-D109</f>
        <v>230968.16925608064</v>
      </c>
      <c r="E110" s="24">
        <f t="shared" si="43"/>
        <v>217068.18884047493</v>
      </c>
      <c r="F110" s="24">
        <f t="shared" si="43"/>
        <v>202246.63224333525</v>
      </c>
      <c r="G110" s="24">
        <f t="shared" si="43"/>
        <v>188088.267166659</v>
      </c>
      <c r="H110" s="24">
        <f t="shared" si="43"/>
        <v>177992.85021845083</v>
      </c>
      <c r="I110" s="24">
        <f t="shared" si="43"/>
        <v>116035.46497565403</v>
      </c>
      <c r="J110" s="24">
        <f t="shared" si="43"/>
        <v>105129.26854774356</v>
      </c>
      <c r="K110" s="24">
        <f t="shared" si="43"/>
        <v>91546.635898434935</v>
      </c>
      <c r="L110" s="24">
        <f t="shared" si="43"/>
        <v>81137.7272385791</v>
      </c>
    </row>
    <row r="111" spans="1:12" x14ac:dyDescent="0.25">
      <c r="B111" s="20" t="s">
        <v>87</v>
      </c>
      <c r="C111" s="22">
        <f t="shared" ref="C111:L111" si="44">C110/1000</f>
        <v>240.71317432714267</v>
      </c>
      <c r="D111" s="22">
        <f t="shared" si="44"/>
        <v>230.96816925608064</v>
      </c>
      <c r="E111" s="22">
        <f t="shared" si="44"/>
        <v>217.06818884047493</v>
      </c>
      <c r="F111" s="22">
        <f t="shared" si="44"/>
        <v>202.24663224333526</v>
      </c>
      <c r="G111" s="22">
        <f t="shared" si="44"/>
        <v>188.08826716665899</v>
      </c>
      <c r="H111" s="22">
        <f t="shared" si="44"/>
        <v>177.99285021845083</v>
      </c>
      <c r="I111" s="22">
        <f t="shared" si="44"/>
        <v>116.03546497565404</v>
      </c>
      <c r="J111" s="22">
        <f t="shared" si="44"/>
        <v>105.12926854774356</v>
      </c>
      <c r="K111" s="22">
        <f t="shared" si="44"/>
        <v>91.546635898434928</v>
      </c>
      <c r="L111" s="22">
        <f t="shared" si="44"/>
        <v>81.137727238579103</v>
      </c>
    </row>
    <row r="113" spans="1:12" ht="60" x14ac:dyDescent="0.25">
      <c r="A113" s="27" t="s">
        <v>96</v>
      </c>
      <c r="B113" s="20" t="s">
        <v>39</v>
      </c>
      <c r="C113" s="13">
        <f>C110/C108</f>
        <v>0.33612341375560256</v>
      </c>
      <c r="D113" s="13">
        <f t="shared" ref="D113:L113" si="45">D110/D108</f>
        <v>0.35204709763413344</v>
      </c>
      <c r="E113" s="13">
        <f t="shared" si="45"/>
        <v>0.36618025038089452</v>
      </c>
      <c r="F113" s="13">
        <f t="shared" si="45"/>
        <v>0.38284031184681427</v>
      </c>
      <c r="G113" s="13">
        <f t="shared" si="45"/>
        <v>0.4052246336336362</v>
      </c>
      <c r="H113" s="13">
        <f t="shared" si="45"/>
        <v>0.44264461174397252</v>
      </c>
      <c r="I113" s="13">
        <f t="shared" si="45"/>
        <v>0.33204485486313445</v>
      </c>
      <c r="J113" s="13">
        <f t="shared" si="45"/>
        <v>0.36394225179079698</v>
      </c>
      <c r="K113" s="13">
        <f t="shared" si="45"/>
        <v>0.40623175684966562</v>
      </c>
      <c r="L113" s="13">
        <f t="shared" si="45"/>
        <v>0.42769101081895777</v>
      </c>
    </row>
    <row r="115" spans="1:12" x14ac:dyDescent="0.25">
      <c r="A115" t="s">
        <v>88</v>
      </c>
      <c r="B115" t="s">
        <v>89</v>
      </c>
      <c r="C115" s="19">
        <f t="shared" ref="C115:L115" si="46">C111/C98*1000</f>
        <v>615.85666556566503</v>
      </c>
      <c r="D115" s="19">
        <f t="shared" si="46"/>
        <v>623.6252798917775</v>
      </c>
      <c r="E115" s="19">
        <f t="shared" si="46"/>
        <v>626.89909596037148</v>
      </c>
      <c r="F115" s="19">
        <f t="shared" si="46"/>
        <v>632.55680138476623</v>
      </c>
      <c r="G115" s="19">
        <f t="shared" si="46"/>
        <v>640.92114824553244</v>
      </c>
      <c r="H115" s="19">
        <f t="shared" si="46"/>
        <v>679.21322750639058</v>
      </c>
      <c r="I115" s="19">
        <f t="shared" si="46"/>
        <v>593.99167022181143</v>
      </c>
      <c r="J115" s="19">
        <f t="shared" si="46"/>
        <v>606.45739325702129</v>
      </c>
      <c r="K115" s="19">
        <f t="shared" si="46"/>
        <v>623.70589226631728</v>
      </c>
      <c r="L115" s="19">
        <f t="shared" si="46"/>
        <v>625.2382483442226</v>
      </c>
    </row>
    <row r="117" spans="1:12" x14ac:dyDescent="0.25">
      <c r="A117" t="s">
        <v>99</v>
      </c>
      <c r="B117" t="s">
        <v>37</v>
      </c>
      <c r="C117" s="2">
        <f t="shared" ref="C117:L117" si="47">C47-C49</f>
        <v>17080.47142374469</v>
      </c>
      <c r="D117" s="2">
        <f t="shared" si="47"/>
        <v>15915.574326497619</v>
      </c>
      <c r="E117" s="2">
        <f t="shared" si="47"/>
        <v>14748.146400496189</v>
      </c>
      <c r="F117" s="2">
        <f t="shared" si="47"/>
        <v>13417.568730438827</v>
      </c>
      <c r="G117" s="2">
        <f t="shared" si="47"/>
        <v>12065.024084033328</v>
      </c>
      <c r="H117" s="2">
        <f t="shared" si="47"/>
        <v>10595.075555043935</v>
      </c>
      <c r="I117" s="2">
        <f t="shared" si="47"/>
        <v>8540.2357118723448</v>
      </c>
      <c r="J117" s="2">
        <f t="shared" si="47"/>
        <v>7374.0732002480945</v>
      </c>
      <c r="K117" s="2">
        <f t="shared" si="47"/>
        <v>6032.5120420166641</v>
      </c>
      <c r="L117" s="2">
        <f t="shared" si="47"/>
        <v>5297.5377775219677</v>
      </c>
    </row>
    <row r="118" spans="1:12" x14ac:dyDescent="0.25">
      <c r="B118" t="s">
        <v>53</v>
      </c>
      <c r="C118" s="14">
        <f>C117*0.0004536</f>
        <v>7.7477018378105917</v>
      </c>
      <c r="D118" s="14">
        <f t="shared" ref="D118:L118" si="48">D117*0.0004536</f>
        <v>7.2193045144993206</v>
      </c>
      <c r="E118" s="14">
        <f t="shared" si="48"/>
        <v>6.6897592072650713</v>
      </c>
      <c r="F118" s="14">
        <f t="shared" si="48"/>
        <v>6.0862091761270518</v>
      </c>
      <c r="G118" s="14">
        <f t="shared" si="48"/>
        <v>5.4726949245175183</v>
      </c>
      <c r="H118" s="14">
        <f t="shared" si="48"/>
        <v>4.8059262717679294</v>
      </c>
      <c r="I118" s="14">
        <f t="shared" si="48"/>
        <v>3.8738509189052959</v>
      </c>
      <c r="J118" s="14">
        <f t="shared" si="48"/>
        <v>3.3448796036325357</v>
      </c>
      <c r="K118" s="14">
        <f t="shared" si="48"/>
        <v>2.7363474622587591</v>
      </c>
      <c r="L118" s="14">
        <f t="shared" si="48"/>
        <v>2.4029631358839647</v>
      </c>
    </row>
    <row r="120" spans="1:12" x14ac:dyDescent="0.25">
      <c r="A120" t="s">
        <v>29</v>
      </c>
      <c r="B120" t="s">
        <v>15</v>
      </c>
      <c r="C120" s="3">
        <f t="shared" ref="C120:L120" si="49">C34</f>
        <v>475432.04042474227</v>
      </c>
      <c r="D120" s="3">
        <f t="shared" si="49"/>
        <v>425103.62002512335</v>
      </c>
      <c r="E120" s="3">
        <f t="shared" si="49"/>
        <v>375722.35246994323</v>
      </c>
      <c r="F120" s="3">
        <f t="shared" si="49"/>
        <v>326032.72075296077</v>
      </c>
      <c r="G120" s="3">
        <f t="shared" si="49"/>
        <v>276069.76162857388</v>
      </c>
      <c r="H120" s="3">
        <f t="shared" si="49"/>
        <v>224119.4662902219</v>
      </c>
      <c r="I120" s="3">
        <f t="shared" si="49"/>
        <v>233421.73418342549</v>
      </c>
      <c r="J120" s="3">
        <f t="shared" si="49"/>
        <v>183733.23101214395</v>
      </c>
      <c r="K120" s="3">
        <f t="shared" si="49"/>
        <v>133809.04926114171</v>
      </c>
      <c r="L120" s="3">
        <f t="shared" si="49"/>
        <v>108573.36134196818</v>
      </c>
    </row>
    <row r="121" spans="1:12" x14ac:dyDescent="0.25">
      <c r="B121" t="s">
        <v>87</v>
      </c>
      <c r="C121" s="14">
        <f>C120/1000</f>
        <v>475.4320404247423</v>
      </c>
      <c r="D121" s="14">
        <f t="shared" ref="D121:L121" si="50">D120/1000</f>
        <v>425.10362002512335</v>
      </c>
      <c r="E121" s="14">
        <f t="shared" si="50"/>
        <v>375.72235246994325</v>
      </c>
      <c r="F121" s="14">
        <f t="shared" si="50"/>
        <v>326.03272075296076</v>
      </c>
      <c r="G121" s="14">
        <f t="shared" si="50"/>
        <v>276.06976162857387</v>
      </c>
      <c r="H121" s="14">
        <f t="shared" si="50"/>
        <v>224.11946629022191</v>
      </c>
      <c r="I121" s="14">
        <f t="shared" si="50"/>
        <v>233.42173418342549</v>
      </c>
      <c r="J121" s="14">
        <f t="shared" si="50"/>
        <v>183.73323101214396</v>
      </c>
      <c r="K121" s="14">
        <f t="shared" si="50"/>
        <v>133.80904926114172</v>
      </c>
      <c r="L121" s="14">
        <f t="shared" si="50"/>
        <v>108.57336134196818</v>
      </c>
    </row>
    <row r="123" spans="1:12" x14ac:dyDescent="0.25">
      <c r="A123" t="s">
        <v>97</v>
      </c>
      <c r="B123" t="s">
        <v>98</v>
      </c>
      <c r="C123" s="17">
        <f>C118/C121</f>
        <v>1.6296128950183789E-2</v>
      </c>
      <c r="D123" s="17">
        <f t="shared" ref="D123:L123" si="51">D118/D121</f>
        <v>1.6982458333506228E-2</v>
      </c>
      <c r="E123" s="17">
        <f t="shared" si="51"/>
        <v>1.7805060474277302E-2</v>
      </c>
      <c r="F123" s="17">
        <f t="shared" si="51"/>
        <v>1.8667479638458287E-2</v>
      </c>
      <c r="G123" s="17">
        <f t="shared" si="51"/>
        <v>1.9823594196746976E-2</v>
      </c>
      <c r="H123" s="17">
        <f t="shared" si="51"/>
        <v>2.1443591452892936E-2</v>
      </c>
      <c r="I123" s="17">
        <f t="shared" si="51"/>
        <v>1.6595930676537512E-2</v>
      </c>
      <c r="J123" s="17">
        <f t="shared" si="51"/>
        <v>1.8205087806959938E-2</v>
      </c>
      <c r="K123" s="17">
        <f t="shared" si="51"/>
        <v>2.0449644305584325E-2</v>
      </c>
      <c r="L123" s="17">
        <f t="shared" si="51"/>
        <v>2.2132161205873233E-2</v>
      </c>
    </row>
    <row r="125" spans="1:12" x14ac:dyDescent="0.25">
      <c r="A125" t="s">
        <v>100</v>
      </c>
      <c r="B125" t="s">
        <v>37</v>
      </c>
      <c r="C125" s="2">
        <f t="shared" ref="C125:L125" si="52">C117-C60*2205</f>
        <v>-292391.4139632553</v>
      </c>
      <c r="D125" s="2">
        <f t="shared" si="52"/>
        <v>-286036.08006250235</v>
      </c>
      <c r="E125" s="2">
        <f t="shared" si="52"/>
        <v>-271802.11571650376</v>
      </c>
      <c r="F125" s="2">
        <f t="shared" si="52"/>
        <v>-257668.17020056117</v>
      </c>
      <c r="G125" s="2">
        <f t="shared" si="52"/>
        <v>-244850.69424096667</v>
      </c>
      <c r="H125" s="2">
        <f t="shared" si="52"/>
        <v>-224602.97066795605</v>
      </c>
      <c r="I125" s="2">
        <f t="shared" si="52"/>
        <v>-146017.31432312765</v>
      </c>
      <c r="J125" s="2">
        <f t="shared" si="52"/>
        <v>-136389.04706975189</v>
      </c>
      <c r="K125" s="2">
        <f t="shared" si="52"/>
        <v>-122526.26092998333</v>
      </c>
      <c r="L125" s="2">
        <f t="shared" si="52"/>
        <v>-109528.02949847803</v>
      </c>
    </row>
    <row r="126" spans="1:12" x14ac:dyDescent="0.25">
      <c r="B126" t="s">
        <v>53</v>
      </c>
      <c r="C126" s="14">
        <f>C125*0.0004536</f>
        <v>-132.62874537373261</v>
      </c>
      <c r="D126" s="14">
        <f t="shared" ref="D126:L126" si="53">D125*0.0004536</f>
        <v>-129.74596591635108</v>
      </c>
      <c r="E126" s="14">
        <f t="shared" si="53"/>
        <v>-123.28943968900612</v>
      </c>
      <c r="F126" s="14">
        <f t="shared" si="53"/>
        <v>-116.87828200297456</v>
      </c>
      <c r="G126" s="14">
        <f t="shared" si="53"/>
        <v>-111.06427490770248</v>
      </c>
      <c r="H126" s="14">
        <f t="shared" si="53"/>
        <v>-101.87990749498486</v>
      </c>
      <c r="I126" s="14">
        <f t="shared" si="53"/>
        <v>-66.233453776970705</v>
      </c>
      <c r="J126" s="14">
        <f t="shared" si="53"/>
        <v>-61.86607175083946</v>
      </c>
      <c r="K126" s="14">
        <f t="shared" si="53"/>
        <v>-55.577911957840442</v>
      </c>
      <c r="L126" s="14">
        <f t="shared" si="53"/>
        <v>-49.681914180509636</v>
      </c>
    </row>
    <row r="128" spans="1:12" x14ac:dyDescent="0.25">
      <c r="A128" t="s">
        <v>29</v>
      </c>
      <c r="B128" t="s">
        <v>15</v>
      </c>
      <c r="C128" s="3">
        <f>C120</f>
        <v>475432.04042474227</v>
      </c>
      <c r="D128" s="3">
        <f t="shared" ref="D128:L128" si="54">D120</f>
        <v>425103.62002512335</v>
      </c>
      <c r="E128" s="3">
        <f t="shared" si="54"/>
        <v>375722.35246994323</v>
      </c>
      <c r="F128" s="3">
        <f t="shared" si="54"/>
        <v>326032.72075296077</v>
      </c>
      <c r="G128" s="3">
        <f t="shared" si="54"/>
        <v>276069.76162857388</v>
      </c>
      <c r="H128" s="3">
        <f t="shared" si="54"/>
        <v>224119.4662902219</v>
      </c>
      <c r="I128" s="3">
        <f t="shared" si="54"/>
        <v>233421.73418342549</v>
      </c>
      <c r="J128" s="3">
        <f t="shared" si="54"/>
        <v>183733.23101214395</v>
      </c>
      <c r="K128" s="3">
        <f t="shared" si="54"/>
        <v>133809.04926114171</v>
      </c>
      <c r="L128" s="3">
        <f t="shared" si="54"/>
        <v>108573.36134196818</v>
      </c>
    </row>
    <row r="129" spans="1:12" x14ac:dyDescent="0.25">
      <c r="B129" t="s">
        <v>87</v>
      </c>
      <c r="C129" s="14">
        <f>C128/1000</f>
        <v>475.4320404247423</v>
      </c>
      <c r="D129" s="14">
        <f t="shared" ref="D129:L129" si="55">D128/1000</f>
        <v>425.10362002512335</v>
      </c>
      <c r="E129" s="14">
        <f t="shared" si="55"/>
        <v>375.72235246994325</v>
      </c>
      <c r="F129" s="14">
        <f t="shared" si="55"/>
        <v>326.03272075296076</v>
      </c>
      <c r="G129" s="14">
        <f t="shared" si="55"/>
        <v>276.06976162857387</v>
      </c>
      <c r="H129" s="14">
        <f t="shared" si="55"/>
        <v>224.11946629022191</v>
      </c>
      <c r="I129" s="14">
        <f t="shared" si="55"/>
        <v>233.42173418342549</v>
      </c>
      <c r="J129" s="14">
        <f t="shared" si="55"/>
        <v>183.73323101214396</v>
      </c>
      <c r="K129" s="14">
        <f t="shared" si="55"/>
        <v>133.80904926114172</v>
      </c>
      <c r="L129" s="14">
        <f t="shared" si="55"/>
        <v>108.57336134196818</v>
      </c>
    </row>
    <row r="131" spans="1:12" x14ac:dyDescent="0.25">
      <c r="A131" t="s">
        <v>97</v>
      </c>
      <c r="B131" t="s">
        <v>98</v>
      </c>
      <c r="C131" s="17">
        <f>C126/C129</f>
        <v>-0.27896467653977319</v>
      </c>
      <c r="D131" s="17">
        <f t="shared" ref="D131:L131" si="56">D126/D129</f>
        <v>-0.30521021182713798</v>
      </c>
      <c r="E131" s="17">
        <f t="shared" si="56"/>
        <v>-0.32813975234243997</v>
      </c>
      <c r="F131" s="17">
        <f t="shared" si="56"/>
        <v>-0.35848635601067402</v>
      </c>
      <c r="G131" s="17">
        <f t="shared" si="56"/>
        <v>-0.4023051066966512</v>
      </c>
      <c r="H131" s="17">
        <f t="shared" si="56"/>
        <v>-0.45457857446017741</v>
      </c>
      <c r="I131" s="17">
        <f t="shared" si="56"/>
        <v>-0.28375015723653091</v>
      </c>
      <c r="J131" s="17">
        <f t="shared" si="56"/>
        <v>-0.33671683347663106</v>
      </c>
      <c r="K131" s="17">
        <f t="shared" si="56"/>
        <v>-0.4153524164824951</v>
      </c>
      <c r="L131" s="17">
        <f t="shared" si="56"/>
        <v>-0.45758843206510807</v>
      </c>
    </row>
    <row r="133" spans="1:12" x14ac:dyDescent="0.25">
      <c r="A133" s="12" t="s">
        <v>101</v>
      </c>
      <c r="B133" s="30"/>
      <c r="C133" s="30"/>
      <c r="D133" s="30"/>
      <c r="E133" s="30"/>
      <c r="F133" s="30"/>
    </row>
    <row r="134" spans="1:12" x14ac:dyDescent="0.25">
      <c r="A134" s="33" t="s">
        <v>105</v>
      </c>
    </row>
    <row r="135" spans="1:12" ht="30" x14ac:dyDescent="0.25">
      <c r="A135" s="34" t="s">
        <v>112</v>
      </c>
      <c r="B135" t="s">
        <v>31</v>
      </c>
    </row>
    <row r="136" spans="1:12" x14ac:dyDescent="0.25">
      <c r="A136" s="31"/>
    </row>
    <row r="137" spans="1:12" x14ac:dyDescent="0.25">
      <c r="A137" s="32" t="s">
        <v>115</v>
      </c>
      <c r="B137" t="s">
        <v>31</v>
      </c>
      <c r="C137" s="3">
        <f t="shared" ref="C137:L137" si="57">C87</f>
        <v>64.536000000000001</v>
      </c>
      <c r="D137" s="3">
        <f t="shared" si="57"/>
        <v>62.42</v>
      </c>
      <c r="E137" s="3">
        <f t="shared" si="57"/>
        <v>58.47</v>
      </c>
      <c r="F137" s="3">
        <f t="shared" si="57"/>
        <v>54.851999999999997</v>
      </c>
      <c r="G137" s="3">
        <f t="shared" si="57"/>
        <v>51.502000000000002</v>
      </c>
      <c r="H137" s="3">
        <f t="shared" si="57"/>
        <v>47.963999999999999</v>
      </c>
      <c r="I137" s="3">
        <f t="shared" si="57"/>
        <v>32.884</v>
      </c>
      <c r="J137" s="3">
        <f t="shared" si="57"/>
        <v>30.058</v>
      </c>
      <c r="K137" s="3">
        <f t="shared" si="57"/>
        <v>26.623999999999999</v>
      </c>
      <c r="L137" s="3">
        <f t="shared" si="57"/>
        <v>24.632000000000001</v>
      </c>
    </row>
    <row r="138" spans="1:12" x14ac:dyDescent="0.25">
      <c r="A138" s="31"/>
    </row>
    <row r="139" spans="1:12" x14ac:dyDescent="0.25">
      <c r="A139" s="31" t="s">
        <v>110</v>
      </c>
      <c r="B139" t="s">
        <v>31</v>
      </c>
      <c r="C139" s="3">
        <f t="shared" ref="C139:L139" si="58">C90</f>
        <v>59.120130157053296</v>
      </c>
      <c r="D139" s="3">
        <f t="shared" si="58"/>
        <v>55.088106315306106</v>
      </c>
      <c r="E139" s="3">
        <f t="shared" si="58"/>
        <v>51.047322590904052</v>
      </c>
      <c r="F139" s="3">
        <f t="shared" si="58"/>
        <v>46.441833486633463</v>
      </c>
      <c r="G139" s="3">
        <f t="shared" si="58"/>
        <v>41.760310737351638</v>
      </c>
      <c r="H139" s="3">
        <f t="shared" si="58"/>
        <v>36.672421404437102</v>
      </c>
      <c r="I139" s="3">
        <f t="shared" si="58"/>
        <v>29.560065078526648</v>
      </c>
      <c r="J139" s="3">
        <f t="shared" si="58"/>
        <v>25.523661295452026</v>
      </c>
      <c r="K139" s="3">
        <f t="shared" si="58"/>
        <v>20.880155368675819</v>
      </c>
      <c r="L139" s="3">
        <f t="shared" si="58"/>
        <v>18.336210702218551</v>
      </c>
    </row>
    <row r="140" spans="1:12" x14ac:dyDescent="0.25">
      <c r="A140" s="31"/>
    </row>
    <row r="141" spans="1:12" x14ac:dyDescent="0.25">
      <c r="A141" s="31" t="s">
        <v>116</v>
      </c>
      <c r="B141" t="s">
        <v>31</v>
      </c>
    </row>
    <row r="142" spans="1:12" x14ac:dyDescent="0.25">
      <c r="A142" s="31"/>
    </row>
    <row r="143" spans="1:12" x14ac:dyDescent="0.25">
      <c r="A143" s="31" t="s">
        <v>117</v>
      </c>
      <c r="B143" t="s">
        <v>31</v>
      </c>
      <c r="C143" s="3">
        <f t="shared" ref="C143:L143" si="59">C92</f>
        <v>970.60900000000004</v>
      </c>
      <c r="D143" s="3">
        <f t="shared" si="59"/>
        <v>947.02300000000002</v>
      </c>
      <c r="E143" s="3">
        <f t="shared" si="59"/>
        <v>898.71900000000005</v>
      </c>
      <c r="F143" s="3">
        <f t="shared" si="59"/>
        <v>850.21699999999998</v>
      </c>
      <c r="G143" s="3">
        <f t="shared" si="59"/>
        <v>805.77499999999998</v>
      </c>
      <c r="H143" s="3">
        <f t="shared" si="59"/>
        <v>737.66099999999994</v>
      </c>
      <c r="I143" s="3">
        <f t="shared" si="59"/>
        <v>484.745</v>
      </c>
      <c r="J143" s="3">
        <f t="shared" si="59"/>
        <v>450.89</v>
      </c>
      <c r="K143" s="3">
        <f t="shared" si="59"/>
        <v>403.20400000000001</v>
      </c>
      <c r="L143" s="3">
        <f t="shared" si="59"/>
        <v>360.13200000000001</v>
      </c>
    </row>
    <row r="144" spans="1:12" x14ac:dyDescent="0.25">
      <c r="A144" s="31"/>
    </row>
    <row r="145" spans="1:12" x14ac:dyDescent="0.25">
      <c r="A145" s="33" t="s">
        <v>103</v>
      </c>
      <c r="B145" t="s">
        <v>31</v>
      </c>
      <c r="C145" s="3">
        <f t="shared" ref="C145:L145" si="60">C86</f>
        <v>4676.9311654948069</v>
      </c>
      <c r="D145" s="3">
        <f t="shared" si="60"/>
        <v>4419.0302641564604</v>
      </c>
      <c r="E145" s="3">
        <f t="shared" si="60"/>
        <v>4125.7194295294694</v>
      </c>
      <c r="F145" s="3">
        <f t="shared" si="60"/>
        <v>3800.0385933753601</v>
      </c>
      <c r="G145" s="3">
        <f t="shared" si="60"/>
        <v>3476.0643509734341</v>
      </c>
      <c r="H145" s="3">
        <f t="shared" si="60"/>
        <v>3099.6294469812728</v>
      </c>
      <c r="I145" s="3">
        <f t="shared" si="60"/>
        <v>2362.225432864645</v>
      </c>
      <c r="J145" s="3">
        <f t="shared" si="60"/>
        <v>2087.4394618277961</v>
      </c>
      <c r="K145" s="3">
        <f t="shared" si="60"/>
        <v>1763.0304772039192</v>
      </c>
      <c r="L145" s="3">
        <f t="shared" si="60"/>
        <v>1562.921943557267</v>
      </c>
    </row>
    <row r="147" spans="1:12" x14ac:dyDescent="0.25">
      <c r="A147" t="s">
        <v>104</v>
      </c>
      <c r="B147" t="s">
        <v>31</v>
      </c>
      <c r="C147" s="3">
        <f t="shared" ref="C147:L147" si="61">SUM(C136:C145)</f>
        <v>5771.1962956518601</v>
      </c>
      <c r="D147" s="3">
        <f t="shared" si="61"/>
        <v>5483.5613704717662</v>
      </c>
      <c r="E147" s="3">
        <f t="shared" si="61"/>
        <v>5133.9557521203733</v>
      </c>
      <c r="F147" s="3">
        <f t="shared" si="61"/>
        <v>4751.5494268619932</v>
      </c>
      <c r="G147" s="3">
        <f t="shared" si="61"/>
        <v>4375.1016617107853</v>
      </c>
      <c r="H147" s="3">
        <f t="shared" si="61"/>
        <v>3921.9268683857099</v>
      </c>
      <c r="I147" s="3">
        <f t="shared" si="61"/>
        <v>2909.4144979431717</v>
      </c>
      <c r="J147" s="3">
        <f t="shared" si="61"/>
        <v>2593.9111231232482</v>
      </c>
      <c r="K147" s="3">
        <f t="shared" si="61"/>
        <v>2213.7386325725952</v>
      </c>
      <c r="L147" s="3">
        <f t="shared" si="61"/>
        <v>1966.0221542594854</v>
      </c>
    </row>
    <row r="149" spans="1:12" x14ac:dyDescent="0.25">
      <c r="A149" s="6" t="s">
        <v>77</v>
      </c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</row>
    <row r="150" spans="1:12" x14ac:dyDescent="0.25">
      <c r="A150" s="35" t="s">
        <v>105</v>
      </c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</row>
    <row r="151" spans="1:12" ht="30" x14ac:dyDescent="0.25">
      <c r="A151" s="36" t="s">
        <v>112</v>
      </c>
      <c r="B151" s="4" t="s">
        <v>31</v>
      </c>
      <c r="C151" s="4"/>
      <c r="D151" s="4"/>
      <c r="E151" s="4"/>
      <c r="F151" s="4"/>
      <c r="G151" s="4"/>
      <c r="H151" s="4"/>
      <c r="I151" s="4"/>
      <c r="J151" s="4"/>
      <c r="K151" s="4"/>
      <c r="L151" s="4"/>
    </row>
    <row r="152" spans="1:12" x14ac:dyDescent="0.25">
      <c r="A152" s="37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</row>
    <row r="153" spans="1:12" x14ac:dyDescent="0.25">
      <c r="A153" s="38" t="s">
        <v>115</v>
      </c>
      <c r="B153" s="4" t="s">
        <v>31</v>
      </c>
      <c r="C153" s="7">
        <f t="shared" ref="C153:L153" si="62">C137</f>
        <v>64.536000000000001</v>
      </c>
      <c r="D153" s="7">
        <f t="shared" si="62"/>
        <v>62.42</v>
      </c>
      <c r="E153" s="7">
        <f t="shared" si="62"/>
        <v>58.47</v>
      </c>
      <c r="F153" s="7">
        <f t="shared" si="62"/>
        <v>54.851999999999997</v>
      </c>
      <c r="G153" s="7">
        <f t="shared" si="62"/>
        <v>51.502000000000002</v>
      </c>
      <c r="H153" s="7">
        <f t="shared" si="62"/>
        <v>47.963999999999999</v>
      </c>
      <c r="I153" s="7">
        <f t="shared" si="62"/>
        <v>32.884</v>
      </c>
      <c r="J153" s="7">
        <f t="shared" si="62"/>
        <v>30.058</v>
      </c>
      <c r="K153" s="7">
        <f t="shared" si="62"/>
        <v>26.623999999999999</v>
      </c>
      <c r="L153" s="7">
        <f t="shared" si="62"/>
        <v>24.632000000000001</v>
      </c>
    </row>
    <row r="154" spans="1:12" x14ac:dyDescent="0.25">
      <c r="A154" s="37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</row>
    <row r="155" spans="1:12" x14ac:dyDescent="0.25">
      <c r="A155" s="37" t="s">
        <v>120</v>
      </c>
      <c r="B155" s="4" t="s">
        <v>31</v>
      </c>
      <c r="C155" s="7">
        <f>C139</f>
        <v>59.120130157053296</v>
      </c>
      <c r="D155" s="7">
        <f t="shared" ref="D155:L155" si="63">D139</f>
        <v>55.088106315306106</v>
      </c>
      <c r="E155" s="7">
        <f t="shared" si="63"/>
        <v>51.047322590904052</v>
      </c>
      <c r="F155" s="7">
        <f t="shared" si="63"/>
        <v>46.441833486633463</v>
      </c>
      <c r="G155" s="7">
        <f t="shared" si="63"/>
        <v>41.760310737351638</v>
      </c>
      <c r="H155" s="7">
        <f t="shared" si="63"/>
        <v>36.672421404437102</v>
      </c>
      <c r="I155" s="7">
        <f t="shared" si="63"/>
        <v>29.560065078526648</v>
      </c>
      <c r="J155" s="7">
        <f t="shared" si="63"/>
        <v>25.523661295452026</v>
      </c>
      <c r="K155" s="7">
        <f t="shared" si="63"/>
        <v>20.880155368675819</v>
      </c>
      <c r="L155" s="7">
        <f t="shared" si="63"/>
        <v>18.336210702218551</v>
      </c>
    </row>
    <row r="156" spans="1:12" x14ac:dyDescent="0.25">
      <c r="A156" s="37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</row>
    <row r="157" spans="1:12" x14ac:dyDescent="0.25">
      <c r="A157" s="37" t="s">
        <v>116</v>
      </c>
      <c r="B157" s="4" t="s">
        <v>31</v>
      </c>
      <c r="C157" s="4"/>
      <c r="D157" s="4"/>
      <c r="E157" s="4"/>
      <c r="F157" s="4"/>
      <c r="G157" s="4"/>
      <c r="H157" s="4"/>
      <c r="I157" s="4"/>
      <c r="J157" s="4"/>
      <c r="K157" s="4"/>
      <c r="L157" s="4"/>
    </row>
    <row r="158" spans="1:12" x14ac:dyDescent="0.25">
      <c r="A158" s="37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</row>
    <row r="159" spans="1:12" x14ac:dyDescent="0.25">
      <c r="A159" s="37" t="s">
        <v>117</v>
      </c>
      <c r="B159" s="4" t="s">
        <v>31</v>
      </c>
      <c r="C159" s="7">
        <f>C143</f>
        <v>970.60900000000004</v>
      </c>
      <c r="D159" s="7">
        <f t="shared" ref="D159:L159" si="64">D143</f>
        <v>947.02300000000002</v>
      </c>
      <c r="E159" s="7">
        <f t="shared" si="64"/>
        <v>898.71900000000005</v>
      </c>
      <c r="F159" s="7">
        <f t="shared" si="64"/>
        <v>850.21699999999998</v>
      </c>
      <c r="G159" s="7">
        <f t="shared" si="64"/>
        <v>805.77499999999998</v>
      </c>
      <c r="H159" s="7">
        <f t="shared" si="64"/>
        <v>737.66099999999994</v>
      </c>
      <c r="I159" s="7">
        <f t="shared" si="64"/>
        <v>484.745</v>
      </c>
      <c r="J159" s="7">
        <f t="shared" si="64"/>
        <v>450.89</v>
      </c>
      <c r="K159" s="7">
        <f t="shared" si="64"/>
        <v>403.20400000000001</v>
      </c>
      <c r="L159" s="7">
        <f t="shared" si="64"/>
        <v>360.13200000000001</v>
      </c>
    </row>
    <row r="160" spans="1:12" x14ac:dyDescent="0.25">
      <c r="A160" s="37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</row>
    <row r="161" spans="1:12" x14ac:dyDescent="0.25">
      <c r="A161" s="35" t="s">
        <v>103</v>
      </c>
      <c r="B161" s="4" t="s">
        <v>31</v>
      </c>
      <c r="C161" s="7">
        <f>C145</f>
        <v>4676.9311654948069</v>
      </c>
      <c r="D161" s="7">
        <f t="shared" ref="D161:L161" si="65">D145</f>
        <v>4419.0302641564604</v>
      </c>
      <c r="E161" s="7">
        <f t="shared" si="65"/>
        <v>4125.7194295294694</v>
      </c>
      <c r="F161" s="7">
        <f t="shared" si="65"/>
        <v>3800.0385933753601</v>
      </c>
      <c r="G161" s="7">
        <f t="shared" si="65"/>
        <v>3476.0643509734341</v>
      </c>
      <c r="H161" s="7">
        <f t="shared" si="65"/>
        <v>3099.6294469812728</v>
      </c>
      <c r="I161" s="7">
        <f t="shared" si="65"/>
        <v>2362.225432864645</v>
      </c>
      <c r="J161" s="7">
        <f t="shared" si="65"/>
        <v>2087.4394618277961</v>
      </c>
      <c r="K161" s="7">
        <f t="shared" si="65"/>
        <v>1763.0304772039192</v>
      </c>
      <c r="L161" s="7">
        <f t="shared" si="65"/>
        <v>1562.921943557267</v>
      </c>
    </row>
    <row r="162" spans="1:12" x14ac:dyDescent="0.2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</row>
    <row r="163" spans="1:12" x14ac:dyDescent="0.25">
      <c r="A163" s="4" t="s">
        <v>106</v>
      </c>
      <c r="B163" s="4" t="s">
        <v>31</v>
      </c>
      <c r="C163" s="7">
        <f t="shared" ref="C163:L163" si="66">SUM(C152:C161)</f>
        <v>5771.1962956518601</v>
      </c>
      <c r="D163" s="7">
        <f t="shared" si="66"/>
        <v>5483.5613704717662</v>
      </c>
      <c r="E163" s="7">
        <f t="shared" si="66"/>
        <v>5133.9557521203733</v>
      </c>
      <c r="F163" s="7">
        <f t="shared" si="66"/>
        <v>4751.5494268619932</v>
      </c>
      <c r="G163" s="7">
        <f t="shared" si="66"/>
        <v>4375.1016617107853</v>
      </c>
      <c r="H163" s="7">
        <f t="shared" si="66"/>
        <v>3921.9268683857099</v>
      </c>
      <c r="I163" s="7">
        <f t="shared" si="66"/>
        <v>2909.4144979431717</v>
      </c>
      <c r="J163" s="7">
        <f t="shared" si="66"/>
        <v>2593.9111231232482</v>
      </c>
      <c r="K163" s="7">
        <f t="shared" si="66"/>
        <v>2213.7386325725952</v>
      </c>
      <c r="L163" s="7">
        <f t="shared" si="66"/>
        <v>1966.0221542594854</v>
      </c>
    </row>
    <row r="164" spans="1:12" x14ac:dyDescent="0.2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</row>
    <row r="165" spans="1:12" x14ac:dyDescent="0.25">
      <c r="A165" s="6" t="s">
        <v>78</v>
      </c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</row>
    <row r="166" spans="1:12" x14ac:dyDescent="0.25">
      <c r="A166" s="35" t="s">
        <v>105</v>
      </c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</row>
    <row r="167" spans="1:12" ht="30" x14ac:dyDescent="0.25">
      <c r="A167" s="36" t="s">
        <v>112</v>
      </c>
      <c r="B167" s="4" t="s">
        <v>31</v>
      </c>
      <c r="C167" s="7">
        <f t="shared" ref="C167:L167" si="67">C153</f>
        <v>64.536000000000001</v>
      </c>
      <c r="D167" s="7">
        <f t="shared" si="67"/>
        <v>62.42</v>
      </c>
      <c r="E167" s="7">
        <f t="shared" si="67"/>
        <v>58.47</v>
      </c>
      <c r="F167" s="7">
        <f t="shared" si="67"/>
        <v>54.851999999999997</v>
      </c>
      <c r="G167" s="7">
        <f t="shared" si="67"/>
        <v>51.502000000000002</v>
      </c>
      <c r="H167" s="7">
        <f t="shared" si="67"/>
        <v>47.963999999999999</v>
      </c>
      <c r="I167" s="7">
        <f t="shared" si="67"/>
        <v>32.884</v>
      </c>
      <c r="J167" s="7">
        <f t="shared" si="67"/>
        <v>30.058</v>
      </c>
      <c r="K167" s="7">
        <f t="shared" si="67"/>
        <v>26.623999999999999</v>
      </c>
      <c r="L167" s="7">
        <f t="shared" si="67"/>
        <v>24.632000000000001</v>
      </c>
    </row>
    <row r="168" spans="1:12" x14ac:dyDescent="0.25">
      <c r="A168" s="37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</row>
    <row r="169" spans="1:12" x14ac:dyDescent="0.25">
      <c r="A169" s="38" t="s">
        <v>115</v>
      </c>
      <c r="B169" s="4" t="s">
        <v>31</v>
      </c>
      <c r="C169" s="4"/>
      <c r="D169" s="4"/>
      <c r="E169" s="4"/>
      <c r="F169" s="4"/>
      <c r="G169" s="4"/>
      <c r="H169" s="4"/>
      <c r="I169" s="4"/>
      <c r="J169" s="4"/>
      <c r="K169" s="4"/>
      <c r="L169" s="4"/>
    </row>
    <row r="170" spans="1:12" x14ac:dyDescent="0.25">
      <c r="A170" s="37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</row>
    <row r="171" spans="1:12" x14ac:dyDescent="0.25">
      <c r="A171" s="37" t="s">
        <v>120</v>
      </c>
      <c r="B171" s="4" t="s">
        <v>31</v>
      </c>
      <c r="C171" s="4"/>
      <c r="D171" s="4"/>
      <c r="E171" s="7"/>
      <c r="F171" s="7"/>
      <c r="G171" s="7"/>
      <c r="H171" s="7"/>
      <c r="I171" s="7"/>
      <c r="J171" s="7"/>
      <c r="K171" s="7"/>
      <c r="L171" s="7"/>
    </row>
    <row r="172" spans="1:12" x14ac:dyDescent="0.25">
      <c r="A172" s="37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</row>
    <row r="173" spans="1:12" x14ac:dyDescent="0.25">
      <c r="A173" s="37" t="s">
        <v>116</v>
      </c>
      <c r="B173" s="4" t="s">
        <v>31</v>
      </c>
      <c r="C173" s="7">
        <f t="shared" ref="C173:L173" si="68">C159</f>
        <v>970.60900000000004</v>
      </c>
      <c r="D173" s="7">
        <f t="shared" si="68"/>
        <v>947.02300000000002</v>
      </c>
      <c r="E173" s="7">
        <f t="shared" si="68"/>
        <v>898.71900000000005</v>
      </c>
      <c r="F173" s="7">
        <f t="shared" si="68"/>
        <v>850.21699999999998</v>
      </c>
      <c r="G173" s="7">
        <f t="shared" si="68"/>
        <v>805.77499999999998</v>
      </c>
      <c r="H173" s="7">
        <f t="shared" si="68"/>
        <v>737.66099999999994</v>
      </c>
      <c r="I173" s="7">
        <f t="shared" si="68"/>
        <v>484.745</v>
      </c>
      <c r="J173" s="7">
        <f t="shared" si="68"/>
        <v>450.89</v>
      </c>
      <c r="K173" s="7">
        <f t="shared" si="68"/>
        <v>403.20400000000001</v>
      </c>
      <c r="L173" s="7">
        <f t="shared" si="68"/>
        <v>360.13200000000001</v>
      </c>
    </row>
    <row r="174" spans="1:12" x14ac:dyDescent="0.25">
      <c r="A174" s="37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</row>
    <row r="175" spans="1:12" x14ac:dyDescent="0.25">
      <c r="A175" s="37" t="s">
        <v>117</v>
      </c>
      <c r="B175" s="4" t="s">
        <v>31</v>
      </c>
      <c r="C175" s="4"/>
      <c r="D175" s="4"/>
      <c r="E175" s="4"/>
      <c r="F175" s="4"/>
      <c r="G175" s="4"/>
      <c r="H175" s="4"/>
      <c r="I175" s="4"/>
      <c r="J175" s="4"/>
      <c r="K175" s="4"/>
      <c r="L175" s="4"/>
    </row>
    <row r="176" spans="1:12" x14ac:dyDescent="0.25">
      <c r="A176" s="37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</row>
    <row r="177" spans="1:12" x14ac:dyDescent="0.25">
      <c r="A177" s="35" t="s">
        <v>114</v>
      </c>
      <c r="B177" s="4" t="s">
        <v>31</v>
      </c>
      <c r="C177" s="7">
        <f t="shared" ref="C177:L177" si="69">651*(C78/1332)</f>
        <v>1070.7031842291735</v>
      </c>
      <c r="D177" s="7">
        <f t="shared" si="69"/>
        <v>1011.6611956885257</v>
      </c>
      <c r="E177" s="7">
        <f t="shared" si="69"/>
        <v>944.51271017712759</v>
      </c>
      <c r="F177" s="7">
        <f t="shared" si="69"/>
        <v>869.95366793906783</v>
      </c>
      <c r="G177" s="7">
        <f t="shared" si="69"/>
        <v>795.78532107367687</v>
      </c>
      <c r="H177" s="7">
        <f t="shared" si="69"/>
        <v>709.60700540099606</v>
      </c>
      <c r="I177" s="7">
        <f t="shared" si="69"/>
        <v>540.79100233405416</v>
      </c>
      <c r="J177" s="7">
        <f t="shared" si="69"/>
        <v>477.88346665311525</v>
      </c>
      <c r="K177" s="7">
        <f t="shared" si="69"/>
        <v>403.61559301153477</v>
      </c>
      <c r="L177" s="7">
        <f t="shared" si="69"/>
        <v>357.80417595506134</v>
      </c>
    </row>
    <row r="178" spans="1:12" x14ac:dyDescent="0.2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</row>
    <row r="179" spans="1:12" x14ac:dyDescent="0.25">
      <c r="A179" s="4" t="s">
        <v>107</v>
      </c>
      <c r="B179" s="4" t="s">
        <v>31</v>
      </c>
      <c r="C179" s="7">
        <f>SUM(C167:C177)</f>
        <v>2105.8481842291735</v>
      </c>
      <c r="D179" s="7">
        <f t="shared" ref="D179:L179" si="70">SUM(D167:D177)</f>
        <v>2021.1041956885256</v>
      </c>
      <c r="E179" s="7">
        <f t="shared" si="70"/>
        <v>1901.7017101771276</v>
      </c>
      <c r="F179" s="7">
        <f t="shared" si="70"/>
        <v>1775.0226679390678</v>
      </c>
      <c r="G179" s="7">
        <f t="shared" si="70"/>
        <v>1653.0623210736767</v>
      </c>
      <c r="H179" s="7">
        <f t="shared" si="70"/>
        <v>1495.2320054009961</v>
      </c>
      <c r="I179" s="7">
        <f t="shared" si="70"/>
        <v>1058.4200023340541</v>
      </c>
      <c r="J179" s="7">
        <f t="shared" si="70"/>
        <v>958.83146665311529</v>
      </c>
      <c r="K179" s="7">
        <f t="shared" si="70"/>
        <v>833.44359301153486</v>
      </c>
      <c r="L179" s="7">
        <f t="shared" si="70"/>
        <v>742.56817595506141</v>
      </c>
    </row>
    <row r="180" spans="1:12" x14ac:dyDescent="0.25">
      <c r="A180" s="6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</row>
    <row r="181" spans="1:12" x14ac:dyDescent="0.25">
      <c r="A181" s="6" t="s">
        <v>108</v>
      </c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</row>
    <row r="182" spans="1:12" x14ac:dyDescent="0.25">
      <c r="A182" s="35" t="s">
        <v>105</v>
      </c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</row>
    <row r="183" spans="1:12" ht="30" x14ac:dyDescent="0.25">
      <c r="A183" s="36" t="s">
        <v>112</v>
      </c>
      <c r="B183" s="4" t="s">
        <v>31</v>
      </c>
      <c r="C183" s="7">
        <f>-C167</f>
        <v>-64.536000000000001</v>
      </c>
      <c r="D183" s="7">
        <f t="shared" ref="D183:L183" si="71">-D167</f>
        <v>-62.42</v>
      </c>
      <c r="E183" s="7">
        <f t="shared" si="71"/>
        <v>-58.47</v>
      </c>
      <c r="F183" s="7">
        <f t="shared" si="71"/>
        <v>-54.851999999999997</v>
      </c>
      <c r="G183" s="7">
        <f t="shared" si="71"/>
        <v>-51.502000000000002</v>
      </c>
      <c r="H183" s="7">
        <f t="shared" si="71"/>
        <v>-47.963999999999999</v>
      </c>
      <c r="I183" s="7">
        <f t="shared" si="71"/>
        <v>-32.884</v>
      </c>
      <c r="J183" s="7">
        <f t="shared" si="71"/>
        <v>-30.058</v>
      </c>
      <c r="K183" s="7">
        <f t="shared" si="71"/>
        <v>-26.623999999999999</v>
      </c>
      <c r="L183" s="7">
        <f t="shared" si="71"/>
        <v>-24.632000000000001</v>
      </c>
    </row>
    <row r="184" spans="1:12" x14ac:dyDescent="0.25">
      <c r="A184" s="37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</row>
    <row r="185" spans="1:12" x14ac:dyDescent="0.25">
      <c r="A185" s="38" t="s">
        <v>115</v>
      </c>
      <c r="B185" s="4" t="s">
        <v>31</v>
      </c>
      <c r="C185" s="7">
        <f>C153</f>
        <v>64.536000000000001</v>
      </c>
      <c r="D185" s="7">
        <f t="shared" ref="D185:L185" si="72">D153</f>
        <v>62.42</v>
      </c>
      <c r="E185" s="7">
        <f t="shared" si="72"/>
        <v>58.47</v>
      </c>
      <c r="F185" s="7">
        <f t="shared" si="72"/>
        <v>54.851999999999997</v>
      </c>
      <c r="G185" s="7">
        <f t="shared" si="72"/>
        <v>51.502000000000002</v>
      </c>
      <c r="H185" s="7">
        <f t="shared" si="72"/>
        <v>47.963999999999999</v>
      </c>
      <c r="I185" s="7">
        <f t="shared" si="72"/>
        <v>32.884</v>
      </c>
      <c r="J185" s="7">
        <f t="shared" si="72"/>
        <v>30.058</v>
      </c>
      <c r="K185" s="7">
        <f t="shared" si="72"/>
        <v>26.623999999999999</v>
      </c>
      <c r="L185" s="7">
        <f t="shared" si="72"/>
        <v>24.632000000000001</v>
      </c>
    </row>
    <row r="186" spans="1:12" x14ac:dyDescent="0.25">
      <c r="A186" s="37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</row>
    <row r="187" spans="1:12" x14ac:dyDescent="0.25">
      <c r="A187" s="37" t="s">
        <v>120</v>
      </c>
      <c r="B187" s="4" t="s">
        <v>31</v>
      </c>
      <c r="C187" s="7">
        <f>C155</f>
        <v>59.120130157053296</v>
      </c>
      <c r="D187" s="7">
        <f t="shared" ref="D187:L187" si="73">D155</f>
        <v>55.088106315306106</v>
      </c>
      <c r="E187" s="7">
        <f t="shared" si="73"/>
        <v>51.047322590904052</v>
      </c>
      <c r="F187" s="7">
        <f t="shared" si="73"/>
        <v>46.441833486633463</v>
      </c>
      <c r="G187" s="7">
        <f t="shared" si="73"/>
        <v>41.760310737351638</v>
      </c>
      <c r="H187" s="7">
        <f t="shared" si="73"/>
        <v>36.672421404437102</v>
      </c>
      <c r="I187" s="7">
        <f t="shared" si="73"/>
        <v>29.560065078526648</v>
      </c>
      <c r="J187" s="7">
        <f t="shared" si="73"/>
        <v>25.523661295452026</v>
      </c>
      <c r="K187" s="7">
        <f t="shared" si="73"/>
        <v>20.880155368675819</v>
      </c>
      <c r="L187" s="7">
        <f t="shared" si="73"/>
        <v>18.336210702218551</v>
      </c>
    </row>
    <row r="188" spans="1:12" x14ac:dyDescent="0.25">
      <c r="A188" s="37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</row>
    <row r="189" spans="1:12" x14ac:dyDescent="0.25">
      <c r="A189" s="37" t="s">
        <v>116</v>
      </c>
      <c r="B189" s="4" t="s">
        <v>31</v>
      </c>
      <c r="C189" s="7">
        <f>-C173</f>
        <v>-970.60900000000004</v>
      </c>
      <c r="D189" s="7">
        <f t="shared" ref="D189:L189" si="74">-D173</f>
        <v>-947.02300000000002</v>
      </c>
      <c r="E189" s="7">
        <f t="shared" si="74"/>
        <v>-898.71900000000005</v>
      </c>
      <c r="F189" s="7">
        <f t="shared" si="74"/>
        <v>-850.21699999999998</v>
      </c>
      <c r="G189" s="7">
        <f t="shared" si="74"/>
        <v>-805.77499999999998</v>
      </c>
      <c r="H189" s="7">
        <f t="shared" si="74"/>
        <v>-737.66099999999994</v>
      </c>
      <c r="I189" s="7">
        <f t="shared" si="74"/>
        <v>-484.745</v>
      </c>
      <c r="J189" s="7">
        <f t="shared" si="74"/>
        <v>-450.89</v>
      </c>
      <c r="K189" s="7">
        <f t="shared" si="74"/>
        <v>-403.20400000000001</v>
      </c>
      <c r="L189" s="7">
        <f t="shared" si="74"/>
        <v>-360.13200000000001</v>
      </c>
    </row>
    <row r="190" spans="1:12" x14ac:dyDescent="0.25">
      <c r="A190" s="37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</row>
    <row r="191" spans="1:12" x14ac:dyDescent="0.25">
      <c r="A191" s="37" t="s">
        <v>117</v>
      </c>
      <c r="B191" s="4" t="s">
        <v>31</v>
      </c>
      <c r="C191" s="7">
        <f>C159</f>
        <v>970.60900000000004</v>
      </c>
      <c r="D191" s="7">
        <f t="shared" ref="D191:L191" si="75">D159</f>
        <v>947.02300000000002</v>
      </c>
      <c r="E191" s="7">
        <f t="shared" si="75"/>
        <v>898.71900000000005</v>
      </c>
      <c r="F191" s="7">
        <f t="shared" si="75"/>
        <v>850.21699999999998</v>
      </c>
      <c r="G191" s="7">
        <f t="shared" si="75"/>
        <v>805.77499999999998</v>
      </c>
      <c r="H191" s="7">
        <f t="shared" si="75"/>
        <v>737.66099999999994</v>
      </c>
      <c r="I191" s="7">
        <f t="shared" si="75"/>
        <v>484.745</v>
      </c>
      <c r="J191" s="7">
        <f t="shared" si="75"/>
        <v>450.89</v>
      </c>
      <c r="K191" s="7">
        <f t="shared" si="75"/>
        <v>403.20400000000001</v>
      </c>
      <c r="L191" s="7">
        <f t="shared" si="75"/>
        <v>360.13200000000001</v>
      </c>
    </row>
    <row r="192" spans="1:12" x14ac:dyDescent="0.25">
      <c r="A192" s="37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</row>
    <row r="193" spans="1:12" x14ac:dyDescent="0.25">
      <c r="A193" s="35" t="s">
        <v>118</v>
      </c>
      <c r="B193" s="4" t="s">
        <v>31</v>
      </c>
      <c r="C193" s="7">
        <f>C161-C177</f>
        <v>3606.2279812656334</v>
      </c>
      <c r="D193" s="7">
        <f t="shared" ref="D193:L193" si="76">D161-D177</f>
        <v>3407.3690684679345</v>
      </c>
      <c r="E193" s="7">
        <f t="shared" si="76"/>
        <v>3181.2067193523417</v>
      </c>
      <c r="F193" s="7">
        <f t="shared" si="76"/>
        <v>2930.084925436292</v>
      </c>
      <c r="G193" s="7">
        <f t="shared" si="76"/>
        <v>2680.279029899757</v>
      </c>
      <c r="H193" s="7">
        <f t="shared" si="76"/>
        <v>2390.0224415802768</v>
      </c>
      <c r="I193" s="7">
        <f t="shared" si="76"/>
        <v>1821.4344305305908</v>
      </c>
      <c r="J193" s="7">
        <f t="shared" si="76"/>
        <v>1609.5559951746809</v>
      </c>
      <c r="K193" s="7">
        <f t="shared" si="76"/>
        <v>1359.4148841923843</v>
      </c>
      <c r="L193" s="7">
        <f t="shared" si="76"/>
        <v>1205.1177676022057</v>
      </c>
    </row>
    <row r="194" spans="1:12" x14ac:dyDescent="0.2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</row>
    <row r="195" spans="1:12" x14ac:dyDescent="0.25">
      <c r="A195" s="4" t="s">
        <v>119</v>
      </c>
      <c r="B195" s="4" t="s">
        <v>31</v>
      </c>
      <c r="C195" s="7">
        <f>SUM(C183:C193)</f>
        <v>3665.3481114226865</v>
      </c>
      <c r="D195" s="7">
        <f t="shared" ref="D195:L195" si="77">SUM(D183:D193)</f>
        <v>3462.4571747832406</v>
      </c>
      <c r="E195" s="7">
        <f t="shared" si="77"/>
        <v>3232.2540419432457</v>
      </c>
      <c r="F195" s="7">
        <f t="shared" si="77"/>
        <v>2976.5267589229252</v>
      </c>
      <c r="G195" s="7">
        <f t="shared" si="77"/>
        <v>2722.0393406371086</v>
      </c>
      <c r="H195" s="7">
        <f t="shared" si="77"/>
        <v>2426.6948629847138</v>
      </c>
      <c r="I195" s="7">
        <f t="shared" si="77"/>
        <v>1850.9944956091174</v>
      </c>
      <c r="J195" s="7">
        <f t="shared" si="77"/>
        <v>1635.0796564701329</v>
      </c>
      <c r="K195" s="7">
        <f t="shared" si="77"/>
        <v>1380.2950395610601</v>
      </c>
      <c r="L195" s="7">
        <f t="shared" si="77"/>
        <v>1223.4539783044243</v>
      </c>
    </row>
    <row r="197" spans="1:12" x14ac:dyDescent="0.25">
      <c r="A197" s="20" t="s">
        <v>85</v>
      </c>
      <c r="B197" s="20" t="s">
        <v>15</v>
      </c>
      <c r="C197" s="24">
        <f>260*C163/2902</f>
        <v>517.06100512387445</v>
      </c>
      <c r="D197" s="24">
        <f t="shared" ref="D197:L197" si="78">260*D163/2902</f>
        <v>491.29081885687776</v>
      </c>
      <c r="E197" s="24">
        <f t="shared" si="78"/>
        <v>459.96846848769712</v>
      </c>
      <c r="F197" s="24">
        <f t="shared" si="78"/>
        <v>425.70739179328677</v>
      </c>
      <c r="G197" s="24">
        <f t="shared" si="78"/>
        <v>391.98016266188978</v>
      </c>
      <c r="H197" s="24">
        <f t="shared" si="78"/>
        <v>351.37869944186235</v>
      </c>
      <c r="I197" s="24">
        <f t="shared" si="78"/>
        <v>260.66428996044954</v>
      </c>
      <c r="J197" s="24">
        <f t="shared" si="78"/>
        <v>232.39727498692093</v>
      </c>
      <c r="K197" s="24">
        <f t="shared" si="78"/>
        <v>198.33633510298921</v>
      </c>
      <c r="L197" s="24">
        <f t="shared" si="78"/>
        <v>176.14257756976781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 Carbon Capture</vt:lpstr>
      <vt:lpstr>Max Power</vt:lpstr>
      <vt:lpstr>Max DAC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Howard Hendrix</dc:creator>
  <cp:lastModifiedBy>Howard Hendrix</cp:lastModifiedBy>
  <dcterms:created xsi:type="dcterms:W3CDTF">2021-10-13T17:40:07Z</dcterms:created>
  <dcterms:modified xsi:type="dcterms:W3CDTF">2021-12-15T23:09:42Z</dcterms:modified>
</cp:coreProperties>
</file>