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20" tabRatio="745" activeTab="5"/>
  </bookViews>
  <sheets>
    <sheet name="0 - France" sheetId="29" r:id="rId1"/>
    <sheet name="1 - Italy" sheetId="2" r:id="rId2"/>
    <sheet name="2 -US - OLD" sheetId="3" r:id="rId3"/>
    <sheet name="3 -TR OLD" sheetId="4" r:id="rId4"/>
    <sheet name=" 4 - BE" sheetId="5" r:id="rId5"/>
    <sheet name="5 - LON" sheetId="6" r:id="rId6"/>
    <sheet name="6 - Dubai" sheetId="7" r:id="rId7"/>
    <sheet name="7 - Singapore" sheetId="8" r:id="rId8"/>
    <sheet name="8 - Egypt" sheetId="9" r:id="rId9"/>
    <sheet name="9 - Saudi Arabia" sheetId="10" r:id="rId10"/>
    <sheet name="10 -DE" sheetId="11" r:id="rId11"/>
    <sheet name="11-FI" sheetId="12" r:id="rId12"/>
    <sheet name="12 - Korea (empty)" sheetId="13" r:id="rId13"/>
    <sheet name="13 - Austria" sheetId="14" r:id="rId14"/>
    <sheet name="14 - Netherlands" sheetId="15" r:id="rId15"/>
    <sheet name="15 - Australia (Sydney)" sheetId="16" r:id="rId16"/>
    <sheet name="16 - Denmark" sheetId="17" r:id="rId17"/>
    <sheet name="17 - Ukraine" sheetId="18" r:id="rId18"/>
    <sheet name="18 - Turkey" sheetId="19" r:id="rId19"/>
    <sheet name="19 - USA Boston" sheetId="30" r:id="rId20"/>
    <sheet name="20 - morocco" sheetId="21" r:id="rId21"/>
    <sheet name="21 - Jordan" sheetId="22" r:id="rId22"/>
    <sheet name="22 - Luxembourg" sheetId="23" r:id="rId23"/>
    <sheet name="23 - Australia (Melbourne)" sheetId="24" r:id="rId24"/>
    <sheet name="24 - Portugal" sheetId="25" r:id="rId25"/>
    <sheet name="25 - South Africa" sheetId="31" r:id="rId26"/>
    <sheet name="26 - ABN Amro" sheetId="32" r:id="rId27"/>
    <sheet name="27 - Hong Kong" sheetId="33" r:id="rId28"/>
    <sheet name="orig - IT" sheetId="26" r:id="rId29"/>
    <sheet name="Export Summary" sheetId="27" r:id="rId30"/>
    <sheet name="Dan France" sheetId="1" r:id="rId31"/>
    <sheet name=" USA New York" sheetId="20" r:id="rId32"/>
  </sheets>
  <calcPr calcId="144525" concurrentCalc="0"/>
</workbook>
</file>

<file path=xl/sharedStrings.xml><?xml version="1.0" encoding="utf-8"?>
<sst xmlns="http://schemas.openxmlformats.org/spreadsheetml/2006/main" count="8738">
  <si>
    <t>Counterparties</t>
  </si>
  <si>
    <t>France</t>
  </si>
  <si>
    <t>Typical value in local currency</t>
  </si>
  <si>
    <t>type - Should be unique e.g. shopping_1</t>
  </si>
  <si>
    <t>counterparty_name</t>
  </si>
  <si>
    <t>example_reference</t>
  </si>
  <si>
    <t>typical_value</t>
  </si>
  <si>
    <t>typical_frequency (DAILY,MONTHLY, YEARLY)</t>
  </si>
  <si>
    <t>counterparty_logo</t>
  </si>
  <si>
    <t>counterparty_homepage</t>
  </si>
  <si>
    <t>Airline_1</t>
  </si>
  <si>
    <t>Air France</t>
  </si>
  <si>
    <t>Airline</t>
  </si>
  <si>
    <t>http://cms.travelstart.com/uploads/image/asset/2656/air-france-logo.jpg</t>
  </si>
  <si>
    <t>http://www.airfrance.fr/cgi-bin/AF/FR/en/common/home/home/HomePageAction.do</t>
  </si>
  <si>
    <t>Airline_2</t>
  </si>
  <si>
    <t>Easyjet</t>
  </si>
  <si>
    <t>https://autobahn13.files.wordpress.com/1300/04/easyjet-com.jpg</t>
  </si>
  <si>
    <t>Airport Services_1</t>
  </si>
  <si>
    <t>Paris Aeroport Charles de Gaulle</t>
  </si>
  <si>
    <t>Airport Facilities</t>
  </si>
  <si>
    <t>Yearly</t>
  </si>
  <si>
    <t>http://www.parisaeroport.fr/images/default-source/logos-adp/logo_adp.png?sfvrsn=702f08bd_30</t>
  </si>
  <si>
    <t>http://www.parisaeroport.fr</t>
  </si>
  <si>
    <t>Attraction_1</t>
  </si>
  <si>
    <t>Toureiffel Paris</t>
  </si>
  <si>
    <t>Paris arttraction</t>
  </si>
  <si>
    <t>http://bienvenue.paris/wp-content/uploads/2014/06/Tour-Eiffel-illumin%C3%A9e-02-%C2%A9-Pierre-Nicou-SETE-1024x680.jpg</t>
  </si>
  <si>
    <t>http://www.toureiffel.paris/fr.html</t>
  </si>
  <si>
    <t>Bar_1</t>
  </si>
  <si>
    <t>Bar 228</t>
  </si>
  <si>
    <t>Bar</t>
  </si>
  <si>
    <t>weekly</t>
  </si>
  <si>
    <t>https://assets.worldsbestbars.com/bar_425_320/Bar%20228%20small%201_54ae7893cf871.jpg</t>
  </si>
  <si>
    <t>https://www.dorchestercollection.com/fr/paris/le-meurice/restaurant-bars/bar-228/</t>
  </si>
  <si>
    <t>Bar_2</t>
  </si>
  <si>
    <t>Sherry Butt</t>
  </si>
  <si>
    <t>Monthly</t>
  </si>
  <si>
    <t>https://igx.4sqi.net/img/general/600x600/46986560_zqj8mENB4voUAVEQbyRu3J_DrhvOhRKXCjyin3yG0ok.jpg</t>
  </si>
  <si>
    <t>http://www.sherrybuttparis.com</t>
  </si>
  <si>
    <t>Booking.com_1</t>
  </si>
  <si>
    <t>Booking.com</t>
  </si>
  <si>
    <t>http://www.logoeps.net/wp-content/uploads/2013/06/booking-com-logo.jpg</t>
  </si>
  <si>
    <t>http://www.booking.com/</t>
  </si>
  <si>
    <t>Car Service_1</t>
  </si>
  <si>
    <t>Mon service Mercedes Benz</t>
  </si>
  <si>
    <t>Car Servicing</t>
  </si>
  <si>
    <t>http://enginegroup.co.uk/assets/images/691_mercedes-grid.jpg</t>
  </si>
  <si>
    <t>http://www.mercedes-benz.fr/content/france/mpc/mpc_france_website/fr/home_mpc/passengercars.html</t>
  </si>
  <si>
    <t>Charity_1</t>
  </si>
  <si>
    <t>SOS Villages</t>
  </si>
  <si>
    <t>Elder People Charity</t>
  </si>
  <si>
    <t>http://www.donenconfiance.org/offres/image_inline_src/759/Alb_1596_800_759_imgO_030216_163332.JPG</t>
  </si>
  <si>
    <t>https://www.sosve.org</t>
  </si>
  <si>
    <t>Charity_2</t>
  </si>
  <si>
    <t>Vision Du Monde</t>
  </si>
  <si>
    <t>humanitarian Charity</t>
  </si>
  <si>
    <t>https://upload.wikimedia.org/wikipedia/commons/8/8b/Logo_Vision_du_Monde_officiel.jpg</t>
  </si>
  <si>
    <t>http://www.visiondumonde.fr/</t>
  </si>
  <si>
    <t>Cinema_1</t>
  </si>
  <si>
    <t>Grand Rex</t>
  </si>
  <si>
    <t>Cinema</t>
  </si>
  <si>
    <t>http://www.pifff.fr/2015/images_nav/LOGO_GRAND_REX.jpg</t>
  </si>
  <si>
    <t>http://www.legrandrex.com</t>
  </si>
  <si>
    <t>Coffee_1</t>
  </si>
  <si>
    <t>KB Coffee Shop</t>
  </si>
  <si>
    <t>Coffee</t>
  </si>
  <si>
    <t>https://iseekcoffee.files.wordpress.com/2014/02/p1220731.jpeg?w=611&amp;h=458&amp;crop=1</t>
  </si>
  <si>
    <t>http://www.kbcafeshop.com</t>
  </si>
  <si>
    <t>Coffee_2</t>
  </si>
  <si>
    <t>Ten Belles</t>
  </si>
  <si>
    <t>Fortnightly</t>
  </si>
  <si>
    <t>https://s-media-cache-ak0.pinimg.com/736x/33/c4/25/33c4256a62fedec1dafe6bf83ab086ae.jpg</t>
  </si>
  <si>
    <t>http://www.tenbelles.com</t>
  </si>
  <si>
    <t>Comercial door Suppilers_1</t>
  </si>
  <si>
    <t>Alibaba</t>
  </si>
  <si>
    <t>Commercial/Industrial Doors</t>
  </si>
  <si>
    <t>http://docs.alibabagroup.com/assets2/images/en/news/library_logos_alibaba_large.png</t>
  </si>
  <si>
    <t>https://www.alibaba.com/showroom/commercial-french-doors.html</t>
  </si>
  <si>
    <t>Council Tax_1</t>
  </si>
  <si>
    <t>Service Public</t>
  </si>
  <si>
    <t>Council Tax</t>
  </si>
  <si>
    <t>http://www.guillauma-pesme-avocats.com/medias/shared/logo-service-public.jpg</t>
  </si>
  <si>
    <t>https://www.service-public.fr/particuliers/vosdroits/F42</t>
  </si>
  <si>
    <t>Dental Clinic_1</t>
  </si>
  <si>
    <t>Bauer Patrick Chirurgiens Dentistes</t>
  </si>
  <si>
    <t>Dentist</t>
  </si>
  <si>
    <t>http://dr-bauer-patrick.chirurgiens-dentistes.fr/Images/iload/Presentation/b0aec269-5de3-43bd-b411-212bdcaee4a1/6_Diaporama.jpg</t>
  </si>
  <si>
    <t>http://dr-bauer-patrick.chirurgiens-dentistes.fr/</t>
  </si>
  <si>
    <t>Estate Agent_1</t>
  </si>
  <si>
    <t>Vingt Paris</t>
  </si>
  <si>
    <t>Estate Agent</t>
  </si>
  <si>
    <t>https://vingtparis.com/wp-content/themes/honeypot/library/images/vingt-paris-logo.jpg</t>
  </si>
  <si>
    <t>https://vingtparis.com</t>
  </si>
  <si>
    <t>Filling Station_1</t>
  </si>
  <si>
    <t>TOTAL</t>
  </si>
  <si>
    <t>Gas</t>
  </si>
  <si>
    <t>WEEKLY</t>
  </si>
  <si>
    <t>http://logok.org/wp-content/uploads/2014/05/Total-logo-1024x768.png</t>
  </si>
  <si>
    <t>Filling Station_2</t>
  </si>
  <si>
    <t>SHELL</t>
  </si>
  <si>
    <t>http://upload.wikimedia.org/wikipedia/en/thumb/e/e8/Shell_logo.svg/1105px-Shell_logo.svg.png</t>
  </si>
  <si>
    <t>Flights_1</t>
  </si>
  <si>
    <t>Sky Scanner</t>
  </si>
  <si>
    <t>Flight Finder</t>
  </si>
  <si>
    <t>http://www.fly-scanner.com/fr/?gclid=CNfL1MT2hc0CFawy0wodBSUC_w</t>
  </si>
  <si>
    <t>https://www.skyscanner.fr/</t>
  </si>
  <si>
    <t>Flights_2</t>
  </si>
  <si>
    <t>Flights</t>
  </si>
  <si>
    <t>https://upload.wikimedia.org/wikipedia/commons/thumb/1/1b/EasyJet_logo.svg/2000px-EasyJet_logo.svg.png</t>
  </si>
  <si>
    <t>Freight Services_1</t>
  </si>
  <si>
    <t>Euro Tunnel Freight</t>
  </si>
  <si>
    <t>Freight Services</t>
  </si>
  <si>
    <t>https://upload.wikimedia.org/wikipedia/en/thumb/f/fd/Eurotunnel.svg/1200px-Eurotunnel.svg.png</t>
  </si>
  <si>
    <t>http://www.eurotunnelfreight.com/fr/home/</t>
  </si>
  <si>
    <t>Groceries/Supermaket_2</t>
  </si>
  <si>
    <t>Franprix</t>
  </si>
  <si>
    <t>Supermarket</t>
  </si>
  <si>
    <t>http://www.bastienfiguie.com/wp-content/uploads/2015/05/FRANPRIX-LOGO-VERTICAL_detoure_HD.png</t>
  </si>
  <si>
    <t>http://www.franprix.fr/</t>
  </si>
  <si>
    <t>Groceries/Supermaket_5</t>
  </si>
  <si>
    <t>Carrefour</t>
  </si>
  <si>
    <t>http://logok.org/wp-content/uploads/2014/05/Carrefour-c-logo-880x660.png</t>
  </si>
  <si>
    <t>Groceries/Supermaket_6</t>
  </si>
  <si>
    <t>Dia</t>
  </si>
  <si>
    <t>http://3.bp.blogspot.com/-Qi-hXbr1wKM/UfgRPiuVtUI/AAAAAAAAASA/V6ZFfLphbNQ/s1600/Logo_Dia.jpg</t>
  </si>
  <si>
    <t>http://www.dia.fr/trouver-un-magasin/detail-de-magasin/magasin/dia-paris-jumin/</t>
  </si>
  <si>
    <t>Groceries/Supermarket_1</t>
  </si>
  <si>
    <t>Picard</t>
  </si>
  <si>
    <t>http://media.paperblog.fr/i/358/3583744/picard-distributeur-prefere-francais-L-1.png</t>
  </si>
  <si>
    <t>http://www.picard.fr/</t>
  </si>
  <si>
    <t>Groceries/Supermarket_3</t>
  </si>
  <si>
    <t>G20</t>
  </si>
  <si>
    <t>https://upload.wikimedia.org/wikipedia/fr/9/90/Supermarch%C3%A9s_G20_logo_2011.png</t>
  </si>
  <si>
    <t>http://www.supermarchesg20.com/</t>
  </si>
  <si>
    <t>Groceries/Supermarket_4</t>
  </si>
  <si>
    <t>Monoprix</t>
  </si>
  <si>
    <t>https://upload.wikimedia.org/wikipedia/commons/thumb/0/0a/Monoprix_logo.svg/2000px-Monoprix_logo.svg.png</t>
  </si>
  <si>
    <t>https://www.monoprix.fr/</t>
  </si>
  <si>
    <t>Gym_1</t>
  </si>
  <si>
    <t>Gym Louvre</t>
  </si>
  <si>
    <t>Gym</t>
  </si>
  <si>
    <t>http://www.inderwear.com/img/cms/gym-louvre-paris-logo-r.jpg</t>
  </si>
  <si>
    <t>http://www.gymlouvre.com/index.php</t>
  </si>
  <si>
    <t>Industiral Process Company_1</t>
  </si>
  <si>
    <t>Siemens</t>
  </si>
  <si>
    <t>Industrial Processing Company</t>
  </si>
  <si>
    <t>https://dddhl3vz19llg.cloudfront.net/siemensglobal_1.0.46_master/assets/siemens-og-logo.png</t>
  </si>
  <si>
    <t>https://www.siemens.com/fr/fr/home.html</t>
  </si>
  <si>
    <t>Industrial Glass and Machinery_1</t>
  </si>
  <si>
    <t>Atlantic Machinery</t>
  </si>
  <si>
    <t>Industrial Glass and Machinery</t>
  </si>
  <si>
    <t>https://upload.wikimedia.org/wikipedia/commons/thumb/3/37/Schott_AG_logo.svg/2000px-Schott_AG_logo.svg.png</t>
  </si>
  <si>
    <t>http://www.schott.com/innovation/en/?WTS=1&amp;WTC=schott_uk_google_innovationen_milestone-supplier_search_87518392686__1t1_c_b_glass%20manufacturing%20company</t>
  </si>
  <si>
    <t>Insurance_1</t>
  </si>
  <si>
    <t>Zurich</t>
  </si>
  <si>
    <t>Insurance</t>
  </si>
  <si>
    <t>https://www.zurichintermediary.co.uk/_/media/dbe/shared-global/default-logos/zurichlogo.png?h=189&amp;la=en&amp;w=309&amp;hash=8752BEC6884A8870AAEF0D22E2C72F4CD4D0F91E</t>
  </si>
  <si>
    <t>https://www.zurich.fr</t>
  </si>
  <si>
    <t>IT Company_1</t>
  </si>
  <si>
    <t>Processia</t>
  </si>
  <si>
    <t>IT Copmany</t>
  </si>
  <si>
    <t>http://www.processia.com/sites/default/files/logo-processia-2014-2.png</t>
  </si>
  <si>
    <t>http://www.processia.com/fr</t>
  </si>
  <si>
    <t>Manufacturing/Property/Investment_1</t>
  </si>
  <si>
    <t>Icade</t>
  </si>
  <si>
    <t>Commerical Property Investment</t>
  </si>
  <si>
    <t>http://www.icade.fr/extension/ezcade/design/ezcade2017/images/logo.png</t>
  </si>
  <si>
    <t>http://www.icade.fr/activites/operateur-immobilier-integre-acteur-majeur-grand-paris-metropoles-regionales/fonciere-bureaux-ile-france-socle-fonciere-tertiaire-icade</t>
  </si>
  <si>
    <t>Mobile_1</t>
  </si>
  <si>
    <t>Orange Mobile</t>
  </si>
  <si>
    <t>Mobile</t>
  </si>
  <si>
    <t>http://agence.orange.fr/templates/orange/template-responsive/versions/2465/images/logo-print.png</t>
  </si>
  <si>
    <t>http://agence.orange.fr/?gclid=CMT7j9T0hc0CFawy0wodBSUC_w</t>
  </si>
  <si>
    <t>Mobile_2</t>
  </si>
  <si>
    <t>Free</t>
  </si>
  <si>
    <t>http://www.free.fr/freebox/im/logo_free.png</t>
  </si>
  <si>
    <t>http://www.free.fr/freebox/index.html</t>
  </si>
  <si>
    <t>Monthly Membership_1</t>
  </si>
  <si>
    <t>Open Golf Club</t>
  </si>
  <si>
    <t>Golf</t>
  </si>
  <si>
    <t>https://is5-ssl.mzstatic.com/image/thumb/Purple71/v4/4c/02/0c/4c020cae-096d-eff3-c801-b696046ef45c/source/512x512bb.jpg</t>
  </si>
  <si>
    <t>http://www.opengolfclub.com/fr/home</t>
  </si>
  <si>
    <t>Monthly Membership_2</t>
  </si>
  <si>
    <t>Netflix</t>
  </si>
  <si>
    <t>Monthly Membership</t>
  </si>
  <si>
    <t>http://static6.businessinsider.com/image/539aedc269beddc243d29c52-800-371/netflix_web_logo.png</t>
  </si>
  <si>
    <t>https://www.netflix.com</t>
  </si>
  <si>
    <t>Mortgage_1</t>
  </si>
  <si>
    <t>ING Mortgage</t>
  </si>
  <si>
    <t>Mortgage</t>
  </si>
  <si>
    <t>https://upload.wikimedia.org/wikipedia/commons/thumb/4/4b/ING_logo.png/640px-ING_logo.png</t>
  </si>
  <si>
    <t>http://www.ing.com/</t>
  </si>
  <si>
    <t>Office Suppliers_1</t>
  </si>
  <si>
    <t>Office Depot</t>
  </si>
  <si>
    <t>Office Suppliers</t>
  </si>
  <si>
    <t>https://storage.googleapis.com/wizville-public-eu/uploads/theme/logo/613/OD-ROUGE-2lignes.png</t>
  </si>
  <si>
    <t>http://magasins.officedepot.fr/11040-office-depot-paris-11eme-richard-lenoir</t>
  </si>
  <si>
    <t>Opticitan_1</t>
  </si>
  <si>
    <t>Meyrowitz</t>
  </si>
  <si>
    <t>Opticitan</t>
  </si>
  <si>
    <t>http://www.meyrowitz.com/en/wp-content/uploads/2014/02/Opticiens-lunettes-luxe-meyrowitz-Logo.png</t>
  </si>
  <si>
    <t>http://www.meyrowitz.com/</t>
  </si>
  <si>
    <t>Opticitan_2</t>
  </si>
  <si>
    <t>Grand Optical</t>
  </si>
  <si>
    <t>http://opticien.grandoptical.com/le-blog/wp-content/uploads/2016/05/BLOC_MARQUE_GRANDOPNOUVELLE-TYPO.png</t>
  </si>
  <si>
    <t>https://www.grandoptical.com</t>
  </si>
  <si>
    <t>Parking_1</t>
  </si>
  <si>
    <t>Q Park</t>
  </si>
  <si>
    <t>Parking</t>
  </si>
  <si>
    <t>https://media.licdn.com/mpr/mpr/shrink_200_200/AAEAAQAAAAAAAAV8AAAAJGZmNjdlMjFmLTQ2NWYtNGNhMi1iNmQxLTVjZTdmY2IzYzA0MA.png</t>
  </si>
  <si>
    <t>https://www.q-park-resa.fr/fr/parking/paris/Louvre.html?utm_source=googlemaps&amp;utm_medium=googlemaps&amp;utm_campaign=localsearchparkingparislouvre</t>
  </si>
  <si>
    <t>Pharmacy_1</t>
  </si>
  <si>
    <t>Pharmacie-Mairie-Paris</t>
  </si>
  <si>
    <t>Pharmacy</t>
  </si>
  <si>
    <t>https://s3-media1.fl.yelpcdn.com/bphoto/nSEe_gBreU8ianT_CmTIog/ls.jpg</t>
  </si>
  <si>
    <t>http://pharmacie-mairie-paris.com/</t>
  </si>
  <si>
    <t>Pipeline suppilers_1</t>
  </si>
  <si>
    <t>Eupec Pipecoatings</t>
  </si>
  <si>
    <t>Pipeline Suppilers</t>
  </si>
  <si>
    <t>https://media.licdn.com/mpr/mpr/shrink_200_200/AAEAAQAAAAAAAAQ3AAAAJGYzNDc2ODFjLTBkZTUtNDFiYy1iYzI4LWZmOGZiMTc0Yjc0YQ.png</t>
  </si>
  <si>
    <t>http://www.eupec-pipecoatings.com</t>
  </si>
  <si>
    <t>Repair and Maintenance_1</t>
  </si>
  <si>
    <t>Hargiselectric</t>
  </si>
  <si>
    <t>Electrical</t>
  </si>
  <si>
    <t>http://www.hargiselectric.com/images/logo.png</t>
  </si>
  <si>
    <t>http://www.hargiselectric.com/</t>
  </si>
  <si>
    <t>Repair and Maintence_2</t>
  </si>
  <si>
    <t>Mr BRICOLAGE</t>
  </si>
  <si>
    <t>Electronic</t>
  </si>
  <si>
    <t>http://upload.wikimedia.org/wikipedia/commons/f/f8/Mr_Bricolage_logo.png</t>
  </si>
  <si>
    <t>Repair/Maintenance_3</t>
  </si>
  <si>
    <t>BRICORAMA</t>
  </si>
  <si>
    <t>http://upload.wikimedia.org/wikipedia/fr/archive/7/7b/20140406203047!Logo_Bricorama.png</t>
  </si>
  <si>
    <t>Restaurant_1</t>
  </si>
  <si>
    <t>Le Cinq</t>
  </si>
  <si>
    <t>Restaurant</t>
  </si>
  <si>
    <t>http://www.restaurant-lecinq.com/wp-content/themes/lecinq/img/logo.png</t>
  </si>
  <si>
    <t>http://www.restaurant-lecinq.com</t>
  </si>
  <si>
    <t>Restaurant_10</t>
  </si>
  <si>
    <t>Paris Picnic</t>
  </si>
  <si>
    <t>http://inspirelle.com/wp-content/uploads/2017/01/ParisPicnic_WEB.jpg</t>
  </si>
  <si>
    <t>https://www.parispicnic.com/choose-your-basket</t>
  </si>
  <si>
    <t>Restaurant_11</t>
  </si>
  <si>
    <t>Fromagerie Danard</t>
  </si>
  <si>
    <t>Weekly</t>
  </si>
  <si>
    <t>https://fromagerie-danard.com/sites/all/themes/fromageriedanard_200/logo.png</t>
  </si>
  <si>
    <t>https://www.fromagerie-danard.com</t>
  </si>
  <si>
    <t>Restaurant_12</t>
  </si>
  <si>
    <t>La Bonne Excuse</t>
  </si>
  <si>
    <t>http://www.distilleurs.fr/wp-content/uploads/2016/07/logo-la-bonne-excuse.jpg</t>
  </si>
  <si>
    <t>http://www.restaurantlerestaurantparis.com/index,no_page,1,code_ISO_langue,fr.html</t>
  </si>
  <si>
    <t>Restaurant_2</t>
  </si>
  <si>
    <t>Il Farniente</t>
  </si>
  <si>
    <t>http://ilfarniente.com/wp-content/uploads/2012/11/logo_il_farniente3-300x107.png</t>
  </si>
  <si>
    <t>http://ilfarniente.com</t>
  </si>
  <si>
    <t>Restaurant_3</t>
  </si>
  <si>
    <t>Breizh Café</t>
  </si>
  <si>
    <t>http://breizhcafe.com/wp-content/uploads/2016/02/equipe-creperie-de-saint-malo-le-comptoir-breizh-cafe.jpg</t>
  </si>
  <si>
    <t>http://breizhcafe.com/fr/</t>
  </si>
  <si>
    <t>Restaurant_4</t>
  </si>
  <si>
    <t>Burger King</t>
  </si>
  <si>
    <t>Quartley</t>
  </si>
  <si>
    <t>http://vignette4.wikia.nocookie.net/logopedia/images/2/2a/Burger_King.png/revision/latest?cb=20150719154954</t>
  </si>
  <si>
    <t>https://www.burgerking.fr/restaurants/q/paris-st-lazare</t>
  </si>
  <si>
    <t>Restaurant_5</t>
  </si>
  <si>
    <t>Babalou</t>
  </si>
  <si>
    <t>https://media-cdn.tripadvisor.com/media/photo-s/05/d2/ba/5a/un-buen-almuerzo.jpg</t>
  </si>
  <si>
    <t>http://restaurantbabalou.fr/en</t>
  </si>
  <si>
    <t>Restaurant_6</t>
  </si>
  <si>
    <t>Pizza Hut</t>
  </si>
  <si>
    <t>http://vignette1.wikia.nocookie.net/logopedia/images/6/63/Pizza_Hut_2012_logo.png/revision/latest?cb=20140507122847</t>
  </si>
  <si>
    <t>http://restaurant.pizzahut.fr/#&amp;panel1-1</t>
  </si>
  <si>
    <t>Restaurant_7</t>
  </si>
  <si>
    <t>Mcdonalds</t>
  </si>
  <si>
    <t>https://upload.wikimedia.org/wikipedia/commons/thumb/a/a9/Mcdonalds-90s-logo.svg/2000px-Mcdonalds-90s-logo.svg.png</t>
  </si>
  <si>
    <t>https://www.mcdonalds.fr</t>
  </si>
  <si>
    <t>Restaurant_8</t>
  </si>
  <si>
    <t>Allo Pizza Express</t>
  </si>
  <si>
    <t>http://www.allopizzaexpress.com/icon/logo.jpg</t>
  </si>
  <si>
    <t>http://www.allopizzaexpress.com</t>
  </si>
  <si>
    <t>Restaurant_9</t>
  </si>
  <si>
    <t>Mipi Pizza</t>
  </si>
  <si>
    <t>http://mipi.pizza/images/mipi-mini-pizza-napoli-paris-reminiscence-mark-png8.png</t>
  </si>
  <si>
    <t>http://mipi.pizza</t>
  </si>
  <si>
    <t>Road Tax_1</t>
  </si>
  <si>
    <t>Road Tax</t>
  </si>
  <si>
    <t>https://www.service-public.fr/particuliers/vosdroits/F19211</t>
  </si>
  <si>
    <t>Savings_1</t>
  </si>
  <si>
    <t>RBS Savings</t>
  </si>
  <si>
    <t>Savings</t>
  </si>
  <si>
    <t>http://www.bschamber.org/wp-content/uploads/2016/04/hsbc-logo.jpg</t>
  </si>
  <si>
    <t>https://www.hsbc.fr/1/2/hsbc-france/particuliers</t>
  </si>
  <si>
    <t>Savings_2</t>
  </si>
  <si>
    <t>BNP Paribas</t>
  </si>
  <si>
    <t>https://upload.wikimedia.org/wikipedia/en/thumb/6/6a/BNP_Paribas.svg/1024px-BNP_Paribas.svg.png</t>
  </si>
  <si>
    <t>https://mabanqueprivee.bnpparibas</t>
  </si>
  <si>
    <t>School_1</t>
  </si>
  <si>
    <t>International School Paris</t>
  </si>
  <si>
    <t>Scholl Fees</t>
  </si>
  <si>
    <t>http://www.isparis.edu/uploaded/Documents/logos/ISPplus_Logo_tag_web-rvb-whitebgrnd.jpg</t>
  </si>
  <si>
    <t>http://www.isparis.edu/</t>
  </si>
  <si>
    <t>Shipping Company_1</t>
  </si>
  <si>
    <t>Seven Seas Worldwide</t>
  </si>
  <si>
    <t>Shipping Company</t>
  </si>
  <si>
    <t>http://www.sevenseasworldwide.com/ssw-shipping-logo.png</t>
  </si>
  <si>
    <t>http://www.sevenseasworldwide.com</t>
  </si>
  <si>
    <t>Shopping/Accessories_29</t>
  </si>
  <si>
    <t>Accessorize</t>
  </si>
  <si>
    <t>Accessories</t>
  </si>
  <si>
    <t>Quarterly</t>
  </si>
  <si>
    <t>http://www.discountspout.com/images/stores/accessorize-us.png</t>
  </si>
  <si>
    <t>http://fr.accessorize.com/?countrycheck=true&amp;languageCode=fr</t>
  </si>
  <si>
    <t>Shopping/Accessories_30</t>
  </si>
  <si>
    <t>Disney Store</t>
  </si>
  <si>
    <t>Shopping</t>
  </si>
  <si>
    <t>https://cdn-ssl.img.disneystore.com/content/ds/skyway/global/ds_logo_stacked.png</t>
  </si>
  <si>
    <t>Shopping/baby Shop_16</t>
  </si>
  <si>
    <t>BEBE 9</t>
  </si>
  <si>
    <t>Baby Shop</t>
  </si>
  <si>
    <t>http://www.bloc.com/images_administrables/bibliotheque/petite/logo-bebe9-magasin.jpg</t>
  </si>
  <si>
    <t>Shopping/Book Store Online_34</t>
  </si>
  <si>
    <t>Abbey Bookshop</t>
  </si>
  <si>
    <t>https://abbeybookshop.files.wordpress.com/2009/06/abbey-bookshop.jpg?w=240</t>
  </si>
  <si>
    <t>https://abbeybookshop.wordpress.com/about/</t>
  </si>
  <si>
    <t>Shopping/Chocolste Shop_33</t>
  </si>
  <si>
    <t>Chocolateroux</t>
  </si>
  <si>
    <t>Chocolate Shop</t>
  </si>
  <si>
    <t>http://www.chocolatleroux.com/img/cms/newsletter/mai_2015/newsl_MAI2015_logo.jpg</t>
  </si>
  <si>
    <t>http://www.chocolatleroux.eu/</t>
  </si>
  <si>
    <t>Shopping/Clothing_10</t>
  </si>
  <si>
    <t>Topman</t>
  </si>
  <si>
    <t>https://ncgrussell.files.wordpress.com/2015/02/topman-logo.jpg</t>
  </si>
  <si>
    <t>http://fr.topman.com/?geoip=home</t>
  </si>
  <si>
    <t>Shopping/Clothing_11</t>
  </si>
  <si>
    <t>Topshop</t>
  </si>
  <si>
    <t>http://intu.co.uk/uploads/media/logo_retailer/0001/06/thumb_5157_logo_retailer_1x.pn</t>
  </si>
  <si>
    <t>http://fr.topshop.com/?geoip=home</t>
  </si>
  <si>
    <t>Shopping/Clothing_12</t>
  </si>
  <si>
    <t>All Saints</t>
  </si>
  <si>
    <t>http://uk.queryclick.com/static/images/logos/allsaints.png</t>
  </si>
  <si>
    <t>https://fr.allsaints.com</t>
  </si>
  <si>
    <t>Shopping/Clothing_8</t>
  </si>
  <si>
    <t>New Look</t>
  </si>
  <si>
    <t>http://www.fashioncapital.co.uk/images/newlook-logo.png</t>
  </si>
  <si>
    <t>http://www.newlook.com/fr/womens</t>
  </si>
  <si>
    <t>Shopping/Clothing_9</t>
  </si>
  <si>
    <t>Zara</t>
  </si>
  <si>
    <t>http://fashionweek.com/wp-content/uploads/2015/03/zara.jpg</t>
  </si>
  <si>
    <t>https://www.zara.com/fr/</t>
  </si>
  <si>
    <t>shopping/Cosmetic_13</t>
  </si>
  <si>
    <t>The Body Shop</t>
  </si>
  <si>
    <t>http://www.thebigidea.co.uk/wp-content/uploads/2015/09/The-Body-Shop.png</t>
  </si>
  <si>
    <t>https://www.thebodyshop.com/fr-fr/</t>
  </si>
  <si>
    <t>Shopping/Cosmetic_14</t>
  </si>
  <si>
    <t>Mac</t>
  </si>
  <si>
    <t>Makeup</t>
  </si>
  <si>
    <t>http://www.mehnazkhan.com/wp-content/uploads/2013/07/MAC-cosmetics-logo.jpg</t>
  </si>
  <si>
    <t>http://www.maccosmetics.fr</t>
  </si>
  <si>
    <t>shopping/Cosmetic_15</t>
  </si>
  <si>
    <t>Boots</t>
  </si>
  <si>
    <t>Cosmetics</t>
  </si>
  <si>
    <t>http://www.dior.com/couture/minisite/dior-homme/StrangerInARoom/Previews/logo_dior.jpg</t>
  </si>
  <si>
    <t>http://www.dior.com/home/fr_fr</t>
  </si>
  <si>
    <t>Shopping/Department Store Online_1</t>
  </si>
  <si>
    <t>Ebay</t>
  </si>
  <si>
    <t>Department Store Online</t>
  </si>
  <si>
    <t>https://upload.wikimedia.org/wikipedia/commons/4/48/EBay_logo.png</t>
  </si>
  <si>
    <t>Shopping/Department Store Online_2</t>
  </si>
  <si>
    <t>Amazon</t>
  </si>
  <si>
    <t>http://img1.wikia.nocookie.net/__cb20100929014950/logopedia/images/c/cd/500px-Amazon_com_logo_svg.png</t>
  </si>
  <si>
    <t>Shopping/Department Store_3</t>
  </si>
  <si>
    <t>Next</t>
  </si>
  <si>
    <t>Department Store</t>
  </si>
  <si>
    <t>http://www.nextplc.co.uk/~/media/Images/N/Next-PLC/Image%20Library/company-images/logos/download/Next-Thin-Master-Logo-2014-Reversed.jpg</t>
  </si>
  <si>
    <t>Shopping/Department Store_4</t>
  </si>
  <si>
    <t>Le Bon Marche</t>
  </si>
  <si>
    <t>http://myfonts-wtf.s3.amazonaws.com/65/65b5c6d50dbe17868b7ca6990f4890e1.73208.png</t>
  </si>
  <si>
    <t>http://www.lebonmarche.com/</t>
  </si>
  <si>
    <t>Shopping/Department Store_5</t>
  </si>
  <si>
    <t>Printemps</t>
  </si>
  <si>
    <t>http://www.printemps.com/medias/sys_master/images/images/h95/he4/8804484579358/logo.png</t>
  </si>
  <si>
    <t>http://www.printemps.com/</t>
  </si>
  <si>
    <t>Shopping/Department Store_6</t>
  </si>
  <si>
    <t>Galeries Lafayette Haussmann</t>
  </si>
  <si>
    <t>http://static.galerieslafayette.com/media/endeca2/header/logo-galeries-lafayette-16092015.png</t>
  </si>
  <si>
    <t>http://haussmann.galerieslafayette.com/</t>
  </si>
  <si>
    <t>Shopping/Department Store_7</t>
  </si>
  <si>
    <t>Debenhams</t>
  </si>
  <si>
    <t>http://www.simplyharrogate.com/_images_features/66_0.jpg</t>
  </si>
  <si>
    <t>http://www.debenhams.com/en-fr</t>
  </si>
  <si>
    <t>Shopping/Designer Brand_27</t>
  </si>
  <si>
    <t>Channel</t>
  </si>
  <si>
    <t>Designer Brand</t>
  </si>
  <si>
    <t>https://upload.wikimedia.org/wikipedia/en/thumb/9/92/Chanel_logo_interlocking_cs.svg/1280px-Chanel_logo_interlocking_cs.svg.png</t>
  </si>
  <si>
    <t>Shopping/Designer Brand_28</t>
  </si>
  <si>
    <t>Michael Kors</t>
  </si>
  <si>
    <t>http://www.brandsoftheworld.com/sites/default/files/styles/logo-thumbnail/public/042014/michael_kors.png?itok=-LcukS9K</t>
  </si>
  <si>
    <t>http://www.michaelkors.com</t>
  </si>
  <si>
    <t>Shopping/Electrical_19</t>
  </si>
  <si>
    <t>Rowenta</t>
  </si>
  <si>
    <t>http://www.shescribes.com/wp-content/uploads/2013/10/Rowenta-Logo.jpg</t>
  </si>
  <si>
    <t>http://www.rowenta.fr/</t>
  </si>
  <si>
    <t>Shopping/Electroinc_20</t>
  </si>
  <si>
    <t>Samsung</t>
  </si>
  <si>
    <t>http://wirelesstradersinc.com/wp-content/uploads/2016/02/Samsung-Logo.png</t>
  </si>
  <si>
    <t>http://www.samsung.com/fr/home/</t>
  </si>
  <si>
    <t>Shopping/Electroins_21</t>
  </si>
  <si>
    <t>Gitem</t>
  </si>
  <si>
    <t>http://www.maisondeletudiant.nc/sites/default/files/u1175/gitemlogoi.jpg</t>
  </si>
  <si>
    <t>http://www.gitem.fr</t>
  </si>
  <si>
    <t>Shopping/Florist_37</t>
  </si>
  <si>
    <t>Odorantes</t>
  </si>
  <si>
    <t>Florist</t>
  </si>
  <si>
    <t>https://stylefilenyc.files.wordpress.com/2010/11/img_1415.jpg</t>
  </si>
  <si>
    <t>http://www.odorantes-paris.com/</t>
  </si>
  <si>
    <t>Shopping/Greating Cards and gifts_36</t>
  </si>
  <si>
    <t>Ecritoire</t>
  </si>
  <si>
    <t>Greeting Cards and Gifts</t>
  </si>
  <si>
    <t>http://lecritoire-dijon.com/wp-content/uploads/2016/03/logo-ecritoire.png</t>
  </si>
  <si>
    <t>http://www.ecritoire.fr/</t>
  </si>
  <si>
    <t>Shopping/Hardware Store_39</t>
  </si>
  <si>
    <t>Laquincaillerie</t>
  </si>
  <si>
    <t>Hardware Store</t>
  </si>
  <si>
    <t>http://www.laquincaillerie.com/img/layout/logo.png</t>
  </si>
  <si>
    <t>http://www.laquincaillerie.com/</t>
  </si>
  <si>
    <t>Shopping/Home Furniture_24</t>
  </si>
  <si>
    <t>Habitat</t>
  </si>
  <si>
    <t>Home Furniture</t>
  </si>
  <si>
    <t>http://www.magazine-immobilier.org/wp-content/uploads/2009/06/logo-habitat.gif</t>
  </si>
  <si>
    <t>https://www.habitat.fr/</t>
  </si>
  <si>
    <t>Shopping/Home Furniture_25</t>
  </si>
  <si>
    <t>Natuzzi</t>
  </si>
  <si>
    <t>http://modernliving.perlora.com/wp-content/uploads/2014/11/natuzzi-logo.jpg</t>
  </si>
  <si>
    <t>http://www.natuzzi.fr/</t>
  </si>
  <si>
    <t>Shopping/Home Furniture_26</t>
  </si>
  <si>
    <t>Roche Bobois</t>
  </si>
  <si>
    <t>https://www.facclosangeles.org/wp-content/uploads/2015/08/Roche-Bobois_logo.jpg</t>
  </si>
  <si>
    <t>http://www.roche-bobois.com/</t>
  </si>
  <si>
    <t>Shopping/Household_1</t>
  </si>
  <si>
    <t>Euro Store</t>
  </si>
  <si>
    <t>http://l7.alamy.com/zooms/a7817ae92cc8433da716f8b572b956c8/1-euro-store-dyw3cp.jpg</t>
  </si>
  <si>
    <t>https://foursquare.com/v/euro-store-tout-à-150-euros/4eeb80e5f7903296f862341b</t>
  </si>
  <si>
    <t>Shopping/Jewelry Store_32</t>
  </si>
  <si>
    <t>Jaubalet</t>
  </si>
  <si>
    <t>Jewelry Store</t>
  </si>
  <si>
    <t>http://www.jaubalet-paris.com/wp-content/uploads/2013/09/jaubalet.jpg</t>
  </si>
  <si>
    <t>https://www.jaubalet-paris.fr/</t>
  </si>
  <si>
    <t>Shopping/Kids Store_17</t>
  </si>
  <si>
    <t>Petit Bateau</t>
  </si>
  <si>
    <t>Kids Store</t>
  </si>
  <si>
    <t>http://www.logotheque.fr/6342-2/logo%20PETIT%20BATEAU.jpg</t>
  </si>
  <si>
    <t>Shopping/Kids Store_18</t>
  </si>
  <si>
    <t>AUTOUR DE BEBE</t>
  </si>
  <si>
    <t>http://www.bloc.com/images_administrables/bibliotheque/grande/autour-du-bebe.jpg</t>
  </si>
  <si>
    <t>Shopping/Lighting_38</t>
  </si>
  <si>
    <t>Perzel</t>
  </si>
  <si>
    <t>Lighting Shop</t>
  </si>
  <si>
    <t>http://www.perzel.fr/en/wp-content/uploads/sites/2/2014/06/catalogue_en.jpg</t>
  </si>
  <si>
    <t>http://www.perzel.fr/</t>
  </si>
  <si>
    <t>Shopping/Newspaper Shop_35</t>
  </si>
  <si>
    <t>Calligrane</t>
  </si>
  <si>
    <t>Newspaper Shop</t>
  </si>
  <si>
    <t>http://www.procureddesign.com/wp-content/uploads/2012/10/Calligrane-Interior.gif</t>
  </si>
  <si>
    <t>http://calligrane.fr/</t>
  </si>
  <si>
    <t>Shopping/Shoes_30</t>
  </si>
  <si>
    <t>Clarks</t>
  </si>
  <si>
    <t>http://intu.co.uk/uploads/media/logo_retailer/0001/06/thumb_5018_logo_retailer_1x.png</t>
  </si>
  <si>
    <t>https://www.clarks.fr</t>
  </si>
  <si>
    <t>Shopping/Shoes_31</t>
  </si>
  <si>
    <t>Shoe Shop</t>
  </si>
  <si>
    <t>Shoes</t>
  </si>
  <si>
    <t>http://shop.shoeshop.fr/themes/shoeshop_simple/img/shoeshop.png</t>
  </si>
  <si>
    <t>http://www.shoeshop.fr/</t>
  </si>
  <si>
    <t>Shopping/Sports Store_22</t>
  </si>
  <si>
    <t>Sport Direct</t>
  </si>
  <si>
    <t>Sports Store</t>
  </si>
  <si>
    <t>https://excoupuk.com/wp-content/uploads/2015/12/Sports-direct.jpg</t>
  </si>
  <si>
    <t>http://www.sportsdirect.com</t>
  </si>
  <si>
    <t>Shopping/Sports Store_23</t>
  </si>
  <si>
    <t>JD Sports</t>
  </si>
  <si>
    <t>https://67fb162d391b3c725e9d-210fd98f9f4ad5bac2f98cc8e61aaae5.ssl.cf2.rackcdn.com/clients/jd-sports/logo-18e9aaa70cfc521565a79eb9da6e5bb2.png</t>
  </si>
  <si>
    <t>https://www.jdsports.fr</t>
  </si>
  <si>
    <t>Sky Tv_1</t>
  </si>
  <si>
    <t>Sky</t>
  </si>
  <si>
    <t>Sky Tv</t>
  </si>
  <si>
    <t>http://www.theo2.co.uk/assets/img/VenueLanding_Sky_TheO2_logo.jpg</t>
  </si>
  <si>
    <t>http://www.sky.com/</t>
  </si>
  <si>
    <t>Spa_1</t>
  </si>
  <si>
    <t>Mandarin Oriental</t>
  </si>
  <si>
    <t>Spa</t>
  </si>
  <si>
    <t>https://hotelprojects.files.wordpress.com/2014/09/mandarin-oriental-hotel-group.gif</t>
  </si>
  <si>
    <t>http://www.mandarinoriental.fr/</t>
  </si>
  <si>
    <t>Suppilers of Cooler Items_1</t>
  </si>
  <si>
    <t>Euro Cave</t>
  </si>
  <si>
    <t>Cooler Items Suppliers</t>
  </si>
  <si>
    <t>http://www.eurocave.com.au/wp-content/themes/eurocave/images/eurocave-logo.gif</t>
  </si>
  <si>
    <t>http://www.eurocave.com</t>
  </si>
  <si>
    <t>Suppliers Of large electronic_1</t>
  </si>
  <si>
    <t>Farnell</t>
  </si>
  <si>
    <t>Suppliers Of large electronic</t>
  </si>
  <si>
    <t>http://www.labfacility.com/media/wysiwyg/farnell-logo.png</t>
  </si>
  <si>
    <t>http://fr.farnell.com</t>
  </si>
  <si>
    <t>Takeway_1</t>
  </si>
  <si>
    <t>Dominos</t>
  </si>
  <si>
    <t>Takeway</t>
  </si>
  <si>
    <t>https://upload.wikimedia.org/wikipedia/commons/thumb/7/74/Dominos_pizza_logo.svg/2000px-Dominos_pizza_logo.svg.png</t>
  </si>
  <si>
    <t>https://www.dominos.fr/</t>
  </si>
  <si>
    <t>Telecom_1</t>
  </si>
  <si>
    <t>Bouyguestelecom</t>
  </si>
  <si>
    <t>Phone/Internet</t>
  </si>
  <si>
    <t>https://ak-api-mc.bouyguestelecom.fr/img/logo-bouygues-telecom.svg</t>
  </si>
  <si>
    <t>https://www.bouyguestelecom.fr/visiteurs_etrangers/index.htm</t>
  </si>
  <si>
    <t>Telecom_2</t>
  </si>
  <si>
    <t>SFR</t>
  </si>
  <si>
    <t>Mobile Contract</t>
  </si>
  <si>
    <t>http://static.s-sfr.fr/media/sfr_logo2014_exe_rvb.png</t>
  </si>
  <si>
    <t>https://www.sfr.fr</t>
  </si>
  <si>
    <t>Telecom_3</t>
  </si>
  <si>
    <t>Telephone</t>
  </si>
  <si>
    <t>Telecom_4</t>
  </si>
  <si>
    <t>http://www.orange.fr</t>
  </si>
  <si>
    <t>Tickets_1</t>
  </si>
  <si>
    <t>Ticket Master</t>
  </si>
  <si>
    <t>Tickets</t>
  </si>
  <si>
    <t>http://www.foyleside.co.uk/perch/resources/ticketmaster-logo.jpg</t>
  </si>
  <si>
    <t>https://www.ticketmaster.fr</t>
  </si>
  <si>
    <t>Trading_1</t>
  </si>
  <si>
    <t>Markets.com</t>
  </si>
  <si>
    <t>Trading Company</t>
  </si>
  <si>
    <t>http://www.gambling-affiliation.com/uploads/cms/logos/markets_com.png</t>
  </si>
  <si>
    <t>http://www.markets.com</t>
  </si>
  <si>
    <t>Travel_1</t>
  </si>
  <si>
    <t>Ratp</t>
  </si>
  <si>
    <t>Travel card</t>
  </si>
  <si>
    <t>https://upload.wikimedia.org/wikipedia/en/thumb/e/e4/RATP_Group_logo.svg/1024px-RATP_Group_logo.svg.png</t>
  </si>
  <si>
    <t>http://www.ratp.fr/fr/ratp/r_61584/titres-de-transport/</t>
  </si>
  <si>
    <t>Utility_1</t>
  </si>
  <si>
    <t>Direct Energie</t>
  </si>
  <si>
    <t>Gas/Elec</t>
  </si>
  <si>
    <t>http://groupe.direct-energie.com/fileadmin/Commun/Logos/logo-direct-energie.gif</t>
  </si>
  <si>
    <t>http://www.direct-energie.com/</t>
  </si>
  <si>
    <t>Utility_2</t>
  </si>
  <si>
    <t>Selia</t>
  </si>
  <si>
    <t>https://media.licdn.com/mpr/mpr/shrink_200_200/AAEAAQAAAAAAAAf6AAAAJDQ1OWJmNTc4LTYzNWMtNDU4OS05NzVmLWJhYmU5YTY2ZDVlMQ.png</t>
  </si>
  <si>
    <t>http://www.selia-energies.fr</t>
  </si>
  <si>
    <t>Utility_3</t>
  </si>
  <si>
    <t>Lampiris</t>
  </si>
  <si>
    <t>Gas Supplier</t>
  </si>
  <si>
    <t>https://www.lampiris.be/sites/default/files/lampiris-logo-baseline-FR-RVB-HD.jpg</t>
  </si>
  <si>
    <t>https://www.lampiris.fr</t>
  </si>
  <si>
    <t>Utility_4</t>
  </si>
  <si>
    <t>Veoliaeau</t>
  </si>
  <si>
    <t>Water</t>
  </si>
  <si>
    <t>http://www.assistance-client.fr/wp-content/uploads/2013/01/Veolia-Eau-Service-Client.jpg</t>
  </si>
  <si>
    <t>https://www.service-client.veoliaeau.fr/home.html</t>
  </si>
  <si>
    <t>Utility_5</t>
  </si>
  <si>
    <t>Water Supplier</t>
  </si>
  <si>
    <t>Utility_6</t>
  </si>
  <si>
    <t>EDF</t>
  </si>
  <si>
    <t>Electrtric supplier</t>
  </si>
  <si>
    <t>http://www.thecosmocompany.com/wp-content/uploads/2015/03/edf-logo.jpg</t>
  </si>
  <si>
    <t>https://www.edf.fr</t>
  </si>
  <si>
    <t>Yatch Club_1</t>
  </si>
  <si>
    <t>Yatch Club De France</t>
  </si>
  <si>
    <t>Yatch Club</t>
  </si>
  <si>
    <t>http://ycf-club.fr/wp-content/uploads/logo-150-ans.jpg</t>
  </si>
  <si>
    <t>http://ycf-club.fr</t>
  </si>
  <si>
    <t>ATM/Cashwithdrawal_1</t>
  </si>
  <si>
    <t>Unicredit ATM</t>
  </si>
  <si>
    <t>Cashwithdrawal</t>
  </si>
  <si>
    <t>https://upload.wikimedia.org/wikipedia/commons/4/4d/UniCredit_bank%2C_Spielberk_Office_Centre_%282%29.jpg</t>
  </si>
  <si>
    <t>ATM/Cashwithdrawal_2</t>
  </si>
  <si>
    <t>BNP Paribas ATM</t>
  </si>
  <si>
    <t>http://www.chronicle.lu/images/K7/BGL-Drive-in_Strassen-600.JPG</t>
  </si>
  <si>
    <t>https://cib.bnpparibas.com/?&amp;gclid=CIvTt6TOr9QCFXAA0wod9AACkQ&amp;mkwid=sp0g9TTdw_173339207197_%2Bbnp%20%2Beurope_b_c&amp;mtid=23352p1559174&amp;slid=&amp;product_id=</t>
  </si>
  <si>
    <t>Donation_1</t>
  </si>
  <si>
    <t>Don Miss Dubois</t>
  </si>
  <si>
    <t>Donation</t>
  </si>
  <si>
    <t>Donation_2</t>
  </si>
  <si>
    <t>Don Mr and Mrs Martin</t>
  </si>
  <si>
    <t>Donation_3</t>
  </si>
  <si>
    <t>Donation Mr and Mrs Garcia</t>
  </si>
  <si>
    <t>Donation_4</t>
  </si>
  <si>
    <t>Don Mr Andre</t>
  </si>
  <si>
    <t>Donation_5</t>
  </si>
  <si>
    <t>Don Leroy Family</t>
  </si>
  <si>
    <t>Donation_6</t>
  </si>
  <si>
    <t>Don Smile Train</t>
  </si>
  <si>
    <t>https://smiletrain.org.uk/sites/default/files/smile-train-logo-social-share.jpg</t>
  </si>
  <si>
    <t>https://www.smiletrain.org</t>
  </si>
  <si>
    <t>Donation_7</t>
  </si>
  <si>
    <t>Don Paws Pets</t>
  </si>
  <si>
    <t>http://pawspets.org/wp-content/uploads/2012/04/pawslogo-1.png</t>
  </si>
  <si>
    <t>http://pawspets.org</t>
  </si>
  <si>
    <t>Donation_8</t>
  </si>
  <si>
    <t>Don Glaucoma Association</t>
  </si>
  <si>
    <t>http://www.rnib.org.uk/sites/default/files/iga-logo2.jpg</t>
  </si>
  <si>
    <t>http://www.glaucoma-association.com</t>
  </si>
  <si>
    <t>Donation_9</t>
  </si>
  <si>
    <t>Don Emmaus</t>
  </si>
  <si>
    <t>https://www.emmaus-solidarite.org/wp-content/uploads/2015/07/logo.jpg</t>
  </si>
  <si>
    <t>https://www.emmaus-solidarite.org</t>
  </si>
  <si>
    <t>Donation_10</t>
  </si>
  <si>
    <t>Don L'Union</t>
  </si>
  <si>
    <t>https://pbs.twimg.com/profile_images/530671109075505152/xhIqvK3N.jpeg</t>
  </si>
  <si>
    <t>http://www.theunion.org/francais</t>
  </si>
  <si>
    <t>Income_1</t>
  </si>
  <si>
    <t>Un salaire</t>
  </si>
  <si>
    <t>Income</t>
  </si>
  <si>
    <t>Transfer_1</t>
  </si>
  <si>
    <t>Mr D Bonnet</t>
  </si>
  <si>
    <t>Transfer</t>
  </si>
  <si>
    <t>Business Rates_1</t>
  </si>
  <si>
    <t>taux d'affaires</t>
  </si>
  <si>
    <t>Business Rates</t>
  </si>
  <si>
    <t>Rent_1</t>
  </si>
  <si>
    <t>location</t>
  </si>
  <si>
    <t>Rent</t>
  </si>
  <si>
    <t>Transfer_2</t>
  </si>
  <si>
    <t>Jenne Garnier Hospice</t>
  </si>
  <si>
    <t>https://www.jeanne-garnier.org/wp-content/plugins/widgetkit/cache/gallery/1581/001-JG-80a232dd3e.jpg</t>
  </si>
  <si>
    <t>http://www.jeanne-garnier.org</t>
  </si>
  <si>
    <t>Transfer_3</t>
  </si>
  <si>
    <t>L'hopital necker</t>
  </si>
  <si>
    <t>https://pbs.twimg.com/profile_images/378800000254940288/17ecf7675bdc8cc6bf80395a5cd1c59e_400x400.png</t>
  </si>
  <si>
    <t>http://hopital-necker.aphp.fr</t>
  </si>
  <si>
    <t>Transfer_4</t>
  </si>
  <si>
    <t>Un salaire Mr R Vincent</t>
  </si>
  <si>
    <t>Transfer_5</t>
  </si>
  <si>
    <t>Un salaire Mrs F Masson</t>
  </si>
  <si>
    <t>Transfer_6</t>
  </si>
  <si>
    <t>facture payée Mr Perez</t>
  </si>
  <si>
    <t>Transfer_7</t>
  </si>
  <si>
    <t>facture payée Mr Nicolas</t>
  </si>
  <si>
    <t>Transfer_8</t>
  </si>
  <si>
    <t>facture payée Miss Clement</t>
  </si>
  <si>
    <t>Transfer_9</t>
  </si>
  <si>
    <t>facture payée 76542 Mr Dubois</t>
  </si>
  <si>
    <t>Transfer_10</t>
  </si>
  <si>
    <t>facture payée  986 Mr Dumont</t>
  </si>
  <si>
    <t>Transfer_11</t>
  </si>
  <si>
    <t>facture payée 2297 Miss Clement</t>
  </si>
  <si>
    <t>Transfer Salary_1</t>
  </si>
  <si>
    <t>Salary</t>
  </si>
  <si>
    <t>Salary_1</t>
  </si>
  <si>
    <t>Travel_2</t>
  </si>
  <si>
    <t>Train</t>
  </si>
  <si>
    <t>Train ticket</t>
  </si>
  <si>
    <t>http://blog.thetrainline.com/wp-content/uploads/2015/08/TL-new-icon1.png</t>
  </si>
  <si>
    <t>https://www.thetrainline.com</t>
  </si>
  <si>
    <t>business insurance_1</t>
  </si>
  <si>
    <t>Entrepreneurs de la cite</t>
  </si>
  <si>
    <t>Business insurance</t>
  </si>
  <si>
    <t>http://www.pfca34.org/sites/default/files/styles/200x160/public/interlocuteurs/entrepeneurs_cite_v2.png?itok=oxiyEKkm</t>
  </si>
  <si>
    <t>http://www.entrepreneursdelacite.org/</t>
  </si>
  <si>
    <t>Credit Card_1</t>
  </si>
  <si>
    <t>carte de crédit Visa</t>
  </si>
  <si>
    <t>Credit Card</t>
  </si>
  <si>
    <t>https://seeklogo.com/images/V/visa-logo-6F4057663D-seeklogo.com.png</t>
  </si>
  <si>
    <t>https://www.visa.fr</t>
  </si>
  <si>
    <t>Credit Card_2</t>
  </si>
  <si>
    <t>carte de crédit Mastercard</t>
  </si>
  <si>
    <t>https://www.mastercard.fr/fr-fr.html</t>
  </si>
  <si>
    <t>Car Service</t>
  </si>
  <si>
    <t>Private Car Service Paris</t>
  </si>
  <si>
    <t>https://privatecarserviceparis.com/wp-content/uploads/2012/06/private-car-service-paris-logo3.png</t>
  </si>
  <si>
    <t>https://www.privatecarserviceparis.com/</t>
  </si>
  <si>
    <t>Consumption</t>
  </si>
  <si>
    <t>NICOLAS</t>
  </si>
  <si>
    <t>Bottle of cognac</t>
  </si>
  <si>
    <t>MONTHLY</t>
  </si>
  <si>
    <t>http://upload.wikimedia.org/wikipedia/fr/thumb/b/b0/Nicolas_logo.svg/500px-Nicolas_logo.svg.png</t>
  </si>
  <si>
    <t>FOIR'FOUILLE</t>
  </si>
  <si>
    <t>Ornaments</t>
  </si>
  <si>
    <t>http://upload.wikimedia.org/wikipedia/fr/f/f9/La_Foir'Fouille_logo_2002.png</t>
  </si>
  <si>
    <t xml:space="preserve">CARREFOUR </t>
  </si>
  <si>
    <t>House equipment</t>
  </si>
  <si>
    <t>http://upload.wikimedia.org/wikipedia/fr/3/3b/Logo_Carrefour.svg</t>
  </si>
  <si>
    <t>AUCHAN</t>
  </si>
  <si>
    <t>Groceries</t>
  </si>
  <si>
    <t>http://upload.wikimedia.org/wikipedia/fr/archive/c/ce/20120504132214!Logo_Auchan.svg</t>
  </si>
  <si>
    <t>IKEA</t>
  </si>
  <si>
    <t>New Bed!</t>
  </si>
  <si>
    <t>EXCEPTIONAL</t>
  </si>
  <si>
    <t>http://upload.wikimedia.org/wikipedia/commons/thumb/c/c5/Ikea_logo.svg/2000px-Ikea_logo.svg.png</t>
  </si>
  <si>
    <t>Energy</t>
  </si>
  <si>
    <t>GDF</t>
  </si>
  <si>
    <t>Gas bill</t>
  </si>
  <si>
    <t>http://fr.wilogo.com/images/svg/gdf_suez_logo.svg</t>
  </si>
  <si>
    <t>Paris Property</t>
  </si>
  <si>
    <t>http://cd3.girlsguidetoparis.com/wp-content/uploads/2015/05/sold-sign.jpg?937064</t>
  </si>
  <si>
    <t>http://www.paris-property.com/</t>
  </si>
  <si>
    <t>MONOPRIX</t>
  </si>
  <si>
    <t>http://upload.wikimedia.org/wikipedia/commons/archive/0/0a/20141103162920%21Monoprix_logo.svg</t>
  </si>
  <si>
    <t>SIMPLY MARKET</t>
  </si>
  <si>
    <t>http://logos.wikia.com/wiki/Simply_Market</t>
  </si>
  <si>
    <t>http://www.simplymarket.fr/</t>
  </si>
  <si>
    <t>http://upload.wikimedia.org/wikipedia/fr/9/90/Supermarch%C3%A9s_G20_logo_2011.png</t>
  </si>
  <si>
    <t>FRANPRIX</t>
  </si>
  <si>
    <t>http://upload.wikimedia.org/wikipedia/fr/3/3e/Franprix_logo.png</t>
  </si>
  <si>
    <t>Healthcare</t>
  </si>
  <si>
    <t>PHARMACIE MONGE</t>
  </si>
  <si>
    <t>Drugs</t>
  </si>
  <si>
    <t>http://www.pharmacie-monge.fr/media/wysiwyg/logo-new.jpg</t>
  </si>
  <si>
    <t>OPTICAL CENTER</t>
  </si>
  <si>
    <t>Sunglasses</t>
  </si>
  <si>
    <t>YEARLY</t>
  </si>
  <si>
    <t>http://upload.wikimedia.org/wikipedia/commons/c/ca/Logo_opticalcenter.jpg</t>
  </si>
  <si>
    <t>CENTRE DENTAIRE SAINT LAZARE</t>
  </si>
  <si>
    <t>Tooth repair</t>
  </si>
  <si>
    <t>…</t>
  </si>
  <si>
    <t>centredentairesaintlazare.com/</t>
  </si>
  <si>
    <t>Leisure/entertainment</t>
  </si>
  <si>
    <t>CINEMA GAUMONT</t>
  </si>
  <si>
    <t>Movies</t>
  </si>
  <si>
    <t>http://www.ojd.com/var/ojd/storage/files/logos/C/logo_1733.jpg</t>
  </si>
  <si>
    <t>MK2</t>
  </si>
  <si>
    <t>http://www.mk2pro.com/logotheque/corporate/mk2_0_100_100_0.jpg</t>
  </si>
  <si>
    <t>UGC DANTON</t>
  </si>
  <si>
    <t>http://upload.wikimedia.org/wikipedia/fr/1/18/Logo_UGC.png</t>
  </si>
  <si>
    <t>Miscellaneous</t>
  </si>
  <si>
    <t>LA POSTE</t>
  </si>
  <si>
    <t>Parcel to send</t>
  </si>
  <si>
    <t>http://upload.wikimedia.org/wikipedia/fr/2/2a/Logo-laposte.png</t>
  </si>
  <si>
    <t>MONCEAU FLEURS</t>
  </si>
  <si>
    <t>Flowers</t>
  </si>
  <si>
    <t>http://www.actulogo.fr/wp-content/uploads/2010/03/monceau_niou.jpg</t>
  </si>
  <si>
    <t>Multimedia</t>
  </si>
  <si>
    <t xml:space="preserve">DARTY
</t>
  </si>
  <si>
    <t>TV/Computer/Home cinema</t>
  </si>
  <si>
    <t>http://upload.wikimedia.org/wikipedia/fr/thumb/b/b0/Darty.svg/1024px-Darty.svg.png</t>
  </si>
  <si>
    <t>FNAC</t>
  </si>
  <si>
    <t>Books/DVD/TV</t>
  </si>
  <si>
    <t>http://upload.wikimedia.org/wikipedia/en/thumb/e/ea/Fnac.svg/1024px-Fnac.svg.png</t>
  </si>
  <si>
    <t>BOULANGER</t>
  </si>
  <si>
    <t>http://www.userlogos.org/files/logos/Karmody/Boulanger_02.png</t>
  </si>
  <si>
    <t>PRICEMINISTER.COM</t>
  </si>
  <si>
    <t>http://upload.wikimedia.org/wikipedia/commons/f/ff/Logo_priceminister.svg</t>
  </si>
  <si>
    <t>Gaerner</t>
  </si>
  <si>
    <t>http://www.gaerner.ch/medias/logo.png?context=bWFzdGVyfHJvb3R8Njk4NjZ8aW1hZ2UvcG5nfGhmZi9oNjUvODgyMDU3MDk0NzYxNC5wbmd8LQ</t>
  </si>
  <si>
    <t>http://www.gaerner.fr/?PC=3EUP&amp;LC=Startseite</t>
  </si>
  <si>
    <t>Outings</t>
  </si>
  <si>
    <t>WANDERLUST</t>
  </si>
  <si>
    <t>Party</t>
  </si>
  <si>
    <t>http://blog.we-paris.com/wp-content/uploads/wanderlust-home.png</t>
  </si>
  <si>
    <t>wanderlustparis.com/</t>
  </si>
  <si>
    <t>MUSEE D'ORSAY</t>
  </si>
  <si>
    <t>Museum visit</t>
  </si>
  <si>
    <t>http://www.fondation-godf.org/uploads/partner/logo-orsay.gif</t>
  </si>
  <si>
    <t>VEDETTE DE PARIS</t>
  </si>
  <si>
    <t>Sightseeing</t>
  </si>
  <si>
    <t>http://www.lesetesdeladanse.com/wp-content/uploads/2011/03/logo-instit-CMJN-Les-vedettes-de-paris-jpeg.jpg</t>
  </si>
  <si>
    <t>Pets/animals</t>
  </si>
  <si>
    <t>TRUFFAUT</t>
  </si>
  <si>
    <t>Dog food</t>
  </si>
  <si>
    <t>http://upload.wikimedia.org/wikipedia/fr/e/e0/Logo_Truffaut.png</t>
  </si>
  <si>
    <t>http://www.truffaut.com/</t>
  </si>
  <si>
    <t>JARDILAND</t>
  </si>
  <si>
    <t>Gardening tools</t>
  </si>
  <si>
    <t>http://upload.wikimedia.org/wikipedia/commons/4/4b/LOGO_JLD_Blocmarque_Signature_320.png</t>
  </si>
  <si>
    <t>http://www.jardiland.com/</t>
  </si>
  <si>
    <t>ANIMAL CENTER</t>
  </si>
  <si>
    <t>Cat equipment</t>
  </si>
  <si>
    <t>http://www.animalcenter.fr/themes/t/images/logo-footer.png</t>
  </si>
  <si>
    <t>http://www.animalcenter.fr/</t>
  </si>
  <si>
    <t>GAMM VERT</t>
  </si>
  <si>
    <t>Flower pots</t>
  </si>
  <si>
    <t>http://upload.wikimedia.org/wikipedia/fr/8/81/GammvertLogo.gif</t>
  </si>
  <si>
    <t>http://www.gammvert.fr/</t>
  </si>
  <si>
    <t>Presents</t>
  </si>
  <si>
    <t xml:space="preserve">HISTOIRE D'OR
</t>
  </si>
  <si>
    <t>Jewelry</t>
  </si>
  <si>
    <t>http://www.3fontaines.com/var/hammerson/storage/images/media/3-fontaines/images/magasin/visuels/logo/279478-1-fre-FR/logo_logocshop.jpg</t>
  </si>
  <si>
    <t>http://www.histoiredor.com/fr/histoire-or</t>
  </si>
  <si>
    <t>AGATHA</t>
  </si>
  <si>
    <t>https://modealip.files.wordpress.com/2011/07/agatha_html_m4a856c22.gif</t>
  </si>
  <si>
    <t>http://www.agatha.fr/</t>
  </si>
  <si>
    <t>TIFFANY AND CO</t>
  </si>
  <si>
    <t>Wedding Ring!</t>
  </si>
  <si>
    <t>http://galleriadallas.wpengine.netdna-cdn.com/wp-content/uploads/2012/08/Tiffany__Co_logo_July_2010.jpg</t>
  </si>
  <si>
    <t>http://www.tiffany.fr/</t>
  </si>
  <si>
    <t>GALERIES LAFAYETTES</t>
  </si>
  <si>
    <t>New bag/dress/shoes</t>
  </si>
  <si>
    <t>http://www.holiprom.com/wp-content/uploads/2014/10/galeries-lafayette-logo-grands-magasins-clients-customers-holiprom.jpg</t>
  </si>
  <si>
    <t>Renovation/refurbishment</t>
  </si>
  <si>
    <t>LEROY MERLIN</t>
  </si>
  <si>
    <t>http://upload.wikimedia.org/wikipedia/commons/d/d4/Leroy_Merlin.svg</t>
  </si>
  <si>
    <t>Le Berkeley</t>
  </si>
  <si>
    <t>http://www.leberkeley.fr/wp-content/uploads/2015/10/logo-berkeley2.png</t>
  </si>
  <si>
    <t>www.leberkeley.fr</t>
  </si>
  <si>
    <t>Shopping/accessories</t>
  </si>
  <si>
    <t>Hod Boutique</t>
  </si>
  <si>
    <t>http://www.hod-boutique.com/img/hod-boutique-logo-1457367896.jpg</t>
  </si>
  <si>
    <t>http://www.hod-boutique.com/</t>
  </si>
  <si>
    <t>Shopping/baby Shop</t>
  </si>
  <si>
    <t>Baby ccino Kids</t>
  </si>
  <si>
    <t>http://cdn.babyccinokids.com/shop/images/babyccinokids_shop_logo.png</t>
  </si>
  <si>
    <t>http://babyccinokids.com/paris/</t>
  </si>
  <si>
    <t>Shopping/Kids Store</t>
  </si>
  <si>
    <t>Maralex Kids</t>
  </si>
  <si>
    <t>http://www.maralex-kids.com/img/logo.jpg?1463472955</t>
  </si>
  <si>
    <t>http://www.maralex-kids.com/fr/</t>
  </si>
  <si>
    <t>Bonton</t>
  </si>
  <si>
    <t>http://i1217.photobucket.com/albums/dd383/maptote_llc/BontonLogo1.png</t>
  </si>
  <si>
    <t>http://www.bonton.fr/fr/</t>
  </si>
  <si>
    <t>Shopping/Kitchen Equimentl</t>
  </si>
  <si>
    <t>Dehillerin</t>
  </si>
  <si>
    <t>Kitchen equiment store</t>
  </si>
  <si>
    <t>http://eshop.e-dehillerin.fr/template/images/graphisme_site/img_header/header_logo.jpg</t>
  </si>
  <si>
    <t>http://eshop.e-dehillerin.fr/</t>
  </si>
  <si>
    <t>Shopping/Sports Store</t>
  </si>
  <si>
    <t>Decathlon</t>
  </si>
  <si>
    <t>http://www.shopiles.fr/upload/cache/modules/partenaires/decathlon1_w500_h150_r6_q90_bcF9FDFE.jpg</t>
  </si>
  <si>
    <t>http://www.decathlon.fr/home.html</t>
  </si>
  <si>
    <t>Go Sport</t>
  </si>
  <si>
    <t>http://www.fitnessqatar.me/wp-content/uploads/2011/06/Go-Sport-logo.jpg</t>
  </si>
  <si>
    <t>http://www.go-sport.com/</t>
  </si>
  <si>
    <t>Shoppping/Fashion Clothing</t>
  </si>
  <si>
    <t>Sandro</t>
  </si>
  <si>
    <t>Fashion Clothing</t>
  </si>
  <si>
    <t>https://sephanhmculc.files.wordpress.com/2015/04/sandro_logo.png</t>
  </si>
  <si>
    <t>http://fr.sandro-paris.com/</t>
  </si>
  <si>
    <t>Telecom</t>
  </si>
  <si>
    <t>Orange</t>
  </si>
  <si>
    <t>Transportation</t>
  </si>
  <si>
    <t>SNCF</t>
  </si>
  <si>
    <t>Trip to Berlin</t>
  </si>
  <si>
    <t>http://upload.wikimedia.org/wikipedia/fr/thumb/a/af/Logo_SNCF.svg/1280px-Logo_SNCF.svg.png</t>
  </si>
  <si>
    <t>RATP</t>
  </si>
  <si>
    <t>Monthly subscription</t>
  </si>
  <si>
    <t>http://upload.wikimedia.org/wikipedia/fr/thumb/0/01/RATP.svg/193px-RATP.svg.png</t>
  </si>
  <si>
    <t>BLABLACAR</t>
  </si>
  <si>
    <t>Roadtrip to Bordeaux</t>
  </si>
  <si>
    <t>http://upload.wikimedia.org/wikipedia/fr/c/ca/BlaBlaCar.png</t>
  </si>
  <si>
    <r>
      <rPr>
        <u/>
        <sz val="11"/>
        <color rgb="FF000000"/>
        <rFont val="Calibri"/>
        <charset val="134"/>
      </rPr>
      <t>https://www.covoiturage.fr/</t>
    </r>
  </si>
  <si>
    <t>Utility</t>
  </si>
  <si>
    <t>Particuliers Engie</t>
  </si>
  <si>
    <t>https://particuliers.engie.fr/content/dam/images/iconographiques/services-dolceVita/logos/logo-engie_370x240.png</t>
  </si>
  <si>
    <t>https://particuliers.engie.fr/</t>
  </si>
  <si>
    <t>Vacations</t>
  </si>
  <si>
    <t>MOMONDO</t>
  </si>
  <si>
    <t>Trip to Vietnam</t>
  </si>
  <si>
    <t>http://upload.wikimedia.org/wikipedia/en/0/0c/Momondo_A-S_logo.svg</t>
  </si>
  <si>
    <t>BOOKING.COM</t>
  </si>
  <si>
    <t>Journey in Scotland</t>
  </si>
  <si>
    <t>http://upload.wikimedia.org/wikipedia/en/1/12/Booking.com_logo_blue.jpg</t>
  </si>
  <si>
    <t>CLUB MED</t>
  </si>
  <si>
    <t>Vacations in Spain</t>
  </si>
  <si>
    <t>http://upload.wikimedia.org/wikipedia/fr/f/f0/Clubmed.png</t>
  </si>
  <si>
    <t>PIERRE ET VACANCES</t>
  </si>
  <si>
    <t>Vacations in Provence</t>
  </si>
  <si>
    <t>http://upload.wikimedia.org/wikipedia/fr/9/91/Logo-pv-groupe.jpg</t>
  </si>
  <si>
    <t>Well-being</t>
  </si>
  <si>
    <t xml:space="preserve">FABIO SALSA
</t>
  </si>
  <si>
    <t>Haircut</t>
  </si>
  <si>
    <t>http://www.franciza.ro/UserContent/Fabio_Salsa_Logo_02.jpg</t>
  </si>
  <si>
    <t>http://www.fabiosalsa.com/</t>
  </si>
  <si>
    <t>FRANCK PROVOST</t>
  </si>
  <si>
    <t>http://www.franckprovost.com/content/themes/franckprovost/img/logo_franck_provost_paris_black.png</t>
  </si>
  <si>
    <t>http://www.franckprovost.com/</t>
  </si>
  <si>
    <t>JACQUES DESSANGE</t>
  </si>
  <si>
    <t>http://www.logopub.net/data/thumbnails/11/Jacques_Dessange_logo.jpg</t>
  </si>
  <si>
    <t>http://www.dessange.com/index-fr.html</t>
  </si>
  <si>
    <t>JEAN-LOUIS DAVID</t>
  </si>
  <si>
    <t>http://www.logotheque.fr/78616-2/logo+Jean+Louis+David.jpg</t>
  </si>
  <si>
    <t>http://www.jeanlouisdavid.com/</t>
  </si>
  <si>
    <t>Car</t>
  </si>
  <si>
    <t>GARAGE CITROEN</t>
  </si>
  <si>
    <t>Car repair</t>
  </si>
  <si>
    <t>http://upload.wikimedia.org/wikipedia/fr/9/92/Citroen_2009.svg</t>
  </si>
  <si>
    <t>Apparel/clothing</t>
  </si>
  <si>
    <t>H&amp;M</t>
  </si>
  <si>
    <t>New pants</t>
  </si>
  <si>
    <t>http://upload.wikimedia.org/wikipedia/commons/5/53/H&amp;M-Logo.svg</t>
  </si>
  <si>
    <t>Italy</t>
  </si>
  <si>
    <t>Alitalia</t>
  </si>
  <si>
    <t>http://www.underconsideration.com/brandnew/archives/alitalia_logo_detail.jpg</t>
  </si>
  <si>
    <t>https://www.alitalia.com/it_it/</t>
  </si>
  <si>
    <t>http://www.easyjet.com/it/</t>
  </si>
  <si>
    <t xml:space="preserve">Aeroporto di genova </t>
  </si>
  <si>
    <t>http://www.carlofelicegenova.it/archives/uploads/images/aeroporto-di-genova-LOGO.jpg</t>
  </si>
  <si>
    <t>http://www.aeroportodigenova.it</t>
  </si>
  <si>
    <t>Visit Florence</t>
  </si>
  <si>
    <t>http://cdn5.discovertuscany.com/img/visitflorence.png</t>
  </si>
  <si>
    <t>https://www.visitflorence.com/it/chiese-di-firenze/duomo.html</t>
  </si>
  <si>
    <t>Obica</t>
  </si>
  <si>
    <t>http://obica.com/local/img/IT/logo-fb.jpg</t>
  </si>
  <si>
    <t>http://obica.com/portal/IT/it/dove-siamo/ristorante-milano/duomo/</t>
  </si>
  <si>
    <t>Dolce &amp; Gabbana Bar Martini</t>
  </si>
  <si>
    <t>https://pbs.twimg.com/profile_images/481464960766078976/kWc_90zG.jpeg</t>
  </si>
  <si>
    <t>http://www.dolcegabbana.com/martini/</t>
  </si>
  <si>
    <r>
      <rPr>
        <u/>
        <sz val="11"/>
        <color rgb="FF0000FF"/>
        <rFont val="Calibri"/>
        <charset val="134"/>
      </rPr>
      <t>https://secure.booking.com/it/</t>
    </r>
  </si>
  <si>
    <t>My Service Mercedes Benz</t>
  </si>
  <si>
    <t>http://www.milano.mercedes-benz.it/content/italy/retail-2/milano/it/desktop/home.html</t>
  </si>
  <si>
    <t>NPH Italia</t>
  </si>
  <si>
    <t>Children Charity</t>
  </si>
  <si>
    <t>https://francescaravafoundation.files.wordpress.com/2015/11/f-rava_logo_60_blu.jpg</t>
  </si>
  <si>
    <t>https://www.nph-italia.org/home/home/</t>
  </si>
  <si>
    <t>Intersos</t>
  </si>
  <si>
    <t>https://www.intersos.org/wp-content/uploads/2015/06/intersos-dona-bg-800x380.jpg</t>
  </si>
  <si>
    <t>https://www.intersos.org</t>
  </si>
  <si>
    <t>The Space Cinema</t>
  </si>
  <si>
    <t>https://upload.wikimedia.org/wikipedia/it/e/e1/The_Space_Cinema.jpg</t>
  </si>
  <si>
    <t>http://www.thespacecinema.it/portal/default/cinema/milano-odeon#!tab=programmazione</t>
  </si>
  <si>
    <t>Caffe Vergnano</t>
  </si>
  <si>
    <t>http://www.brandsoftheworld.com/sites/default/files/styles/logo-thumbnail/public/122013/caffe_vergnano.png?itok=NlfWm9mb</t>
  </si>
  <si>
    <t>http://www.caffevergnano.com/#</t>
  </si>
  <si>
    <t>Arnold Coffe</t>
  </si>
  <si>
    <t>https://pbs.twimg.com/profile_images/1420362616/Schermata_2011-06-30_a_16.12.56_400x400.png</t>
  </si>
  <si>
    <t>http://www.arnoldcoffee.it/index.php?lang=it</t>
  </si>
  <si>
    <t>Endoors</t>
  </si>
  <si>
    <t>http://www.newdesignporte.com/img_categoria/pag%2014%2015.jpg</t>
  </si>
  <si>
    <t>http://www.endoors.it/welcome</t>
  </si>
  <si>
    <t>Friuli Venezia Giulia</t>
  </si>
  <si>
    <t>Tax</t>
  </si>
  <si>
    <t>http://www.welcomeoffice.fvg.it/images/Welcome_Office_FVG_vers2.jpg</t>
  </si>
  <si>
    <t>http://www.welcomeoffice.fvg.it</t>
  </si>
  <si>
    <t>Doctor Dentist</t>
  </si>
  <si>
    <t>http://cdn.whatclinic.com/dentists/italy/milan/doctor-dentist-srl-viale-certosa/thumbnails/fee39a492a08ad76/untitled.jpg?width=174&amp;height=232&amp;background-color=0xeeede8&amp;operation=pad&amp;float-y=0.25&amp;hmac=3a3f31bc90176e700424baf6016feeda3b95ee49</t>
  </si>
  <si>
    <t>http://www.doctordentist.it</t>
  </si>
  <si>
    <t>Immobiliare</t>
  </si>
  <si>
    <t>http://www.propertyportalwatch.com/wp-content/uploads/2016/05/immobiliare.png</t>
  </si>
  <si>
    <t>http://www.immobiliare.it</t>
  </si>
  <si>
    <t>Esso Fuel Finder</t>
  </si>
  <si>
    <t>Filling Station</t>
  </si>
  <si>
    <t>http://a1.mzstatic.com/us/r30/Purple49/v4/c1/2e/3f/c12e3fd7-cf46-5ad6-8db5-49f3428cc66a/sc1024x768.jpeg</t>
  </si>
  <si>
    <t>http://carburanti.esso.it</t>
  </si>
  <si>
    <t>Shell Filling Station</t>
  </si>
  <si>
    <t>http://www.threewaysgarage.net/wp-content/uploads/2014/03/shell-logo.png</t>
  </si>
  <si>
    <t>http://www.shell.it</t>
  </si>
  <si>
    <t>Skyscanner</t>
  </si>
  <si>
    <t>http://everywhereism.com/wp-content/uploads/2015/08/skyscanner-app-review.png</t>
  </si>
  <si>
    <t>https://www.skyscanner.it/?locale=it-IT&amp;market=IT&amp;currency=EUR</t>
  </si>
  <si>
    <t>Seco SRL</t>
  </si>
  <si>
    <t>https://jacquessimon506.files.wordpress.com/2014/08/backfg-44.jpg?w=378&amp;h=252&amp;crop=1</t>
  </si>
  <si>
    <t>http://www.ideaseco.com/index.htm/italiano/company1.html</t>
  </si>
  <si>
    <t>Bennet</t>
  </si>
  <si>
    <t>http://pinkisgood.it/wp/wp-content/uploads/2015/09/logo-bennet-low.jpg</t>
  </si>
  <si>
    <t>http://www.bennet.com/ipermercati/schedaIpermercato.aspx?idIper=0002</t>
  </si>
  <si>
    <t>http://logok.org/wp-content/uploads/2014/05/Carrefour-logo.png</t>
  </si>
  <si>
    <t>http://www.carrefour.it/punti-vendita/carrefour-market</t>
  </si>
  <si>
    <t>lidl</t>
  </si>
  <si>
    <t>https://goodlogo.com/images/logos/lidl_logo_3155.gif</t>
  </si>
  <si>
    <t>http://www.lidl.it/it/index.htm</t>
  </si>
  <si>
    <t>Despar</t>
  </si>
  <si>
    <t>http://www.visitacomano.it/files/anteprima/700/despar_2,3150.png</t>
  </si>
  <si>
    <t>http://www.desparitalia.it/it/index.php</t>
  </si>
  <si>
    <t>Esselunga</t>
  </si>
  <si>
    <t>http://www.centrovolantini.it/sites/default/files/styles/thumb_copertina/public/logo-esselunga.png</t>
  </si>
  <si>
    <t>http://www.esselunga.it/cms/homepage.html</t>
  </si>
  <si>
    <t>Coop</t>
  </si>
  <si>
    <t>https://upload.wikimedia.org/wikipedia/commons/thumb/d/db/Coop_italia_logo.svg/400px-Coop_italia_logo.svg.png</t>
  </si>
  <si>
    <t>http://www.cooponline.it</t>
  </si>
  <si>
    <t>Fitness First</t>
  </si>
  <si>
    <t>http://www.24prandevents.it/wp-content/uploads/2014/10/logo-gefit.png</t>
  </si>
  <si>
    <t>http://www.getfit.it/via-piacenza_7.html</t>
  </si>
  <si>
    <t>Bertuzzi</t>
  </si>
  <si>
    <t>http://pictures.attention-ngn.com/portal/235/333325/logo/1458145488.6574_3_o.jpg</t>
  </si>
  <si>
    <t>http://www.bertuzzi.it</t>
  </si>
  <si>
    <t>Machines Italia</t>
  </si>
  <si>
    <t>http://www.machinesitalia.org/sites/default/files/mi_logo.png</t>
  </si>
  <si>
    <t>http://www.machinesitalia.org/#</t>
  </si>
  <si>
    <t>Genialloyd</t>
  </si>
  <si>
    <t>https://upload.wikimedia.org/wikipedia/it/2/28/Logo_Genialloyd.png</t>
  </si>
  <si>
    <t>https://www.genialloyd.it/GlfeWeb/homepage.html</t>
  </si>
  <si>
    <t>Software AG</t>
  </si>
  <si>
    <t>http://www.softwareag.com/de/images/SAG_Logo_RGB_tcm17-134070.jpg</t>
  </si>
  <si>
    <t>http://www.softwareag.com/it/</t>
  </si>
  <si>
    <t>Invest in Italy Real Estate</t>
  </si>
  <si>
    <t>http://www.investinitalyrealestate.com/wp-content/themes/ice/assets/img/logo.svg</t>
  </si>
  <si>
    <t>http://www.investinitalyrealestate.com/it/</t>
  </si>
  <si>
    <t>Vodafone</t>
  </si>
  <si>
    <t>http://www.vodafone.co.uk/cs/groups/public/documents/webcontent/1287x929_vodafone_logo.jpg</t>
  </si>
  <si>
    <t>http://www.vodafone.it/portal/Privati</t>
  </si>
  <si>
    <t>Tre</t>
  </si>
  <si>
    <t>http://s3.uswitchstatic.com/_img/library/news_image/three_mobile_logo_520x300x24_fill_h237df3f1.jpg</t>
  </si>
  <si>
    <t>http://tre.it</t>
  </si>
  <si>
    <t>Golf Club Milano</t>
  </si>
  <si>
    <t>http://witchone.eu/singlepoll/public/1gNp0ETuq/tsg.jpg</t>
  </si>
  <si>
    <t>http://www.golfclubmilano.it/pagina_intro.php</t>
  </si>
  <si>
    <t>https://www.ingdirect.it/?intcmp=null-cta-INGit_hp-retbank</t>
  </si>
  <si>
    <t>Viking Direct</t>
  </si>
  <si>
    <t>http://www.underconsideration.com/brandnew/archives/viking_logo.gif</t>
  </si>
  <si>
    <t>http://www.vikingop.it</t>
  </si>
  <si>
    <t>Foto Veneta Ottica</t>
  </si>
  <si>
    <t>http://www.fotovenetaottica.com/wp-content/uploads/2015/07/Occhiali-in-Legno-Milano-2.jpg</t>
  </si>
  <si>
    <t>http://www.fotovenetaottica.com</t>
  </si>
  <si>
    <t>Vision Express</t>
  </si>
  <si>
    <t>http://www.barello.com/wp-content/uploads/2015/02/logo-con-scritta-black-e1424879828573.png</t>
  </si>
  <si>
    <t>http://www.barello.com</t>
  </si>
  <si>
    <t>Car Parking Expo</t>
  </si>
  <si>
    <t>http://www.carparkingexpo.com</t>
  </si>
  <si>
    <t>Farmacia Boccaccio</t>
  </si>
  <si>
    <t>http://t057.ticonpower.eu/wp-content/uploads/2015/07/logo1.png</t>
  </si>
  <si>
    <t>http://www.farmaciaboccaccio.it</t>
  </si>
  <si>
    <t>MRC Global</t>
  </si>
  <si>
    <t>https://abm-website-assets.s3.amazonaws.com/inddist.com/s3fs-public/MRC%20Global_2.jpg</t>
  </si>
  <si>
    <t>http://www.mrcglobal.com/Europe/it</t>
  </si>
  <si>
    <t>ITEI</t>
  </si>
  <si>
    <t>Electrical Repair</t>
  </si>
  <si>
    <t>http://www.itelinc.com/img/ITEL-logo-no-tag-standard.svg</t>
  </si>
  <si>
    <t>http://www.itei.it</t>
  </si>
  <si>
    <t>Zeroduepc</t>
  </si>
  <si>
    <t>Electronic Repair</t>
  </si>
  <si>
    <t>http://www.milanomia.com/wp-content/uploads/2015/07/Zero-Due-MAC-01.jpg</t>
  </si>
  <si>
    <t>http://www.zeroduepc.com</t>
  </si>
  <si>
    <t>E-Lab</t>
  </si>
  <si>
    <t>Electrical Servicing</t>
  </si>
  <si>
    <t>https://lh6.googleusercontent.com/-MufD0LdhQ-s/AAAAAAAAAAI/AAAAAAAAACA/GiCR8b0Re0Q/photo.jpg</t>
  </si>
  <si>
    <t>http://www.e-lab-web.eu/assistenza_tv_elettrodomestici_milano/index.html</t>
  </si>
  <si>
    <t>sete</t>
  </si>
  <si>
    <t>http://www.identitagolose.it/public/images/extra/seta-milano-ago-2015.jpg</t>
  </si>
  <si>
    <t>http://www.mandarinoriental.com/milan/fine-dining/fine-dining-restaurant/?htl=MOMLN_finedining&amp;eng=google&amp;src=local</t>
  </si>
  <si>
    <t>Acanto</t>
  </si>
  <si>
    <t>http://weekenduae.com/wp-content/uploads/2015/08/DSCF7497-1000x288.jpg</t>
  </si>
  <si>
    <t>https://www.dorchestercollection.com/en/milan/hotel-principe-di-savoia/restaurant-bars/acanto/</t>
  </si>
  <si>
    <t>Platina</t>
  </si>
  <si>
    <t>http://www.platinapasta.it/images/PlatinaLOGO.png</t>
  </si>
  <si>
    <t>http://www.platinapasta.it</t>
  </si>
  <si>
    <t>Iyo</t>
  </si>
  <si>
    <t>https://pbs.twimg.com/profile_images/436179533473931266/UNahmFgG.jpeg</t>
  </si>
  <si>
    <t>http://www.iyo.it</t>
  </si>
  <si>
    <t>Royal Restaurant</t>
  </si>
  <si>
    <t>golden-room-palace-logo_23-2147492941-2.jpg</t>
  </si>
  <si>
    <t>http://www.royalrestaurant.it</t>
  </si>
  <si>
    <t>Hand Made Burger Company</t>
  </si>
  <si>
    <t>https://www.gourmetsociety.co.uk/uploads/images/chains/logos/3b033573865e88962893a92746cfce62-image.png</t>
  </si>
  <si>
    <t>http://handmadeburger.co.uk/</t>
  </si>
  <si>
    <t>http://www.burgerking.it</t>
  </si>
  <si>
    <t>Da Puccini</t>
  </si>
  <si>
    <t>https://b.zmtcdn.com/data/pictures/3/16300493/1edc0f846c6a0728a1987a827c573118.jpg</t>
  </si>
  <si>
    <t>http://www.ristorantedapuccini.com</t>
  </si>
  <si>
    <t>http://www.pizzahut.ro/meniu-pizza-hut/bucuresti/pizza/italian-pizza/o1/rc22/c30</t>
  </si>
  <si>
    <t>http://www.mcdonalds.it</t>
  </si>
  <si>
    <t>Sabatini</t>
  </si>
  <si>
    <t>http://images.google.de/imgres?imgurl=http%3A%2F%2Fwww.ristorantesabatini.com%2Fimg%2FlogoSabatini_HOME.png&amp;imgrefurl=http%3A%2F%2Fwww.ristorantesabatini.com%2F&amp;h=200&amp;w=200&amp;tbnid=AOl2XaovKKP1OM%3A&amp;vet=1&amp;docid=-VUtvW_W1J1uoM&amp;ei=MfIeWKjILsWBU4e8nvAL&amp;tbm=isch&amp;client=safari&amp;iact=rc&amp;uact=3&amp;dur=305&amp;page=0&amp;start=0&amp;ndsp=70&amp;ved=0ahUKEwjopN-Y45PQAhXFwBQKHQeeB74QMwgnKAowCg&amp;bih=1139&amp;biw=1920</t>
  </si>
  <si>
    <t>http://www.ristorantesabatini.com</t>
  </si>
  <si>
    <t>Dinky</t>
  </si>
  <si>
    <t>https://s.lyoness.tv/websitesharedfiles/dealer/logo/it/800085_logo_20151126104255469.png</t>
  </si>
  <si>
    <t>http://www.ristorantedinky.milano.it</t>
  </si>
  <si>
    <t>La Tua Europa</t>
  </si>
  <si>
    <t>https://www.walksofitaly.com/blog/wp-content/uploads/2013/10/Screen-Shot-2013-10-15-at-11.18.06-PM.png</t>
  </si>
  <si>
    <t>http://europa.eu/youreurope/citizens/vehicles/registration/taxes/italy/index_it.htm</t>
  </si>
  <si>
    <t>Banco Posta</t>
  </si>
  <si>
    <t>https://lh3.googleusercontent.com/UE0Jfp-gEqvPZ3A9Ejp1iOgyC4WzUQ9zMme5mIHkq87Jk6bQL9Gaede70T4AhQiJ9Wk=w300</t>
  </si>
  <si>
    <t>https://www.poste.it/bancoposta/</t>
  </si>
  <si>
    <t>Chebanca</t>
  </si>
  <si>
    <t>http://votefintech.s3-website.eu-central-1.amazonaws.com/uploads/company/logo/298/Logo_CheBanca.png</t>
  </si>
  <si>
    <t>https://www.chebanca.it</t>
  </si>
  <si>
    <t>The British School of Milan</t>
  </si>
  <si>
    <t>http://www.italy.doingbusinessguide.co.uk/media/947760/Logo_BSM_shadows_and_pay-off_600px_250x265.jpg</t>
  </si>
  <si>
    <t>http://www.britishschoolmilan.com</t>
  </si>
  <si>
    <t>http://accessorize.it</t>
  </si>
  <si>
    <t>Salina Milano</t>
  </si>
  <si>
    <t>http://www.salinamilano.com/img/negozi/img_salina_abruzzi.jpg</t>
  </si>
  <si>
    <t>http://www.salinamilano.com</t>
  </si>
  <si>
    <t>Taschen</t>
  </si>
  <si>
    <t>Book store</t>
  </si>
  <si>
    <t>http://lotushaus.typepad.com/.a/6a00d8357c6b5b69e20105362bf354970b-500wi</t>
  </si>
  <si>
    <t>https://www.taschen.com/pages/de/stores/39059.store_mailand.htm</t>
  </si>
  <si>
    <t>Chocolat Milano</t>
  </si>
  <si>
    <t>http://www.chocolatmilano.it/app/uploads/2015/03/chocolat_tw.jpg</t>
  </si>
  <si>
    <t>http://www.chocolatmilano.it</t>
  </si>
  <si>
    <t>OVS</t>
  </si>
  <si>
    <t>http://demandware.edgesuite.net/aakz_prd/on/demandware.static/Sites-ovs-italy-Site/-/default/dw76c977ef/images/OVS_logo.jpg</t>
  </si>
  <si>
    <t>http://www.ovs.it/homepage</t>
  </si>
  <si>
    <t>Corsi Moda Milano</t>
  </si>
  <si>
    <t>http://www.eduitalia.org/wp-content/uploads/2015/06/accademialusso-logo.jpg</t>
  </si>
  <si>
    <t>http://www.corsi-moda-milano.it</t>
  </si>
  <si>
    <t>https://it.allsaints.com/store-locator/#</t>
  </si>
  <si>
    <t>Gaudi</t>
  </si>
  <si>
    <t>http://www.diffusionestock.com/open2b/var/pages/62.jpg</t>
  </si>
  <si>
    <t>http://www.gaudi.it/it/it/online-shop.html</t>
  </si>
  <si>
    <t>http://www.zara.com/it/</t>
  </si>
  <si>
    <t>https://www.the-body-shop.it</t>
  </si>
  <si>
    <t>http://www.maccosmetics.it</t>
  </si>
  <si>
    <t>Lush</t>
  </si>
  <si>
    <t>https://upload.wikimedia.org/wikipedia/commons/thumb/8/8c/Lush_logo.svg/2000px-Lush_logo.svg.png</t>
  </si>
  <si>
    <t>https://it.lush.com</t>
  </si>
  <si>
    <t>http://www.ebay.it</t>
  </si>
  <si>
    <t>https://www.amazon.it</t>
  </si>
  <si>
    <t>http://it.nextdirect.com/it/</t>
  </si>
  <si>
    <t>la Rinascente Milano</t>
  </si>
  <si>
    <t>http://cdn.supadupa.me/shop/38192/images/2125108/laRinascente_logo_BiancoSuNero_massive.jpg?1447768453</t>
  </si>
  <si>
    <t>https://www.rinascente.it/rinascente/it</t>
  </si>
  <si>
    <t>10 Corso como</t>
  </si>
  <si>
    <t>http://www.krisruhs.com/Upload/gallery/works/30082012121322L_10corsocomo.jpg</t>
  </si>
  <si>
    <t>http://www.10corsocomo.com</t>
  </si>
  <si>
    <t>Upim</t>
  </si>
  <si>
    <t>http://www.centroletorri.com/wp-content/uploads/2015/04/Logo-Upim-bucato-copy.png</t>
  </si>
  <si>
    <t>http://www.upim.it</t>
  </si>
  <si>
    <t>Excelsior Milano</t>
  </si>
  <si>
    <t>https://www.excelsiormilano.com/themes/excelsior/img/excelsior_logo.jpg</t>
  </si>
  <si>
    <t>https://www.excelsiormilano.com</t>
  </si>
  <si>
    <t>http://www.chanel.com/it_IT/</t>
  </si>
  <si>
    <t>http://www.michaelkors.it/?ip=off&amp;_requestid=5234412#</t>
  </si>
  <si>
    <t>Meadi World</t>
  </si>
  <si>
    <t>http://www.portedicatania.gallerieauchan.it/immagini/negozi/loghi/files/800x600_2577201503944_logo-mediaworld.jpg</t>
  </si>
  <si>
    <t>http://www.mediaworld.it</t>
  </si>
  <si>
    <t>Trony</t>
  </si>
  <si>
    <t>http://www.centrovolantini.it/sites/default/files/styles/thumb_copertina/public/logo-trony.JPG</t>
  </si>
  <si>
    <t>https://www.trony.it/online/store/TRO339_A</t>
  </si>
  <si>
    <t>Euronics</t>
  </si>
  <si>
    <t>https://75471eab7235b46b961c-3be884ee5fdd935653d5922e592d54ea.ssl.cf3.rackcdn.com/logo.gif</t>
  </si>
  <si>
    <t>http://www.euronics.it/acquistaonline/</t>
  </si>
  <si>
    <t>Au Nom Del Rose</t>
  </si>
  <si>
    <t>https://pbs.twimg.com/profile_images/1765948975/anr-twitter.jpg</t>
  </si>
  <si>
    <t>http://www.aunomdelarose.com/boutiques/trouver-une-boutique/</t>
  </si>
  <si>
    <t>F Pettinaroli</t>
  </si>
  <si>
    <t>http://www.fpettinaroli.it/common/images/index_12.gif</t>
  </si>
  <si>
    <t>http://www.fpettinaroli.it</t>
  </si>
  <si>
    <t>Bricoio</t>
  </si>
  <si>
    <t>http://www.mondopratico.it/media/arts/brico_io_logo_nuovo_format.jpg</t>
  </si>
  <si>
    <t>Spotti</t>
  </si>
  <si>
    <t>http://www.spotti.com/wp-content/themes/spotti/images/logo.gif</t>
  </si>
  <si>
    <t>http://www.spotti.com</t>
  </si>
  <si>
    <t>Zanotta</t>
  </si>
  <si>
    <t>https://pbs.twimg.com/profile_images/685488090601943040/vvD2_Ts5.jpg</t>
  </si>
  <si>
    <t>http://www.zanotta.it/it/</t>
  </si>
  <si>
    <t>B&amp;B Italia</t>
  </si>
  <si>
    <t>logoBeB.jpg</t>
  </si>
  <si>
    <t>http://www.bebitalia.com/it/</t>
  </si>
  <si>
    <t>Ikea</t>
  </si>
  <si>
    <t>http://www.famouslogos.us/images/ikea-logo.jpg</t>
  </si>
  <si>
    <t>http://www.ikea.com/it/it/</t>
  </si>
  <si>
    <t>Bulgari</t>
  </si>
  <si>
    <t>https://pabangoco.files.wordpress.com/2014/08/bvlgarilogo.jpg</t>
  </si>
  <si>
    <t>http://www.bulgari.com/it-it/</t>
  </si>
  <si>
    <t>Mariuccia Kids</t>
  </si>
  <si>
    <t>https://image.jimcdn.com/app/cms/image/transf/dimension=478x10000:format=jpg/path/scb331116651c0519/image/i10aa196a54935786/version/1456241401/image.jpg</t>
  </si>
  <si>
    <t>http://www.mariucciakids.com</t>
  </si>
  <si>
    <t>http://aimg.disneystore.com/content/global/misc/defaultCategoryImg.jpg</t>
  </si>
  <si>
    <t>http://disney.it</t>
  </si>
  <si>
    <t>Foscarini</t>
  </si>
  <si>
    <t>http://www.foscarini.com/diesel-us/images/784307326/foscarinicom-jpg.jpg?MzA2eDIwOTo6bm9uZTo3MmYxMjUwYzcxYmRjYmQ0YWZmYjIwYzZlMmQwMGU0Yw%3D%3D</t>
  </si>
  <si>
    <t>http://www.foscarini.com</t>
  </si>
  <si>
    <t>Shopping/Newspaper_35</t>
  </si>
  <si>
    <t>Corriere Della Sera</t>
  </si>
  <si>
    <t>Newspaper</t>
  </si>
  <si>
    <t>http://www.colacosmetics.com/sites/default/files/corriere%20della%20sera%20logo.jpg</t>
  </si>
  <si>
    <t>http://www.corriere.it</t>
  </si>
  <si>
    <t>Leonardo Shoes</t>
  </si>
  <si>
    <t>https://s3-media1.fl.yelpcdn.com/bphoto/WA7OGwaVkcYr-26Q0W27FA/ls.jpg</t>
  </si>
  <si>
    <t>http://www.leonardoshoes.com</t>
  </si>
  <si>
    <t>Car Shoe</t>
  </si>
  <si>
    <t>http://www.carshoe.com/loader.gif</t>
  </si>
  <si>
    <t>http://www.carshoe.com/it/</t>
  </si>
  <si>
    <t>http://iet.jrc.ec.europa.eu/energyefficiency/sites/energyefficiency/files/images/organisation/decathlon_0.png</t>
  </si>
  <si>
    <t>https://www.decathlon.it</t>
  </si>
  <si>
    <t>AC Milan Megastore</t>
  </si>
  <si>
    <t>http://store.acmilan.com/media/epi/immagini/pagina-negozio/assets/images/milan-megastore-logo.png</t>
  </si>
  <si>
    <t>http://store.acmilan.com/it/milan-megastore</t>
  </si>
  <si>
    <t>http://www.sky.it</t>
  </si>
  <si>
    <t>QC Terme Milano</t>
  </si>
  <si>
    <t>http://www.termemilano.com/images/site/logo.gif</t>
  </si>
  <si>
    <t>http://www.termemilano.com</t>
  </si>
  <si>
    <t>Green Box</t>
  </si>
  <si>
    <t>http://www.greenbox.it/wp-content/uploads/2015/07/Il_Sole_24_Ore-parla-di-GreenBox.png</t>
  </si>
  <si>
    <t>http://www.greenbox.it</t>
  </si>
  <si>
    <t>Digi Key</t>
  </si>
  <si>
    <t>http://www.digikey.com/-/media/Images/Header/logo_dk.png?la=en-US&amp;ts=5b6b81dc-74b3-428d-8251-c96efbebec89</t>
  </si>
  <si>
    <t>http://www.digikey.it/it</t>
  </si>
  <si>
    <t>https://www.dominositalia.it</t>
  </si>
  <si>
    <t>TalkTalk</t>
  </si>
  <si>
    <t>http://www.theinquirer.net/IMG/793/134793/talktalk-logo.JPG</t>
  </si>
  <si>
    <t>https://sales.talktalk.co.uk</t>
  </si>
  <si>
    <t>http://www.theinquirer.net/IMG/873/153873/vodafone3920-270x167.jpg?1451875518</t>
  </si>
  <si>
    <t>Tim</t>
  </si>
  <si>
    <t>http://www.telecomitalia.com/content/dam/telecomitalia/media-tools/img/tim-loghi/Il%20nuovo%20Marchio%20TIM_13%20gennaio%202016.jpg</t>
  </si>
  <si>
    <t>https://www.tim.it</t>
  </si>
  <si>
    <t>o2</t>
  </si>
  <si>
    <t>https://cloudfront.pinzoo.com/_dist/img/topups/logos/lyca-mobile-logo.svg</t>
  </si>
  <si>
    <t>http://www.lycamobile.it/it/</t>
  </si>
  <si>
    <t>Viagogo</t>
  </si>
  <si>
    <t>http://www.viagogo.com/img/canonical/viagogo_logo_151x151.jpg</t>
  </si>
  <si>
    <t>http://www.viagogo.com/Italy</t>
  </si>
  <si>
    <t>http://www.hak-import.it/cms/upload/layout/hak-logo.jpg</t>
  </si>
  <si>
    <t>http://www.hak-import.it/it/home.html</t>
  </si>
  <si>
    <t>ATM</t>
  </si>
  <si>
    <t>http://www.brandsoftheworld.com/sites/default/files/styles/logo-thumbnail/public/0010/8702/brand.gif?itok=mBhXXUwn</t>
  </si>
  <si>
    <t>http://www.atm.it/it/Pagine/default.aspx</t>
  </si>
  <si>
    <t>Enel</t>
  </si>
  <si>
    <t>http://www.mattlumine.com/wp-content/uploads/2016/02/enel.jpg</t>
  </si>
  <si>
    <t>https://www.enel.it/it-it</t>
  </si>
  <si>
    <t>Edison</t>
  </si>
  <si>
    <t>http://www.edison.it/sites/default/files/Edison_Prop2_.jpg</t>
  </si>
  <si>
    <t>http://www.edison.it</t>
  </si>
  <si>
    <t>Tei Energy</t>
  </si>
  <si>
    <t>http://tei-energy.com/wp-content/uploads/2016/08/logo-tei-energy_alta.png</t>
  </si>
  <si>
    <t>http://tei-energy.com</t>
  </si>
  <si>
    <t>Metropolitana Milanese</t>
  </si>
  <si>
    <t>http://www.markify.com/images/ctm/originals/002795193.JPG</t>
  </si>
  <si>
    <t>http://www.metropolitanamilanese.it</t>
  </si>
  <si>
    <t>Gruppocap</t>
  </si>
  <si>
    <t>http://www.gruppocap.it/Skins/GruppoCAP/img/logo.jpg</t>
  </si>
  <si>
    <t>http://www.gruppocap.it</t>
  </si>
  <si>
    <t>Vivi Gas</t>
  </si>
  <si>
    <t>http://www.vivigas.com/wp-content/uploads/2016/05/logo-2-300x153.png</t>
  </si>
  <si>
    <t>http://www.vivigas.com</t>
  </si>
  <si>
    <t>Royal Thames Yatch Club</t>
  </si>
  <si>
    <t>http://preziosamagazine.com/wp-content/uploads/2016/05/Montenapoleone-Yacht-Club.png</t>
  </si>
  <si>
    <t>https://www.montenapoleone.luxury/it/news/montenapoleonayachtclub.html</t>
  </si>
  <si>
    <t>BNPPParibas ATM</t>
  </si>
  <si>
    <t>Donation Miss Russo</t>
  </si>
  <si>
    <t>Donation Mr and Mrs Gallo</t>
  </si>
  <si>
    <t>Donation Mr and Mrs Ricci</t>
  </si>
  <si>
    <t>Donation Mr Ferrari</t>
  </si>
  <si>
    <t>Donation Moretti Family</t>
  </si>
  <si>
    <t>Donation Smile Train</t>
  </si>
  <si>
    <t>Donation Fondazione Archè Onlus</t>
  </si>
  <si>
    <t>https://i.vimeocdn.com/portrait/6262860_300x300</t>
  </si>
  <si>
    <t>http://www.arche.it/it/index.html</t>
  </si>
  <si>
    <t>Sight Savers</t>
  </si>
  <si>
    <t>http://bydfault.com/wp-content/uploads/2012/12/sisa_logo_rgb_wht_hrz.png</t>
  </si>
  <si>
    <t>https://www.sightsavers.it/</t>
  </si>
  <si>
    <t>Donation Mondo Gatto</t>
  </si>
  <si>
    <t>http://www.kiwithecat.it/mondogatto_logobig.gif</t>
  </si>
  <si>
    <t>http://www.mondogatto.org</t>
  </si>
  <si>
    <t>Donation Associazione Italiana Editori</t>
  </si>
  <si>
    <t>http://www.aie.it/Portals/38/DNNGallery/uploads/2015/2/27/01-AIE-logo-pieno_nero_1.jpg</t>
  </si>
  <si>
    <t>http://www.aie.it/Home.aspx</t>
  </si>
  <si>
    <t>Pay</t>
  </si>
  <si>
    <t>Mr D Conti</t>
  </si>
  <si>
    <t>Vidas Hospice</t>
  </si>
  <si>
    <t>https://pbs.twimg.com/profile_images/2910439857/125614ac4fee8d3680ccb019d8396625_400x400.jpeg</t>
  </si>
  <si>
    <t>https://www.vidas.it</t>
  </si>
  <si>
    <t>Casa Pediatrica Hospital</t>
  </si>
  <si>
    <t>http://static.wixstatic.com/media/13fafe_eb62a62f5bbe466e9cab57ae1506815c~mv2.png</t>
  </si>
  <si>
    <t>http://www.casapediatrica.it</t>
  </si>
  <si>
    <t>Salary Mr R Bianchi</t>
  </si>
  <si>
    <t>Salary Mrs F Greco</t>
  </si>
  <si>
    <t>Paid Invoice Mr Bruno</t>
  </si>
  <si>
    <t>Paid Invoice Mr Lombardi</t>
  </si>
  <si>
    <t>Paid Invoice Miss Clement</t>
  </si>
  <si>
    <t>Paid Invoice 76542 Mr Bruno</t>
  </si>
  <si>
    <t>Paid Invoice  986 Mr Romano</t>
  </si>
  <si>
    <t>Paid Invoice 2297 Miss Conti</t>
  </si>
  <si>
    <t xml:space="preserve">Salary </t>
  </si>
  <si>
    <t>trainline</t>
  </si>
  <si>
    <t>Directline for Business</t>
  </si>
  <si>
    <t>https://media.licdn.com/mpr/mpr/shrink_200_200/AAEAAQAAAAAAAAPLAAAAJGYxNzgyYjFjLTI0Y2YtNDhkMS1hZTA1LWUwMTQzZDYxZmNiNw.png</t>
  </si>
  <si>
    <t>http://www.nacora.com/our-solutions/specialist-insurance-your-country-your-coverage/italy/</t>
  </si>
  <si>
    <t>USA</t>
  </si>
  <si>
    <t>type (feel free to add more lines)</t>
  </si>
  <si>
    <t>counterparty_name (Ex : Auchan, IKEA…)</t>
  </si>
  <si>
    <t>example_reference (ex : trip to Vietnam)</t>
  </si>
  <si>
    <t>typical_value (ex : 50€)</t>
  </si>
  <si>
    <t>counterparty_logo (URL)</t>
  </si>
  <si>
    <t>counterparty_homepage (URL)</t>
  </si>
  <si>
    <t>The Spice Depot</t>
  </si>
  <si>
    <t>specialty foods</t>
  </si>
  <si>
    <t>http://cf.juggle-images.com/matte/white/280x280/the-spice-depot-1-logo-primary.jpg</t>
  </si>
  <si>
    <t>http://www.thespicedepot.net/</t>
  </si>
  <si>
    <t>Whole Foods</t>
  </si>
  <si>
    <t>groceries</t>
  </si>
  <si>
    <t>http://www.brandprofiles.com/whole-foods-logo</t>
  </si>
  <si>
    <t>http://upload.wikimedia.org/wikipedia/en/thumb/f/f3/Whole_Foods_Market_logo.svg/543px-Whole_Foods_Market_logo.svg.png</t>
  </si>
  <si>
    <t>http://www.wholefoodsmarket.com/</t>
  </si>
  <si>
    <t>The Grocery Company</t>
  </si>
  <si>
    <t>large volume grocery items</t>
  </si>
  <si>
    <t>http://www.brandprofiles.com/the-grocery-company-of-steamboat-logo</t>
  </si>
  <si>
    <t>http://logovectors.net/images/large/11/The-Grocery-Company-of-Steamboat-logo.gif</t>
  </si>
  <si>
    <t>http://grocerycompany.com/news/</t>
  </si>
  <si>
    <t>Smart and Final</t>
  </si>
  <si>
    <t>prepared meals</t>
  </si>
  <si>
    <t>http://www.brandprofiles.com/smart---final-logo</t>
  </si>
  <si>
    <t>http://upload.wikimedia.org/wikipedia/en/b/b8/Smart-final.jpg</t>
  </si>
  <si>
    <t>http://www.smartandfinal.com/Homepage.aspx</t>
  </si>
  <si>
    <t>Petsmart</t>
  </si>
  <si>
    <t>Pet food</t>
  </si>
  <si>
    <t>http://www.brandprofiles.com/pets-mart-logo</t>
  </si>
  <si>
    <t>http://upload.wikimedia.org/wikipedia/en/0/01/PetSmart.svg</t>
  </si>
  <si>
    <t>http://www.petsmart.com/</t>
  </si>
  <si>
    <t>Petco</t>
  </si>
  <si>
    <t>http://upload.wikimedia.org/wikipedia/en/4/47/Petco_logo.svg</t>
  </si>
  <si>
    <t>http://www.petco.com/</t>
  </si>
  <si>
    <t>Boby &amp; Nia Pet shop</t>
  </si>
  <si>
    <t>dog toys</t>
  </si>
  <si>
    <t>http://www.brandprofiles.com/boby---nina-pet-shop-logo</t>
  </si>
  <si>
    <t>http://images.clipartlogo.com/files/images/23/23772/boby-nina-pet-shop_f.png</t>
  </si>
  <si>
    <t>http://www.shop.nina-ottosson.com/1.html</t>
  </si>
  <si>
    <t>AKC</t>
  </si>
  <si>
    <t>Dog registration</t>
  </si>
  <si>
    <t>yearly</t>
  </si>
  <si>
    <t>http://s3-us-west-2.amazonaws.com/akccontentimages/Logos/AKC2015logo_Seal_PMS286.jpg</t>
  </si>
  <si>
    <t>http://www.akc.org/</t>
  </si>
  <si>
    <t>Super Cuts</t>
  </si>
  <si>
    <t>http://img3.wikia.nocookie.net/__cb20120105004118/logopedia/images/3/35/SuperCuts_logo.gif</t>
  </si>
  <si>
    <t>https://www.supercuts.com/</t>
  </si>
  <si>
    <t>A Cut Above</t>
  </si>
  <si>
    <t>http://www.brandprofiles.com/a-cut-above-logo</t>
  </si>
  <si>
    <t>-</t>
  </si>
  <si>
    <t>Golds Gym</t>
  </si>
  <si>
    <t>Fitness</t>
  </si>
  <si>
    <t>Daily</t>
  </si>
  <si>
    <t>http://www.brandprofiles.com/gold-s-gym-7-logo</t>
  </si>
  <si>
    <t>http://upload.wikimedia.org/wikipedia/en/thumb/b/b2/GoldsGym_Logo.svg/1013px-GoldsGym_Logo.svg.png</t>
  </si>
  <si>
    <t>MAC</t>
  </si>
  <si>
    <t>http://www.brandprofiles.com/mac-cosmetics-logo-1</t>
  </si>
  <si>
    <t>http://www.brandsoftheworld.com/sites/default/files/styles/logo-thumbnail/public/0012/8994/brand.gif</t>
  </si>
  <si>
    <t>http://www.maccosmetics.com</t>
  </si>
  <si>
    <t>http://www.brandprofiles.com/bulgari-logo-1</t>
  </si>
  <si>
    <t>http://www.brandsoftheworld.com/sites/default/files/styles/logo-thumbnail/public/0020/9530/brand.gif</t>
  </si>
  <si>
    <t>http://www.bulgari.com/en-us/</t>
  </si>
  <si>
    <t>Sees</t>
  </si>
  <si>
    <t>Candy</t>
  </si>
  <si>
    <t>http://www.brandprofiles.com/see-s-candies-1-logo</t>
  </si>
  <si>
    <t>http://cf.juggle-images.com/matte/white/280x280/see-s-candies-logo-primary.jpg</t>
  </si>
  <si>
    <t>http://www.sees.com/</t>
  </si>
  <si>
    <t>Gumps</t>
  </si>
  <si>
    <t>China</t>
  </si>
  <si>
    <t>http://www.brandprofiles.com/gump-s-logo</t>
  </si>
  <si>
    <t>https://apis.xogrp.com/media-api/images/00cbbd18-79f8-4c5c-9b12-859464331946</t>
  </si>
  <si>
    <t>http://www.gumps.com/</t>
  </si>
  <si>
    <t>FTD</t>
  </si>
  <si>
    <t>flowers</t>
  </si>
  <si>
    <t>http://www.brandprofiles.com/ftd-4-logo</t>
  </si>
  <si>
    <t>http://upload.wikimedia.org/wikipedia/en/3/3f/Florists'_Transworld_Delivery_(logo).png</t>
  </si>
  <si>
    <t>https://www.ftd.com/</t>
  </si>
  <si>
    <t>K Mart</t>
  </si>
  <si>
    <t>Paper Products</t>
  </si>
  <si>
    <t>http://www.brandprofiles.com/k-mart-logo</t>
  </si>
  <si>
    <t>http://upload.wikimedia.org/wikipedia/commons/thumb/2/20/Kmart_logo.svg/2000px-Kmart_logo.svg.png</t>
  </si>
  <si>
    <t>http://www.kmart.com/</t>
  </si>
  <si>
    <t>Walmart</t>
  </si>
  <si>
    <t>Staples</t>
  </si>
  <si>
    <t>http://www.brandprofiles.com/wall-mart-logo</t>
  </si>
  <si>
    <t>http://upload.wikimedia.org/wikipedia/fr/b/ba/Logo_Wal-Mart.svg</t>
  </si>
  <si>
    <t>http://www.walmart.com/</t>
  </si>
  <si>
    <t>Sears</t>
  </si>
  <si>
    <t>Refrigerator</t>
  </si>
  <si>
    <t>http://www.brandprofiles.com/sears-4-logo</t>
  </si>
  <si>
    <t>http://images.franchiseherald.com/data/images/full/9859/sears.jpg</t>
  </si>
  <si>
    <t>Lowes</t>
  </si>
  <si>
    <t>Garden Supplies</t>
  </si>
  <si>
    <t>http://www.brandprofiles.com/lowe-s-9-logo</t>
  </si>
  <si>
    <t>http://www.lowes.com/images/logos/vertical/NSI_Lowes_logo_vert_280_2617.png</t>
  </si>
  <si>
    <t>http://www.lowes.com/</t>
  </si>
  <si>
    <t>Home Depot</t>
  </si>
  <si>
    <t>Paint</t>
  </si>
  <si>
    <t>http://www.brandprofiles.com/the-home-depot-3-logo</t>
  </si>
  <si>
    <t>http://upload.wikimedia.org/wikipedia/commons/5/5f/TheHomeDepot.svg</t>
  </si>
  <si>
    <t>http://www.homedepot.com/</t>
  </si>
  <si>
    <t>Big Lots</t>
  </si>
  <si>
    <t>Wine</t>
  </si>
  <si>
    <t>http://www.brandprofiles.com/big-lots-logo</t>
  </si>
  <si>
    <t>http://upload.wikimedia.org/wikipedia/commons/c/c4/Big_Lots_logo.jpeg</t>
  </si>
  <si>
    <t>http://www.biglots.com/</t>
  </si>
  <si>
    <t>Taco Bell</t>
  </si>
  <si>
    <t>Fast Food</t>
  </si>
  <si>
    <t>http://www.brandprofiles.com/taco-bell-logo-3</t>
  </si>
  <si>
    <t>http://img2.wikia.nocookie.net/__cb20100117213647/logopedia/images/4/45/Taco_Bell.svg</t>
  </si>
  <si>
    <t>http://www.tacobell.com/</t>
  </si>
  <si>
    <t>Southern California Gas</t>
  </si>
  <si>
    <t>Natural Gas</t>
  </si>
  <si>
    <t>http://www.brandprofiles.com/southern-california-gas-company-1-logo</t>
  </si>
  <si>
    <t>http://upload.wikimedia.org/wikipedia/en/thumb/e/eb/SoCalGas_Logo.svg/401px-SoCalGas_Logo.svg.png</t>
  </si>
  <si>
    <t>http://ww1.southerncaliforniagas.com/</t>
  </si>
  <si>
    <t>PG&amp;E</t>
  </si>
  <si>
    <t>Electicity</t>
  </si>
  <si>
    <t>http://www.brandprofiles.com/pg-e-logo</t>
  </si>
  <si>
    <t>http://file.answcdn.com/answ-cld/image/upload/v1/tk/brand_images/4/2/1/6/6/0/4216606684/7285a1d40b4c56120d1fc86497163a03dd216ae0.jpeg</t>
  </si>
  <si>
    <t>ICG Propane</t>
  </si>
  <si>
    <t>Propane</t>
  </si>
  <si>
    <t>http://www.brandprofiles.com/icg-propane-logo</t>
  </si>
  <si>
    <t>http://www.brandsoftheworld.com/sites/default/files/styles/logo-thumbnail/public/0020/7298/brand.gif</t>
  </si>
  <si>
    <t>http://www.icgpropane.com/</t>
  </si>
  <si>
    <t>Children</t>
  </si>
  <si>
    <t>Gymboree</t>
  </si>
  <si>
    <t>Clothing</t>
  </si>
  <si>
    <t>http://www.brandprofiles.com/gymboree-logo</t>
  </si>
  <si>
    <t>http://www.mommyconnections.ca/wp-content/uploads/2014/04/Gymboree-Logo.jpg</t>
  </si>
  <si>
    <t>http://www.gymboree.com</t>
  </si>
  <si>
    <t>Stride Rite</t>
  </si>
  <si>
    <t>http://www.brandprofiles.com/stride-rite-logo</t>
  </si>
  <si>
    <t>http://gymboree.hs.llnwd.net/e2/media/GYM/images/2010redesign/colorthemes/green/gymboree_logo01_green_v1_m56577569830785621.gif</t>
  </si>
  <si>
    <t>Nordstrom</t>
  </si>
  <si>
    <t>http://www.brandprofiles.com/nordstrom-logo-2</t>
  </si>
  <si>
    <t>http://img3.wikia.nocookie.net/__cb20110302205218/logopedia/images/8/84/NordstromLogo.jpg</t>
  </si>
  <si>
    <t>http://shop.nordstrom.com/</t>
  </si>
  <si>
    <t>Macys</t>
  </si>
  <si>
    <t>http://www.brandprofiles.com/macy-s-logo</t>
  </si>
  <si>
    <t>http://upload.wikimedia.org/wikipedia/commons/thumb/0/09/Macys.svg/2000px-Macys.svg.png</t>
  </si>
  <si>
    <t>http://www.macys.com/</t>
  </si>
  <si>
    <t>Neiman Marcus</t>
  </si>
  <si>
    <t>http://www.brandprofiles.com/neiman-marcus-logo-1</t>
  </si>
  <si>
    <t>http://img2.wikia.nocookie.net/__cb20140320004245/logopedia/images/a/a1/Tx_dal_nm_60s.jpg</t>
  </si>
  <si>
    <t>http://www.neimanmarcus.com/</t>
  </si>
  <si>
    <t>Saks</t>
  </si>
  <si>
    <t>http://www.brandprofiles.com/saks-fifth-avenue-logo-1</t>
  </si>
  <si>
    <t>http://upload.wikimedia.org/wikipedia/commons/thumb/f/fb/SaksFifthAvenueA.svg/2000px-SaksFifthAvenueA.svg.png</t>
  </si>
  <si>
    <t>http://www.saksfifthavenue.com/Entry.jsp</t>
  </si>
  <si>
    <t>Colorado Ballet</t>
  </si>
  <si>
    <t>Performance</t>
  </si>
  <si>
    <t>http://www.brandprofiles.com/colorado-ballet-logo</t>
  </si>
  <si>
    <t>http://upload.wikimedia.org/wikipedia/en/6/62/Colorado_Ballet_logo_2011-2012-resized.jpeg</t>
  </si>
  <si>
    <t>http://www.coloradoballet.org/</t>
  </si>
  <si>
    <t>Design Museum</t>
  </si>
  <si>
    <t>Gallery</t>
  </si>
  <si>
    <t>http://www.brandprofiles.com/design-museum-logo</t>
  </si>
  <si>
    <t>http://www.curveworkplaces.co.uk/wp-content/uploads/2013/01/design-logo-museum1.jpg</t>
  </si>
  <si>
    <t>Carnegie Hall</t>
  </si>
  <si>
    <t>http://www.brandprofiles.com/carnegie-hall-logo</t>
  </si>
  <si>
    <t>http://www.carnegiehall.org/images/logo.jpg</t>
  </si>
  <si>
    <t>Best Buy</t>
  </si>
  <si>
    <t>Television Set</t>
  </si>
  <si>
    <t>http://www.brandprofiles.com/best-buy-logo-3</t>
  </si>
  <si>
    <t>http://upload.wikimedia.org/wikipedia/commons/thumb/f/f5/Best_Buy_Logo.svg/2000px-Best_Buy_Logo.svg.png</t>
  </si>
  <si>
    <t>http://www.bestbuy.com/</t>
  </si>
  <si>
    <t>Bose</t>
  </si>
  <si>
    <t>Music System</t>
  </si>
  <si>
    <t>http://www.brandprofiles.com/bose-logo-1</t>
  </si>
  <si>
    <t>http://upload.wikimedia.org/wikipedia/commons/thumb/0/0c/Bose_logo.svg/2000px-Bose_logo.svg.png</t>
  </si>
  <si>
    <t>http://www.bose.com/</t>
  </si>
  <si>
    <t>Bank &amp; Olufsen</t>
  </si>
  <si>
    <t>Car Audio</t>
  </si>
  <si>
    <t>http://www.brandprofiles.com/bang---olufsen-logo</t>
  </si>
  <si>
    <t>http://www.teknoblog.com/wp-content/uploads/2014/02/bang-olufsen-logo-060214.jpg</t>
  </si>
  <si>
    <t>http://www.bang-olufsen.com/en</t>
  </si>
  <si>
    <t>Target</t>
  </si>
  <si>
    <t>CDs</t>
  </si>
  <si>
    <t>http://www.brandprofiles.com/target-1-logo</t>
  </si>
  <si>
    <t>http://upload.wikimedia.org/wikipedia/commons/thumb/9/9a/Target_logo.svg/432px-Target_logo.svg.png</t>
  </si>
  <si>
    <t>http://www.target.com/</t>
  </si>
  <si>
    <t>Health Net</t>
  </si>
  <si>
    <t>Medical Insurace</t>
  </si>
  <si>
    <t>http://www.brandprofiles.com/health-net-logo-1</t>
  </si>
  <si>
    <t>http://upload.wikimedia.org/wikipedia/en/f/fb/Health_Net_vert_no_tag_color.png</t>
  </si>
  <si>
    <t>https://www.healthnet.com/</t>
  </si>
  <si>
    <t>CVS</t>
  </si>
  <si>
    <t>http://upload.wikimedia.org/wikipedia/commons/thumb/1/1b/CVS_Pharmacy_Alt_Logo.svg/2000px-CVS_Pharmacy_Alt_Logo.svg.png</t>
  </si>
  <si>
    <t>http://www.cvs.com/</t>
  </si>
  <si>
    <t>Childrens Hospital</t>
  </si>
  <si>
    <t>Treatment</t>
  </si>
  <si>
    <t>http://www.brandprofiles.com/children-hospital-logo</t>
  </si>
  <si>
    <t>http://www.google.fr/imgres?imgurl=http://doulawise.com/wp-content/uploads/2013/06/Childrens-Hospital.gif&amp;imgrefurl=http://doulawise.com/childrens-hospital-colorado-once-again-ranks-among-top-10/&amp;h=300&amp;w=300&amp;tbnid=pg6E0kddLXhJ-M:&amp;zoom=1&amp;tbnh=166&amp;tbnw=166&amp;usg=__BHM3P7uFF3Bfs9WdnGJ_MmuE7T4=&amp;docid=oTIf4XJixFQJ5M</t>
  </si>
  <si>
    <t>http://www.childrenshospital.org/</t>
  </si>
  <si>
    <t>SF Giants</t>
  </si>
  <si>
    <t>Baseball game</t>
  </si>
  <si>
    <t>http://www.brandprofiles.com/san-francisco-giants-script-logo-15</t>
  </si>
  <si>
    <t>Cinemax</t>
  </si>
  <si>
    <t>Films</t>
  </si>
  <si>
    <t>http://www.brandprofiles.com/cinemax-logo</t>
  </si>
  <si>
    <t>http://www.ranklogos.com/wp-content/uploads/2014/12/Cinemax-logo.png</t>
  </si>
  <si>
    <t>http://www.cinemax.com/</t>
  </si>
  <si>
    <t>SF 49ers</t>
  </si>
  <si>
    <t>Football game</t>
  </si>
  <si>
    <t>http://www.brandprofiles.com/san-francisco-49ers-helmet-logo-5</t>
  </si>
  <si>
    <t>http://www.sports-logos-screensavers.com/user/San_Francisco_49ers03.jpg</t>
  </si>
  <si>
    <t>http://www.49ers.com/</t>
  </si>
  <si>
    <t>BART</t>
  </si>
  <si>
    <t>commute</t>
  </si>
  <si>
    <t>http://www.brandprofiles.com/bart-bay-area-rapid-transit-logo</t>
  </si>
  <si>
    <t>http://upload.wikimedia.org/wikipedia/commons/thumb/2/26/Bart-logo.svg/2000px-Bart-logo.svg.png</t>
  </si>
  <si>
    <t>http://www.bart.gov/</t>
  </si>
  <si>
    <t>American Airlines</t>
  </si>
  <si>
    <t>Air Travel</t>
  </si>
  <si>
    <t>http://static4.businessinsider.com/image/50f81dbd69bedda323000037-1236-309/screen%20shot%202013-01-17%20at%2010.43.18%20am.png</t>
  </si>
  <si>
    <t>http://www.americanairlines.com</t>
  </si>
  <si>
    <t>Southwest</t>
  </si>
  <si>
    <t>http://www.brandprofiles.com/southwest-airlines-logo-1</t>
  </si>
  <si>
    <t>http://blog.yellowdoggdesigns.com/wp-content/uploads/2011/06/Southwest-Airlines-logo.jpg</t>
  </si>
  <si>
    <t>https://www.southwest.com/</t>
  </si>
  <si>
    <t>Furniture</t>
  </si>
  <si>
    <t>http://www.brandprofiles.com/search/?q=ikea</t>
  </si>
  <si>
    <t>http://www.ikea.com/</t>
  </si>
  <si>
    <t>Pottery Barn</t>
  </si>
  <si>
    <t>pillows</t>
  </si>
  <si>
    <t>http://www.brandprofiles.com/pottery-barn-logo</t>
  </si>
  <si>
    <t>http://www.brandsoftheworld.com/sites/default/files/styles/logo-thumbnail/public/0016/4298/brand.gif</t>
  </si>
  <si>
    <t>http://www.potterybarn.com/</t>
  </si>
  <si>
    <t>Crate &amp; Barrel</t>
  </si>
  <si>
    <t>http://www.brandprofiles.com/crate---barrel-logo</t>
  </si>
  <si>
    <t>http://erinandjayson.com/img/logo-3.png</t>
  </si>
  <si>
    <t>http://www.crateandbarrel.com/</t>
  </si>
  <si>
    <t xml:space="preserve">Benjamin Moore </t>
  </si>
  <si>
    <t>http://www.brandprofiles.com/benjamin-moore-logo</t>
  </si>
  <si>
    <t>http://asidocc.org/files/2014/10/benjamin_moore_logo1.jpg</t>
  </si>
  <si>
    <t>http://www.benjaminmoore.com</t>
  </si>
  <si>
    <t>Crystal Cruises</t>
  </si>
  <si>
    <t>Cruise</t>
  </si>
  <si>
    <t>http://upload.wikimedia.org/wikipedia/en/b/be/Crystal_cruises.PNG</t>
  </si>
  <si>
    <t>http://www.crystalcruises.com/</t>
  </si>
  <si>
    <t>Disneyland</t>
  </si>
  <si>
    <t>Amusement Park</t>
  </si>
  <si>
    <t>http://www.brandprofiles.com/disneyland-logo</t>
  </si>
  <si>
    <t>http://upload.wikimedia.org/wikipedia/fr/e/ec/Logo_disney-DLR2.png</t>
  </si>
  <si>
    <t>https://disneyland.disney.go.com/</t>
  </si>
  <si>
    <t>Fairmont Hotel</t>
  </si>
  <si>
    <t>Hotel</t>
  </si>
  <si>
    <t>http://360vox.com/img/fairmont-logo.png</t>
  </si>
  <si>
    <t>http://www.fairmont.com/</t>
  </si>
  <si>
    <t>Deer Valley</t>
  </si>
  <si>
    <t>Skiing</t>
  </si>
  <si>
    <t>http://www.brandprofiles.com/deer-valley-logo</t>
  </si>
  <si>
    <t>http://upload.wikimedia.org/wikipedia/en/thumb/d/d9/Deer_Valley_Resort_logo.svg/285px-Deer_Valley_Resort_logo.svg.png</t>
  </si>
  <si>
    <t>http://www.deervalley.com/</t>
  </si>
  <si>
    <t>Audi</t>
  </si>
  <si>
    <t>Car Payment</t>
  </si>
  <si>
    <t>http://www.brandprofiles.com/audi-logo-3</t>
  </si>
  <si>
    <t>http://upload.wikimedia.org/wikipedia/commons/7/7f/Audi_logo_detail.svg</t>
  </si>
  <si>
    <t>http://www.audi.com/index.html</t>
  </si>
  <si>
    <t>Chevron</t>
  </si>
  <si>
    <t>http://www.brandprofiles.com/chevron-logo</t>
  </si>
  <si>
    <t>http://upload.wikimedia.org/wikipedia/commons/8/86/Chevron_Logo.svg</t>
  </si>
  <si>
    <t>http://www.chevron.com/</t>
  </si>
  <si>
    <t>Pep Boys</t>
  </si>
  <si>
    <t>Auto parts</t>
  </si>
  <si>
    <t>http://www.brandprofiles.com/pep-boys-logo-3</t>
  </si>
  <si>
    <t>http://img3.wikia.nocookie.net/__cb20130728214156/logopedia/images/9/9a/Pep_Boys.svg</t>
  </si>
  <si>
    <t>http://www.pepboys.com/</t>
  </si>
  <si>
    <t>Jiffy Lube</t>
  </si>
  <si>
    <t>Oil Change</t>
  </si>
  <si>
    <t>monthly</t>
  </si>
  <si>
    <t>http://www.brandprofiles.com/jiffy-lube-logo</t>
  </si>
  <si>
    <t>http://upload.wikimedia.org/wikipedia/en/4/46/Jiffy_Lube_Logo.jpg</t>
  </si>
  <si>
    <t>https://www.jiffylube.com/</t>
  </si>
  <si>
    <t>TURKEY</t>
  </si>
  <si>
    <t>BAKKAL VE SUPERMARKETLER</t>
  </si>
  <si>
    <t>ŞÖLEN ÇİKOLATA</t>
  </si>
  <si>
    <t>çikolata</t>
  </si>
  <si>
    <t>http://www.pozitera.com/wp-content/uploads/2013/10/solen_logo1.png</t>
  </si>
  <si>
    <t>https://solen.com.tr/</t>
  </si>
  <si>
    <t>ŞOK MARKET</t>
  </si>
  <si>
    <t>market</t>
  </si>
  <si>
    <t>http://upload.wikimedia.org/wikipedia/tr/2/23/Sok_Logo.png</t>
  </si>
  <si>
    <t>http://www.sokmarket.com.tr/</t>
  </si>
  <si>
    <t>HAPPY MARKET</t>
  </si>
  <si>
    <t>http://www.happycenter.com.tr</t>
  </si>
  <si>
    <t>GRUP GÖKKUŞAĞI</t>
  </si>
  <si>
    <t>http://www.grupgokkusagi.com.tr/images/logos.gif</t>
  </si>
  <si>
    <t>http://www.grupgokkusagi.com.tr</t>
  </si>
  <si>
    <t>ACIBADEM PET</t>
  </si>
  <si>
    <t>veteriner harcaması</t>
  </si>
  <si>
    <t>http://acibadempet.com/wp-content/uploads/2015/05/logo.png</t>
  </si>
  <si>
    <t>KUAFOR VE GUZELLIK SALONLARI</t>
  </si>
  <si>
    <t>ALİ GÜR KUAFÖR</t>
  </si>
  <si>
    <t>kuaför</t>
  </si>
  <si>
    <t>http://www.aligur.com.tr/images/logo.png</t>
  </si>
  <si>
    <t>MİA BELLA GÜZELLİK SALONU-EPİLASYON</t>
  </si>
  <si>
    <t>http://www.kurumsal.web.tr/logo/47487.jpg</t>
  </si>
  <si>
    <t>http://www.miabellaguzellik.com/</t>
  </si>
  <si>
    <t>KUYUMCU MAGAZALARI</t>
  </si>
  <si>
    <t>ALTINBAŞ</t>
  </si>
  <si>
    <t>mücevher</t>
  </si>
  <si>
    <t>http://www.logocu.gen.tr/logolar/A/Altinbas%20Pirlanta.jpg</t>
  </si>
  <si>
    <t>https://www.altinbas.com/tr</t>
  </si>
  <si>
    <t>ATASAY</t>
  </si>
  <si>
    <t>http://www.kayseripark.com.tr/images/1366732544_ATASAY_LOGO.jpg</t>
  </si>
  <si>
    <t>http://www.atasay.com/</t>
  </si>
  <si>
    <t>FAVORİ</t>
  </si>
  <si>
    <t>http://www.favori.com.tr/images/logo.png</t>
  </si>
  <si>
    <t>http://www.favori.com.tr/favori.php</t>
  </si>
  <si>
    <t>ZEN</t>
  </si>
  <si>
    <r>
      <rPr>
        <u/>
        <sz val="11"/>
        <color rgb="FF0000FF"/>
        <rFont val="Calibri"/>
        <charset val="134"/>
      </rPr>
      <t>https://www.zenpirlanta.com/site/images/zendiamond_logo.gif</t>
    </r>
  </si>
  <si>
    <t>https://www.zenpirlanta.com</t>
  </si>
  <si>
    <t>COCUK VE BEBEK GIYIM DUKKANLAR</t>
  </si>
  <si>
    <t>CİVİL BEBE</t>
  </si>
  <si>
    <t>Bebek Giyim</t>
  </si>
  <si>
    <t>MİNİÇO ÇOCUK DÜNYASI</t>
  </si>
  <si>
    <t>Çocuk Giyim</t>
  </si>
  <si>
    <t>http://www.e-minico.com/data/genel/logo.png</t>
  </si>
  <si>
    <t>COCUK BAKIM HIZMETLERI-KRESLER</t>
  </si>
  <si>
    <t>BEYKENT ÖZEL EĞİTİM</t>
  </si>
  <si>
    <t>Eğitim</t>
  </si>
  <si>
    <t>http://www.beykent.k12.tr/sdosya/images/logo.png</t>
  </si>
  <si>
    <t>GİYİM</t>
  </si>
  <si>
    <t>KOMPEDAN</t>
  </si>
  <si>
    <t>Bayan Giyim</t>
  </si>
  <si>
    <t>http://seeklogo.com/images/K/kompedan-logo-A961F4DABF-seeklogo.com.gif</t>
  </si>
  <si>
    <t>http://www.kompedan.com.tr/</t>
  </si>
  <si>
    <t>LC WAİKİKİ</t>
  </si>
  <si>
    <t>Giyim</t>
  </si>
  <si>
    <t>http://www.marmara-forum.com.tr/img/icerik/marmara-forum.com.tr/magaza_logolari/lcw_logo.jpg</t>
  </si>
  <si>
    <t>http://www.lcwaikiki.com/</t>
  </si>
  <si>
    <t>DEFACTO</t>
  </si>
  <si>
    <t>http://www.defacto.com.tr/Content/themes/Layout/v1/images/defacto-logo-s.jpg</t>
  </si>
  <si>
    <t>YEŞİL KUNDURA</t>
  </si>
  <si>
    <t>Ayakkabı</t>
  </si>
  <si>
    <t>http://www.yesil.com.tr/images/frontend/logo1.png</t>
  </si>
  <si>
    <t>ADİL IŞIK</t>
  </si>
  <si>
    <t>http://www.basinbulteni.com/sirket_logos/adil_isik_logo.jpg</t>
  </si>
  <si>
    <t>http://www.adl.com.tr/</t>
  </si>
  <si>
    <t>SINEMA</t>
  </si>
  <si>
    <t>CINEFOXX SİNEMALARI</t>
  </si>
  <si>
    <t>http://cinefoxx.com/cinefoxx.png</t>
  </si>
  <si>
    <t>http://www.cinefoxx.com/</t>
  </si>
  <si>
    <t>GOLD BİLGİSAYAR</t>
  </si>
  <si>
    <t>Bilgisayar Malzemeleri</t>
  </si>
  <si>
    <t>http://www.logocu.gen.tr/logolar/G/Gold%20Computer.jpg</t>
  </si>
  <si>
    <t>http://www.gold.com.tr/</t>
  </si>
  <si>
    <t>HASTANELER</t>
  </si>
  <si>
    <t>TEKDEN HASTANESİ</t>
  </si>
  <si>
    <t>Sağlık</t>
  </si>
  <si>
    <t>http://www.tekdenhastaneleri.com</t>
  </si>
  <si>
    <t>ÖZEL REMEDY HOSPITAL</t>
  </si>
  <si>
    <t>http://www.remedyhospital.com.tr/img/logo.png</t>
  </si>
  <si>
    <t>ÖZEL BAYRAMPAŞA HASTANESİ</t>
  </si>
  <si>
    <t>http://www.bayrampasa.com.tr/images/bayrampasalogo.png</t>
  </si>
  <si>
    <t>ÖZEL BALAT OR-HAYİM MUSEVİ HASTANESİ VAKFI</t>
  </si>
  <si>
    <t>http://www.balathastanesi.com.tr/Custom/OdesisMc/balat_logo.gif</t>
  </si>
  <si>
    <t>http://www.balathastanesi.com.tr/</t>
  </si>
  <si>
    <t>MEDİPOL ÜNİVERSİTESİ HASTANESİ</t>
  </si>
  <si>
    <t>http://www.iskur.us/wp-content/uploads/2013/01/medipol_lhastanesi.jpg</t>
  </si>
  <si>
    <t>http://www.medipolmega.com/</t>
  </si>
  <si>
    <t>ARABA</t>
  </si>
  <si>
    <t>SİXT CAR RENTAL</t>
  </si>
  <si>
    <t>Araba Hizmetleri</t>
  </si>
  <si>
    <t>http://www.sixt.com.tr/public/images/main/sixt-logo-rd-home-claim-since-1912-en.jpg</t>
  </si>
  <si>
    <t xml:space="preserve">SONAX </t>
  </si>
  <si>
    <t>http://upload.wikimedia.org/wikipedia/commons/0/04/Sonax_logo.svg</t>
  </si>
  <si>
    <t>http://www.sonax.com.tr/</t>
  </si>
  <si>
    <t>SPEEDY</t>
  </si>
  <si>
    <t>http://www.speedy.com.tr/images/speedy.png</t>
  </si>
  <si>
    <t>BENZIN ISTASYONLARI</t>
  </si>
  <si>
    <t>http://www.total.com.tr/cs/Total_NW/img/common/logos/header-logo-total.png</t>
  </si>
  <si>
    <t>http://s01.static-shell.com/etc/designs/shell/clientlibs/publish/css/img/logos/shell.gif</t>
  </si>
  <si>
    <t>http://www.shell.com.tr/</t>
  </si>
  <si>
    <t>SEYAHAT ACENTELERI, TUR OPRT.</t>
  </si>
  <si>
    <t>tatil.com</t>
  </si>
  <si>
    <t>Tatil</t>
  </si>
  <si>
    <t>http://www.tatil.com/app/assets/img/logo-orginal.png</t>
  </si>
  <si>
    <t>jollytur</t>
  </si>
  <si>
    <t>http://cdn.jollytur.com/Content/Images/logo.png</t>
  </si>
  <si>
    <t>touristica</t>
  </si>
  <si>
    <t>Yurtdışı tatili</t>
  </si>
  <si>
    <t>http://www.touristica.com.tr/content/images/top_logo01.jpg</t>
  </si>
  <si>
    <t>ETS</t>
  </si>
  <si>
    <t>http://image.etstur.com/files/images/site/images/v4/logo.png</t>
  </si>
  <si>
    <t>http://www.etstur.com/</t>
  </si>
  <si>
    <t>RESTORANLAR VE YEMEK YERLERI</t>
  </si>
  <si>
    <t>DÖNERCİ İBRAHİM USTA</t>
  </si>
  <si>
    <t>yemek</t>
  </si>
  <si>
    <t>http://www.donerciibrahimusta.com.tr/logo1.png</t>
  </si>
  <si>
    <t>PİER LOTİ TEPESİ</t>
  </si>
  <si>
    <t>http://www.pierrelotitepesi.com/images/logo.png</t>
  </si>
  <si>
    <t>http://www.pierrelotitepesi.com/</t>
  </si>
  <si>
    <t>juliet rooms&amp;kitchen</t>
  </si>
  <si>
    <t>http://www.julietistanbul.com/images/temp/logo_b.png</t>
  </si>
  <si>
    <t>KÖFTECİ RAMİZ</t>
  </si>
  <si>
    <t>http://www.kofteciramiz.com/images/kofteci-ramiz-logo.png</t>
  </si>
  <si>
    <t>BELGIUM</t>
  </si>
  <si>
    <t>type</t>
  </si>
  <si>
    <t>Air Belgium</t>
  </si>
  <si>
    <t>http://airbelgium.com/themes/airbelgium/images/air-belgium-logo-h-red.svg</t>
  </si>
  <si>
    <t>http://airbelgium.com/en</t>
  </si>
  <si>
    <t>Brussels Airlines</t>
  </si>
  <si>
    <t>https://s-media-cache-ak0.pinimg.com/originals/7b/f9/30/7bf93074ce6be03774b7f5026a87c473.jpg</t>
  </si>
  <si>
    <t>https://www.brusselsairlines.com/nl-be/?v2=true&amp;utm_expid=39962301-11.o5qiApPcR2qCtUkQhDnhIw.1&amp;utm_referrer=https%3A%2F%2Fwww.brusselsairlines.com%2F</t>
  </si>
  <si>
    <t>Brussels Airport</t>
  </si>
  <si>
    <t>https://www.cvwarehouse.com/brusselsairportcommunity/jobsite/images/Brussels%20Airport.png</t>
  </si>
  <si>
    <t>http://www.brusselsairport.be/nl</t>
  </si>
  <si>
    <t>Grand-Place of Brussels</t>
  </si>
  <si>
    <t>London arttraction</t>
  </si>
  <si>
    <t>https://www.brussels.be/sites/default/files/logo_vbx.png</t>
  </si>
  <si>
    <t>https://www.brussel.be/grote-markt-van-brussel</t>
  </si>
  <si>
    <t>Celtic Pubs</t>
  </si>
  <si>
    <t>http://www.celticpubs.com/celtica/celticacollage1.jpg</t>
  </si>
  <si>
    <t>http://www.celticpubs.com/celtica/celticabxl.html</t>
  </si>
  <si>
    <t>The Music Village</t>
  </si>
  <si>
    <t>https://www.themusicvillage.com/images/the-music-village-logo.png</t>
  </si>
  <si>
    <t>http://themusicvillage.com/NL/index.html</t>
  </si>
  <si>
    <t>http://www.mercedes-benz.be/content/belgium/mpc/mpc_belgium_website/nl/home_mpc/passengercars.html</t>
  </si>
  <si>
    <t>Greenpeace</t>
  </si>
  <si>
    <t>http://1000logos.net/wp-content/uploads/2017/01/Greenpeace-Logo-History.jpg</t>
  </si>
  <si>
    <t>http://www.greenpeace.org/belgium/nl/</t>
  </si>
  <si>
    <t>British Red Cross</t>
  </si>
  <si>
    <t>http://www.clipartbest.com/cliparts/dc8/oRK/dc8oRK6Bi.jpeg</t>
  </si>
  <si>
    <t>http://www.croix-rouge.be</t>
  </si>
  <si>
    <t>Kinepolis</t>
  </si>
  <si>
    <t>https://shop.kinepolis.be/theme/knpgift/images/dist/svg/kinepolis_logo.svg</t>
  </si>
  <si>
    <t>https://kinepolis.be</t>
  </si>
  <si>
    <t>My Little Cup</t>
  </si>
  <si>
    <t>https://cdn1.bigcommerce.com/server2500/26571/product_images/uploaded_images/my-little-cup-logo.jpg?t=1487739521</t>
  </si>
  <si>
    <t>https://www.mylittlecup.be</t>
  </si>
  <si>
    <t>Kaffabar</t>
  </si>
  <si>
    <t>http://kaffabar.be/wp-content/uploads/2015/10/kaffabar.png</t>
  </si>
  <si>
    <t>http://kaffabar.be</t>
  </si>
  <si>
    <t>Dynaco Door</t>
  </si>
  <si>
    <t>https://www.dynacodoor.com/sites/all/themes/norma/dynaco_logo.png</t>
  </si>
  <si>
    <t>https://www.dynacodoor.com/en</t>
  </si>
  <si>
    <t>federal public srvice finance</t>
  </si>
  <si>
    <t>https://www.inventivedesigners.com/sites/default/files/references/images/fodfin.png</t>
  </si>
  <si>
    <t>https://finance.belgium.be/en/about_fps/structure_and_services/general_administrations/taxation</t>
  </si>
  <si>
    <t>Ha Dental</t>
  </si>
  <si>
    <t>http://m.hadentalbrussels.be/RGB_HaDental_Def_Clinic.png?v=1ikhhojxb13xjn</t>
  </si>
  <si>
    <t>http://www.hadentalbrussels.be</t>
  </si>
  <si>
    <t>Savills</t>
  </si>
  <si>
    <t>https://upload.wikimedia.org/wikipedia/commons/thumb/1/16/Savills_logo.svg/2000px-Savills_logo.svg.png</t>
  </si>
  <si>
    <t>http://www.savills.be</t>
  </si>
  <si>
    <t>Esso Filling Station</t>
  </si>
  <si>
    <t>https://upload.wikimedia.org/wikipedia/commons/thumb/2/22/Esso_textlogo.svg/1200px-Esso_textlogo.svg.png</t>
  </si>
  <si>
    <t>http://www.essofuelfinder.be/427403-express-brugge-brugge</t>
  </si>
  <si>
    <t>http://www.shell.be</t>
  </si>
  <si>
    <t>http://www.easyjet.com/</t>
  </si>
  <si>
    <t>https://www.skyscanner.net/?locale=nl-NL&amp;currency=EUR&amp;market=BE</t>
  </si>
  <si>
    <t>TIJ</t>
  </si>
  <si>
    <t>https://media.licdn.com/mpr/mpr/shrink_200_200/p/1/005/052/1a5/1f2c8b4.png</t>
  </si>
  <si>
    <t>http://tijbelgium.com</t>
  </si>
  <si>
    <t>Delhaize</t>
  </si>
  <si>
    <t>https://sustainabilityreport.delhaizegroup.com/2014/wp-content/uploads/2015/04/Delhaize.png</t>
  </si>
  <si>
    <t>http://www.delhaize.be/nl-be/</t>
  </si>
  <si>
    <t>Market</t>
  </si>
  <si>
    <t>https://winkels.carrefour.eu/theme/carrefour/store/fragment/header/img/market-new-nl_1.png</t>
  </si>
  <si>
    <t>https://market.carrefour.eu/nl</t>
  </si>
  <si>
    <t>Spar</t>
  </si>
  <si>
    <t>https://www.brandsoftheworld.com/sites/default/files/styles/logo-thumbnail/public/0001/9303/brand.gif?itok=cxN7qaP3</t>
  </si>
  <si>
    <t>http://spar.be/fr/shop/spar-express-bruxelles</t>
  </si>
  <si>
    <t>Aldi</t>
  </si>
  <si>
    <t>https://nl.aldi.be/images/aldi-logo-big.png</t>
  </si>
  <si>
    <t>https://nl.aldi.be</t>
  </si>
  <si>
    <t>http://is5.mzstatic.com/image/thumb/Purple117/v4/6e/ca/c5/6ecac542-bf6f-1eaf-7e26-6f1752a2399e/source/1200x630bb.jpg</t>
  </si>
  <si>
    <t>https://www.lidl.be/nl/index.htm</t>
  </si>
  <si>
    <t>Match</t>
  </si>
  <si>
    <t>http://www.supermarchesmatch.com/logo_new.png</t>
  </si>
  <si>
    <t>http://www.supermarche-match.be/nl/nl.html?IDC=22791</t>
  </si>
  <si>
    <t>Center Gym</t>
  </si>
  <si>
    <t>http://centergym.be/img/logo_centergym.png</t>
  </si>
  <si>
    <t>http://centergym.be</t>
  </si>
  <si>
    <t>Manufuture</t>
  </si>
  <si>
    <t>http://www.manufuture.org/wp-content/uploads/logo-manufuture.png</t>
  </si>
  <si>
    <t>http://www.manufuture.be/Index.htm</t>
  </si>
  <si>
    <t>Schoot</t>
  </si>
  <si>
    <t>http://www.schott.com/advanced_optics/german/filter/images/h0_schottlogo.gif</t>
  </si>
  <si>
    <t>http://www.schott.com/benelux/english/index.html</t>
  </si>
  <si>
    <t>http://www.benelux.zurich.com</t>
  </si>
  <si>
    <t>Networkfish</t>
  </si>
  <si>
    <t>https://upload.wikimedia.org/wikipedia/commons/thumb/f/f9/Unisys_logo.svg/2000px-Unisys_logo.svg.png</t>
  </si>
  <si>
    <t>http://www.unisys.be</t>
  </si>
  <si>
    <t>Goodman</t>
  </si>
  <si>
    <t>http://www.deltascheme.com/admin/resources/casestudygoodmanlogo.jpg</t>
  </si>
  <si>
    <t>http://www.goodman.com</t>
  </si>
  <si>
    <t>https://upload.wikimedia.org/wikipedia/commons/thumb/c/c8/Orange_logo.svg/2000px-Orange_logo.svg.png</t>
  </si>
  <si>
    <t>https://www.orange.be/nl</t>
  </si>
  <si>
    <t>Base</t>
  </si>
  <si>
    <t>https://www.brandsoftheworld.com/sites/default/files/styles/logo-thumbnail/public/0005/7903/brand.gif?itok=XTO-KXU4</t>
  </si>
  <si>
    <t>https://www.base.be</t>
  </si>
  <si>
    <t>Brussels Droh Golf Club</t>
  </si>
  <si>
    <t>http://www.bdgc.be/wp-content/uploads/2010/11/170328-LOGO-CLUB-HOUSE-MAIL-01-01-300x284.png</t>
  </si>
  <si>
    <t>http://www.bdgc.be/en/</t>
  </si>
  <si>
    <t>Buro Market</t>
  </si>
  <si>
    <t>https://pbs.twimg.com/profile_images/562222037666504704/j2rju0f0.jpeg</t>
  </si>
  <si>
    <t>http://www.buromarket.com/nl/</t>
  </si>
  <si>
    <t>David Rose</t>
  </si>
  <si>
    <t>http://www.davidrose.be/images/2.jpg</t>
  </si>
  <si>
    <t>http://www.davidrose.be/fr_BE#home</t>
  </si>
  <si>
    <t>Lunetier Ludovic</t>
  </si>
  <si>
    <t>http://static1.squarespace.com/static/55d207a3e4b016caae2b0805/t/55f01a0ce4b0fd8857a95c71/1493195089667/?format=1000w</t>
  </si>
  <si>
    <t>http://www.lunetierludovic.be</t>
  </si>
  <si>
    <t>Parking Brussels</t>
  </si>
  <si>
    <t>https://parking.brussels/fr/images/logo-parking-brussels/image_preview</t>
  </si>
  <si>
    <t>http://parking.brussels/fr</t>
  </si>
  <si>
    <t>Multipharma</t>
  </si>
  <si>
    <t>https://www.multipharma.be/uploads/conditions/logo-mutli.png</t>
  </si>
  <si>
    <t>https://www.multipharma.be/fr/</t>
  </si>
  <si>
    <t>Icarus</t>
  </si>
  <si>
    <t>http://nitlab.inf.uth.gr/NITlab/images/hardware/Icarus/icarus_logo.png</t>
  </si>
  <si>
    <t>http://www.icarus-be.com</t>
  </si>
  <si>
    <t>Elak</t>
  </si>
  <si>
    <t>http://www.openinghours-shops.com/upload/store/5053163/logo.jpg</t>
  </si>
  <si>
    <t>http://www.elak.com</t>
  </si>
  <si>
    <t>Mister Genius</t>
  </si>
  <si>
    <t>https://i.ytimg.com/vi/HhyVXAAsL7s/maxresdefault.jpg</t>
  </si>
  <si>
    <t>https://www.mistergenius.be/nl/particulier/</t>
  </si>
  <si>
    <t>ats repair cen</t>
  </si>
  <si>
    <t>http://www.centresony.be/wp-content/uploads/2015/05/Piece-auto-ATC-Repair-Center-Bruxelles-5-300x225.jpg</t>
  </si>
  <si>
    <t>http://www.centresony.be</t>
  </si>
  <si>
    <t>Bia Mara</t>
  </si>
  <si>
    <t>http://static.wixstatic.com/media/9988a6_8484a641ec6049ce9dda2b521971debf.jpg_srz_415_131_85_22_0.50_1.20_0.00_jpg_srz</t>
  </si>
  <si>
    <t>http://www.biamara.com</t>
  </si>
  <si>
    <t>Pasta Divina</t>
  </si>
  <si>
    <t>http://www.grsh.be/wp-content/uploads/2013/10/AEV_2864.jpg</t>
  </si>
  <si>
    <t>http://www.pastadivina.be/#!/</t>
  </si>
  <si>
    <t>Comme Chez Soi</t>
  </si>
  <si>
    <t>https://www.commechezsoi.be/Portals/1/Skins/CommeChezSoi/img/logo-home.gif</t>
  </si>
  <si>
    <t>http://www.commechezsoi.be/fr-fr/</t>
  </si>
  <si>
    <t>Spago</t>
  </si>
  <si>
    <t>https://u.tfstatic.com/restaurant_photos/731/264731/169/612/spago-entree-9c800.jpg</t>
  </si>
  <si>
    <t>http://www.spagobrussels.be</t>
  </si>
  <si>
    <t>Green Mango</t>
  </si>
  <si>
    <t>http://www.greenmango.be/images/logo-gm.png</t>
  </si>
  <si>
    <t>http://www.greenmango.be</t>
  </si>
  <si>
    <t>Exki</t>
  </si>
  <si>
    <t>https://www.exki.com/en/restaurants/exki-agora</t>
  </si>
  <si>
    <t>https://www.facebook.com/BurgerKingBe/</t>
  </si>
  <si>
    <t>Sea Grill</t>
  </si>
  <si>
    <t>http://www.exelmans.be/blog/wp-content/uploads/2011/12/seagrill-yves-mattagne-logo-600x337.jpg</t>
  </si>
  <si>
    <t>http://www.seagrill.eu</t>
  </si>
  <si>
    <t>https://www.pizzahut.be/nl/home</t>
  </si>
  <si>
    <t>https://www.mcdonalds.be</t>
  </si>
  <si>
    <t>Bottegadella Pizza</t>
  </si>
  <si>
    <t>https://cdn0.centralapp.com/api/v1/media/logo-medium/place-4712-9db34a69-f19e-433b-af9c-ea2fc4302e79.jpeg</t>
  </si>
  <si>
    <t>http://bottegadellapizza.be/en</t>
  </si>
  <si>
    <t>Pizza Saco</t>
  </si>
  <si>
    <t>https://s3-media1.fl.yelpcdn.com/bphoto/ctlIu7HjuwJ83DHmVJ8h8Q/o.jpg</t>
  </si>
  <si>
    <t>http://www.pizzasaco.com</t>
  </si>
  <si>
    <t>DSV</t>
  </si>
  <si>
    <t>https://upload.wikimedia.org/wikipedia/en/thumb/8/8c/DSV.svg/1280px-DSV.svg.png</t>
  </si>
  <si>
    <t>http://www.be.dsv.com/road-transport/road-organisation/belgian-road-tax</t>
  </si>
  <si>
    <t>Ing</t>
  </si>
  <si>
    <t>https://www.ing.com/static/ingdotcompresentation/static/images/ING_lion_RGB_200x200.png</t>
  </si>
  <si>
    <t>https://www.ing.be/en/retail/savings/savings-accounts/compare-savings-accounts</t>
  </si>
  <si>
    <t>Bnp Paribas Fortis</t>
  </si>
  <si>
    <t>http://c621460.r60.cf3.rackcdn.com/FORTIS_BL_V_rgb_2.jpg</t>
  </si>
  <si>
    <t>https://www.bnpparibasfortis.be/en/Daily-banking/Discover/Products/Savings-accounts?axes4=priv</t>
  </si>
  <si>
    <t>English Academy</t>
  </si>
  <si>
    <t>School Fees</t>
  </si>
  <si>
    <t>http://www.englishacademy.be/images-new/logo.jpg</t>
  </si>
  <si>
    <t>http://www.englishacademy.be</t>
  </si>
  <si>
    <t>Ernest</t>
  </si>
  <si>
    <t>https://cdn.shopify.com/s/files/1/1539/5513/t/2/assets/logo.png?1768678079301048354</t>
  </si>
  <si>
    <t>https://www.thisisernest.com</t>
  </si>
  <si>
    <t>http://www.disneystore.fr</t>
  </si>
  <si>
    <t>Knuffel.be</t>
  </si>
  <si>
    <t>http://www.geboortelijst.be/shopimages/1916/logo.png</t>
  </si>
  <si>
    <t>Waterstones</t>
  </si>
  <si>
    <t>http://l7.alamy.com/zooms/22ae5f3e4eb64f89822c29897751d59f/waterstones-book-shop-sign-logo-f3jxw8.jpg</t>
  </si>
  <si>
    <t>https://www.waterstones.com/bookshops/brussels</t>
  </si>
  <si>
    <t>Mary</t>
  </si>
  <si>
    <t>https://angelinahue.files.wordpress.com/2014/10/07-mary-36-galerie-de-la-reine02c.jpg</t>
  </si>
  <si>
    <t>http://www.mary.be</t>
  </si>
  <si>
    <t>http://eu.topman.com/?geoip=home</t>
  </si>
  <si>
    <t>http://eu.topshop.com/?geoip=home</t>
  </si>
  <si>
    <t>https://www.allsaints.eu</t>
  </si>
  <si>
    <t>http://www.newlook.com/landing</t>
  </si>
  <si>
    <t>https://www.zara.com/be/</t>
  </si>
  <si>
    <t>http://www.thebodyshop.be/nl/index.aspx</t>
  </si>
  <si>
    <t>http://www.maccosmetics.be</t>
  </si>
  <si>
    <t>Kiko</t>
  </si>
  <si>
    <t>http://www.kikocosmetics.com/mediaObject/kiko/img_sistema/loghi/default-og-image/original/default-og-image.png</t>
  </si>
  <si>
    <t>http://www.kikocosmetics.com/fr-be/nouveautes/celebrating-20-years-of-kiko.html</t>
  </si>
  <si>
    <t>Galeria Inno</t>
  </si>
  <si>
    <t>https://services.inno.be/medias/?context=bWFzdGVyfGNtc3wxNDkzMjh8aW1hZ2UvanBlZ3xzeXMtbWFzdGVyL2Ntcy9oMWUvaDM4Lzg4NjkwMTY5NjEwNTQvNTI1eDM5NHB4X1NlcnZpY2VDbGllbnRlbGVfT29zdGVuZGUuanBnfDQ5Y2ZmMjM5YjM4ZjU3NDA4Y2VkOTZiMGQ5YTc2ODAwMzU1Y2FjYjdiNDljZDdjZTBlOTQ4M2U1OGVlMWU2OTc</t>
  </si>
  <si>
    <t>https://services.inno.be/fr/store/storeNieuwstraat</t>
  </si>
  <si>
    <t>Hema</t>
  </si>
  <si>
    <t>https://www.brandsoftheworld.com/sites/default/files/styles/logo-thumbnail/public/0023/2507/brand.gif?itok=PV3TxtZv</t>
  </si>
  <si>
    <t>https://www.hema.be</t>
  </si>
  <si>
    <t>John Lewis</t>
  </si>
  <si>
    <t>http://cplus-prod-assets.s3.amazonaws.com/production_wordpress/news_uploads/2013/02/john-lewis.jpg</t>
  </si>
  <si>
    <t>https://be.johnlewis.com</t>
  </si>
  <si>
    <t>http://www.debenhams.com/en-be</t>
  </si>
  <si>
    <t>http://www.chanel.com</t>
  </si>
  <si>
    <t>Media Market</t>
  </si>
  <si>
    <t>http://iluv.gr/sites/iluv/files/pos-logos/mediamarkt_logo_jpeg.jpg</t>
  </si>
  <si>
    <t>http://www.mediamarkt.be/nl/?rbtc=mmc|but|headernavigation-link~belgium||||</t>
  </si>
  <si>
    <t>Servicadet</t>
  </si>
  <si>
    <t>http://apps.appmachine.com/9613BC/logo</t>
  </si>
  <si>
    <t>http://brusselselectro-servicadet.be/en?WT.srch=1&amp;WT.mc_id=2000057482&amp;adrecip=MatchCraft</t>
  </si>
  <si>
    <t>http://www.euronicsbelgium.be</t>
  </si>
  <si>
    <t>Euroflorist</t>
  </si>
  <si>
    <t>https://www.euroflorist.be/Upload/eflogotopbeen@x20.png</t>
  </si>
  <si>
    <t>https://www.euroflorist.be/en/</t>
  </si>
  <si>
    <t>Clintons Cards</t>
  </si>
  <si>
    <t>http://cornmillcentre.co.uk/wp-content/uploads/2015/03/clinton-cards-logo.jpg</t>
  </si>
  <si>
    <t>https://www.clintonsretail.com</t>
  </si>
  <si>
    <t>Plan it</t>
  </si>
  <si>
    <t>https://media.glassdoor.com/sqll/1170453/brico-plan-it-squarelogo-1467114741869.png</t>
  </si>
  <si>
    <t>https://www.plan-it.be</t>
  </si>
  <si>
    <t>Au Bon Repos</t>
  </si>
  <si>
    <t>http://www.aubonrepos.be/images/catalogue/2015/fr/catalogue_FR_2015/assets/common/page-substrates/page0001.jpg</t>
  </si>
  <si>
    <t>http://www.aubonrepos.be/fr/</t>
  </si>
  <si>
    <t>Depot Design</t>
  </si>
  <si>
    <t>https://pbs.twimg.com/profile_images/479267951573340161/mzmv69Ck_400x400.png</t>
  </si>
  <si>
    <t>https://www.depot-design.eu/fr/</t>
  </si>
  <si>
    <t>Kare</t>
  </si>
  <si>
    <t>https://www.kare-design.com/migrate/img/logo.png</t>
  </si>
  <si>
    <t>https://www.kare-design.com/shop/be/fr/groups:1/</t>
  </si>
  <si>
    <t>Euro Shop</t>
  </si>
  <si>
    <t>http://www.lenco.com/wp-content/uploads/2012/01/euroshop.jpg</t>
  </si>
  <si>
    <t>http://www.euroshop.be</t>
  </si>
  <si>
    <t>Goldsmith</t>
  </si>
  <si>
    <t>https://media.glassdoor.com/sqll/663/tiffany-and-co-squarelogo.png</t>
  </si>
  <si>
    <t>http://be.tiffany.com/?local=true</t>
  </si>
  <si>
    <t>Pepin la Lune</t>
  </si>
  <si>
    <t>http://1.bp.blogspot.com/-zErDuTKrnHg/UtAFLKYeBWI/AAAAAAAAIyw/mxf47oFpkzo/s1120/leplusbeaudeslogos.jpg</t>
  </si>
  <si>
    <t>http://www.pepinlalune.be</t>
  </si>
  <si>
    <t>art et lumiere</t>
  </si>
  <si>
    <t>http://www.art-et-lumiere.com/media/images/logo.png</t>
  </si>
  <si>
    <t>http://www.art-et-lumiere.com</t>
  </si>
  <si>
    <t>Brussels Info</t>
  </si>
  <si>
    <t>http://www.brussels.info/newspapers/</t>
  </si>
  <si>
    <t>https://www.clarks.eu</t>
  </si>
  <si>
    <t>Shapes</t>
  </si>
  <si>
    <t>http://www.iloveshapes.com/img/logo@2x.png</t>
  </si>
  <si>
    <t>http://www.iloveshapes.com</t>
  </si>
  <si>
    <t>https://www.jdsports.be</t>
  </si>
  <si>
    <t>Serendip spa</t>
  </si>
  <si>
    <t>https://pbs.twimg.com/profile_images/2725614267/d73b8190376b11c95e51327e9a99b32d_400x400.png</t>
  </si>
  <si>
    <t>http://www.serendipspa.com</t>
  </si>
  <si>
    <t>Waves</t>
  </si>
  <si>
    <t>https://backgroundimages.withfloats.com/actual/57eb9ae39ec6680ea89e000f.jpg</t>
  </si>
  <si>
    <t>http://www.wavesaircon.in/belgium/cooling-coil-in-belgium.html</t>
  </si>
  <si>
    <t>http://be.farnell.com/?langId=32&amp;setLangId=true</t>
  </si>
  <si>
    <t>https://www.dominos.be/nl</t>
  </si>
  <si>
    <t>Scarlet</t>
  </si>
  <si>
    <t>http://www.userlogos.org/files/logos/rava/scarlet.png</t>
  </si>
  <si>
    <t>https://www.scarlet.be/nl/trio-internet-tv-telefonie/?src=google_search&amp;gclid=CNCgmcXJr9QCFaUV0wodvqYFOQ</t>
  </si>
  <si>
    <t>Proximus</t>
  </si>
  <si>
    <t>http://www.passwerk.be/sites/default/files/referenties/Proximus_0.jpg</t>
  </si>
  <si>
    <t>https://www.proximus.be/en/id_cr_msub/personal/products/mobilus/mobilus-subscriptions-.html</t>
  </si>
  <si>
    <t>Ipnexia</t>
  </si>
  <si>
    <t>http://support.ipnexia.com/form/mnp/logo.png</t>
  </si>
  <si>
    <t>http://www.ipnexia.com/ip-telephony-solutions/</t>
  </si>
  <si>
    <t>Telenet</t>
  </si>
  <si>
    <t>https://media.licdn.com/mpr/mpr/shrink_200_200/p/2/005/08a/20b/2af925f.png</t>
  </si>
  <si>
    <t>https://www2.telenet.be/nl/</t>
  </si>
  <si>
    <t>http://www.ticketmaster.be</t>
  </si>
  <si>
    <t>Belgian Rail</t>
  </si>
  <si>
    <t>https://www.belgianrail.be/Design/mobility/img/print-logo.gif</t>
  </si>
  <si>
    <t>http://www.belgianrail.be/en/travel-tickets/tickets.aspx</t>
  </si>
  <si>
    <t>EON</t>
  </si>
  <si>
    <t>https://www.eonenergy.com/Images/Logos/EonMainLogo.gif</t>
  </si>
  <si>
    <t>https://www.eon.be</t>
  </si>
  <si>
    <t>Mega</t>
  </si>
  <si>
    <t>https://pbs.twimg.com/profile_images/423454848554508288/w6iacaew_400x400.png</t>
  </si>
  <si>
    <t>http://mega.be</t>
  </si>
  <si>
    <t>Eni</t>
  </si>
  <si>
    <t>https://www.eni.com/img/enicom/company/eni-history/brand_identity2010.jpg</t>
  </si>
  <si>
    <t>https://eni.be/nl/b2c/acq/elektriciteit-aardgas/ons-aanbod/?partner=1542&amp;gclid=CJrZxLjMr9QCFbQV0wodzG0J3Q</t>
  </si>
  <si>
    <t>IBDE</t>
  </si>
  <si>
    <t>http://www.ibde.be</t>
  </si>
  <si>
    <t>Poweo</t>
  </si>
  <si>
    <t>http://groupe.poweo.be/fileadmin/templates/img/logo-belgique.svg</t>
  </si>
  <si>
    <t>http://www.poweo.be/nl/</t>
  </si>
  <si>
    <t>Genval Yatch Club</t>
  </si>
  <si>
    <t>http://www.genvalyachtclub.be/images/upload/106-logosite-1.png</t>
  </si>
  <si>
    <t>http://www.genvalyachtclub.be/home3.asp?ClubID=106&amp;LG=FR</t>
  </si>
  <si>
    <t>https://www.unicreditgroup.eu/en.html</t>
  </si>
  <si>
    <t>Donation Miss Wouters</t>
  </si>
  <si>
    <t>Donation Mr and Mrs Peeters</t>
  </si>
  <si>
    <t>Donation Mr Willems</t>
  </si>
  <si>
    <t>Donation Devos Family</t>
  </si>
  <si>
    <t>https://smiletrain.org.uk/</t>
  </si>
  <si>
    <t>Donation Help Animals</t>
  </si>
  <si>
    <t>http://helpanimals.be/wp-content/themes/html5blank-stable/img/logo.jpg</t>
  </si>
  <si>
    <t>http://helpanimals.be</t>
  </si>
  <si>
    <t>Donation Lion Club</t>
  </si>
  <si>
    <t>http://www.lionsclubs.org/cs-assets/_files/images/logos/lionlogo_2c.jpg</t>
  </si>
  <si>
    <t>http://www.lionsinternational.be/cms/en_US/md-112/charity-programs/sight-programs/campaign-sightfirst-ii.html</t>
  </si>
  <si>
    <t>Donation BSHF</t>
  </si>
  <si>
    <t>http://www.worldurbancampaign.org/sites/default/files/news-logos/bshf.png</t>
  </si>
  <si>
    <t>https://www.bshf.org/our-programmes/homelessness/the-campaign-so-far/brussels-belgium/</t>
  </si>
  <si>
    <t>Donation ACV</t>
  </si>
  <si>
    <t>https://pbs.twimg.com/profile_images/1599178065/acvtw2.gif</t>
  </si>
  <si>
    <t>http://eng.acv-online.be/Belgium/Trade_unions/Belgium_tarde_unions.asp</t>
  </si>
  <si>
    <t>Mr D Smets</t>
  </si>
  <si>
    <t>Bruxelles, Institut Pacheco</t>
  </si>
  <si>
    <t>https://www.brussels.be/nursing-homes-elderly?_ga=2.242880450.1305302629.1496972047-2116422145.1496972047</t>
  </si>
  <si>
    <t>Queen Fabiola Children's University Hospital</t>
  </si>
  <si>
    <t>http://www.huderf.be/design/logohude-full-xl.png</t>
  </si>
  <si>
    <t>http://www.huderf.be</t>
  </si>
  <si>
    <t>Salary Mr R Vos</t>
  </si>
  <si>
    <t>Salary Mrs F Martin</t>
  </si>
  <si>
    <t>Paid Invoice Mr Hermans</t>
  </si>
  <si>
    <t>Paid Invoice Mr Coppens</t>
  </si>
  <si>
    <t>Paid Invoice Miss Dean</t>
  </si>
  <si>
    <t>Paid Invoice 76542 Mr Martin</t>
  </si>
  <si>
    <t>Paid Invoice  986 Mr Maes</t>
  </si>
  <si>
    <t>Paid Invoice 2297 Miss Dean</t>
  </si>
  <si>
    <t>AIG</t>
  </si>
  <si>
    <t>https://www.brandsoftheworld.com/sites/default/files/styles/logo-thumbnail/public/112013/aig.png?itok=Ujd1qIwt</t>
  </si>
  <si>
    <t>http://www.aig.be/business</t>
  </si>
  <si>
    <t>http://nl.aldi.be/</t>
  </si>
  <si>
    <t>Makro</t>
  </si>
  <si>
    <t>http://www.makro.be/public/home</t>
  </si>
  <si>
    <t>http://www.delhaize.be/</t>
  </si>
  <si>
    <t>Colruyt</t>
  </si>
  <si>
    <t>http://www.colruyt.be/</t>
  </si>
  <si>
    <t>Horta</t>
  </si>
  <si>
    <t>http://www.horta.org/</t>
  </si>
  <si>
    <t>Dierenoutlet</t>
  </si>
  <si>
    <t>http://www.dierenoutlet.be/</t>
  </si>
  <si>
    <t>Duponzoo</t>
  </si>
  <si>
    <t>http://www.duponzoo.be/</t>
  </si>
  <si>
    <t>Body Shop</t>
  </si>
  <si>
    <t>http://www.thebodyshop.be/</t>
  </si>
  <si>
    <t>Di</t>
  </si>
  <si>
    <t>http://www.di.be/</t>
  </si>
  <si>
    <t>Dame Nature</t>
  </si>
  <si>
    <t>http://www.damenature.be/</t>
  </si>
  <si>
    <t>Rituals</t>
  </si>
  <si>
    <t>https://eu.rituals.com</t>
  </si>
  <si>
    <t>Acaza</t>
  </si>
  <si>
    <t>http://www.acaza.be/cadeau-en-geschenk</t>
  </si>
  <si>
    <t>Coolblue</t>
  </si>
  <si>
    <t>….</t>
  </si>
  <si>
    <t>http://www.coolblue.be/</t>
  </si>
  <si>
    <t>Bongo</t>
  </si>
  <si>
    <t>Gift voucher</t>
  </si>
  <si>
    <t>http://www.bongo.be/</t>
  </si>
  <si>
    <t>A.S. Adventure</t>
  </si>
  <si>
    <t>http://www.asadventure.com/</t>
  </si>
  <si>
    <t>Casa</t>
  </si>
  <si>
    <t>http://www.casashops.com/</t>
  </si>
  <si>
    <t>Top Interieur</t>
  </si>
  <si>
    <t>http://www.topinterieur.be/</t>
  </si>
  <si>
    <t>http://www.carrefour.eu/</t>
  </si>
  <si>
    <t>WEBA</t>
  </si>
  <si>
    <t>https://www.weba.be/</t>
  </si>
  <si>
    <t>http://www.ikea.com/be/nl/</t>
  </si>
  <si>
    <t>Electrabel</t>
  </si>
  <si>
    <t>Facture electricité</t>
  </si>
  <si>
    <t>https://www.electrabel.be</t>
  </si>
  <si>
    <t>Eneco</t>
  </si>
  <si>
    <t>http://eneco.be/</t>
  </si>
  <si>
    <t>http://www.lampiris.be/</t>
  </si>
  <si>
    <t>http://www.knuffel.be/</t>
  </si>
  <si>
    <t>HoelaHoep</t>
  </si>
  <si>
    <t>http://www.hoela-hoep.be/winkel</t>
  </si>
  <si>
    <t>Kidslab</t>
  </si>
  <si>
    <t>http://www.kidslab.com/</t>
  </si>
  <si>
    <t xml:space="preserve">NIKE
</t>
  </si>
  <si>
    <t>Running shoes</t>
  </si>
  <si>
    <t>http://www.nike.com/</t>
  </si>
  <si>
    <t>ZARA</t>
  </si>
  <si>
    <t>http://www.zara.com/</t>
  </si>
  <si>
    <t>Suitcase</t>
  </si>
  <si>
    <t>New outfit</t>
  </si>
  <si>
    <t>https://www.suitcase.be</t>
  </si>
  <si>
    <t>UGC</t>
  </si>
  <si>
    <t>http://www.ugc.be/</t>
  </si>
  <si>
    <t>Walibi</t>
  </si>
  <si>
    <t>https://www.walibi.com/belgium-landing</t>
  </si>
  <si>
    <t>http://kinepolis.be/</t>
  </si>
  <si>
    <t>VanDenBorre</t>
  </si>
  <si>
    <t>Purchase washing machine</t>
  </si>
  <si>
    <t>http://www.vandenborre.be/</t>
  </si>
  <si>
    <t>http://www.nl.fnac.be/</t>
  </si>
  <si>
    <t>Mediamarkt</t>
  </si>
  <si>
    <t>http://www.mediamarkt.be/</t>
  </si>
  <si>
    <t>Apotheek</t>
  </si>
  <si>
    <t>http://www.apotheek.be/</t>
  </si>
  <si>
    <t>Pearl</t>
  </si>
  <si>
    <t>https://www.pearle.be</t>
  </si>
  <si>
    <t>Christelijke Mutualiteit</t>
  </si>
  <si>
    <t>http://www.cm.be/</t>
  </si>
  <si>
    <t>UitInVlaanderen</t>
  </si>
  <si>
    <t>http://www.uitinvlaanderen.be/</t>
  </si>
  <si>
    <t>365.be</t>
  </si>
  <si>
    <t>http://www.365.be/</t>
  </si>
  <si>
    <t>WalloNight</t>
  </si>
  <si>
    <t>http://www.wallonight.be/</t>
  </si>
  <si>
    <t>NMBS</t>
  </si>
  <si>
    <t>http://www.belgianrail.be/</t>
  </si>
  <si>
    <t>MIVB</t>
  </si>
  <si>
    <t>http://www.stib-mivb.be/</t>
  </si>
  <si>
    <t>RentACar</t>
  </si>
  <si>
    <t>http://www.rentacar.be/</t>
  </si>
  <si>
    <t>Brico</t>
  </si>
  <si>
    <t>https://www.brico.be</t>
  </si>
  <si>
    <t>Gamma</t>
  </si>
  <si>
    <t>https://www.gamma.be</t>
  </si>
  <si>
    <t>Renovatieshop</t>
  </si>
  <si>
    <t>http://www.renovatieshop.be/</t>
  </si>
  <si>
    <t>Selftech</t>
  </si>
  <si>
    <t>http://www.selftech.be/</t>
  </si>
  <si>
    <t>Neckermann</t>
  </si>
  <si>
    <t>http://www.neckermann.be/</t>
  </si>
  <si>
    <t>België Vakantiehuis</t>
  </si>
  <si>
    <t>http://www.belgie-vakantiehuis.be/</t>
  </si>
  <si>
    <t>Thomas Cook</t>
  </si>
  <si>
    <t>http://www.thomascook.be/</t>
  </si>
  <si>
    <t>Carglass</t>
  </si>
  <si>
    <t>Car reparation</t>
  </si>
  <si>
    <t>http://www.carglass.be/</t>
  </si>
  <si>
    <t>AUDI</t>
  </si>
  <si>
    <t>http://www.nl.audi.be/</t>
  </si>
  <si>
    <t>http://www.total.be/</t>
  </si>
  <si>
    <t>https://www.shell.be/</t>
  </si>
  <si>
    <t>London</t>
  </si>
  <si>
    <t>British Airways</t>
  </si>
  <si>
    <t>https://s3-eu-west-1.amazonaws.com/sendmybag/media/third-party/british-airways-logo.png</t>
  </si>
  <si>
    <t>http://www.britishairways.com/en-de/destinations/uk-ireland?DM1_Channel=PPC&amp;DM1_Mkt=DE&amp;DM1_Campaign=EUNAF_DE_EN_FLIGHTS_BRAND_SH_OD_UNITED+KINGDOM&amp;Brand=Y&amp;SEO=N&amp;gclid=CjwKEAjwlq24BRDMjdK7g8mD6BASJABBl8n3_tCtMD7wK7HDhQV7EeLdsAOoQMpi1L7Iv3n-3UNu9xoCG5Lw_wcB</t>
  </si>
  <si>
    <t>http://www.easyjet.com/en/</t>
  </si>
  <si>
    <t>Heathrow Services</t>
  </si>
  <si>
    <t>http://nicc.creategravity.com/wp-content/uploads/2014/04/Purple_logo_jpeg-no-strapline.jpg</t>
  </si>
  <si>
    <t>http://www.heathrow.com/airport-guide/terminal-facilities-and-services</t>
  </si>
  <si>
    <t>London Eye</t>
  </si>
  <si>
    <t>http://www.voucherfox.co.uk/images/image_1500616332.jpg</t>
  </si>
  <si>
    <t>https://www.londoneye.com</t>
  </si>
  <si>
    <t>Revolution Bar</t>
  </si>
  <si>
    <t>http://www.bookthemagician.com/wp-content/uploads/2013/12/Revolution-Logo.jpg</t>
  </si>
  <si>
    <t>http://www.revolution-bars.co.uk/</t>
  </si>
  <si>
    <t>Hollywood Bowling</t>
  </si>
  <si>
    <t>https://weekenderlife.files.wordpress.com/2013/04/hollywoodbowl-logos-2.jpg</t>
  </si>
  <si>
    <t>http://www.hollywoodbowl.co.uk/</t>
  </si>
  <si>
    <t>https://www.mymercedesservice.co.uk/home</t>
  </si>
  <si>
    <t>Age UK</t>
  </si>
  <si>
    <t>http://www.ageuk.org.uk/BrandPartnerGlobal/berkshireVPP/Images/logos/age-uk_logo.jpg</t>
  </si>
  <si>
    <t>http://www.ageuk.org.uk</t>
  </si>
  <si>
    <t>Showcase Cinema</t>
  </si>
  <si>
    <t>http://images.events.blue-compass.com.s3.amazonaws.com/logos/13/13138x300.jpg</t>
  </si>
  <si>
    <t>http://www.showcasecinemas.co.uk</t>
  </si>
  <si>
    <t xml:space="preserve">Costa Coffee </t>
  </si>
  <si>
    <r>
      <rPr>
        <u/>
        <sz val="11"/>
        <color rgb="FF0000FF"/>
        <rFont val="Calibri"/>
        <charset val="134"/>
      </rPr>
      <t>https://upload.wikimedia.org/wikipedia/en/thumb/4/42/CostaLogo.svg/1024px-CostaLogo.svg.png</t>
    </r>
  </si>
  <si>
    <t>http://www.costa.co.uk/</t>
  </si>
  <si>
    <t>Starbucks</t>
  </si>
  <si>
    <t>https://upload.wikimedia.org/wikipedia/en/thumb/3/35/Starbucks_Coffee_Logo.svg/1024px-Starbucks_Coffee_Logo.svg.png</t>
  </si>
  <si>
    <t>http://www.starbucks.co.uk/</t>
  </si>
  <si>
    <t>Arrow Industrial</t>
  </si>
  <si>
    <t>http://www.arrow-industrial.co.uk/wp-content/uploads/2015/07/Arrow_Logo-Web-Image.png</t>
  </si>
  <si>
    <t>http://www.arrow-industrial.co.uk</t>
  </si>
  <si>
    <r>
      <rPr>
        <u/>
        <sz val="11"/>
        <color rgb="FF0000FF"/>
        <rFont val="Calibri"/>
        <charset val="134"/>
      </rPr>
      <t>https://www.gov.uk/council-tax/working-out-your-council-tax</t>
    </r>
  </si>
  <si>
    <t>City Dental</t>
  </si>
  <si>
    <t>http://www.citydental.co.uk/wp-content/themes/citydentalclinic/images/city-dental-clinic-logo.png</t>
  </si>
  <si>
    <t>http://www.citydental.co.uk</t>
  </si>
  <si>
    <t>http://www.savills.co.uk/?gclid=CjwKEAjwlq24BRDMjdK7g8mD6BASJABBl8n3GdmQFNGiLaoQg3n3NVhElE6M35GhTpKTOztM3k0niBoCBbPw_wcB</t>
  </si>
  <si>
    <t>Texaco Filling Station</t>
  </si>
  <si>
    <t>http://archietew.com/wp-content/uploads/2012/11/texaco_Logo_1_Good.jpg</t>
  </si>
  <si>
    <t>https://texaco.co.uk</t>
  </si>
  <si>
    <t>http://www.shell.co.uk/</t>
  </si>
  <si>
    <t>http://www.skyscanner.net/flights-from/uk/cheap-flights-from-united-kingdom.html?currency=GBP&amp;market=UK&amp;locale=en-GB</t>
  </si>
  <si>
    <t>Eurosonix</t>
  </si>
  <si>
    <t>http://m.c.lnkd.licdn.com/mpr/mpr/AAEAAQAAAAAAAAMvAAAAJDE1OTcyZWQ4LTA1MDQtNDljOC04ZWNkLTQ4YTUwMDllYjg4OQ.jpg</t>
  </si>
  <si>
    <t>http://eurosonix.co.uk</t>
  </si>
  <si>
    <t>Marks and Spencers</t>
  </si>
  <si>
    <t>Tesco</t>
  </si>
  <si>
    <t>https://upload.wikimedia.org/wikipedia/en/thumb/b/b0/Tesco_Logo.svg/1024px-Tesco_Logo.svg.png</t>
  </si>
  <si>
    <t>http://www.tesco.com/</t>
  </si>
  <si>
    <t>Waitrose</t>
  </si>
  <si>
    <t>https://pbs.twimg.com/profile_images/463627280980254720/RvbRvneq.jpeg</t>
  </si>
  <si>
    <t>http://www.waitrose.com</t>
  </si>
  <si>
    <t>Sainsbury's</t>
  </si>
  <si>
    <t>http://www.wilsonbowden.co.uk/images/6_5488d3ad61f22780398246/large.png</t>
  </si>
  <si>
    <t>http://www.sainsburys.co.uk/</t>
  </si>
  <si>
    <t>Asda</t>
  </si>
  <si>
    <t>http://www.groceryinsight.com/wp-content/uploads/2014/05/ASDA_logo_svg_.png</t>
  </si>
  <si>
    <t>http://www.asda.com/</t>
  </si>
  <si>
    <t>CO-OP</t>
  </si>
  <si>
    <t>http://poupartcitrus.co.uk/images/content/coop-card.png</t>
  </si>
  <si>
    <t>http://www.co-operativefood.co.uk/</t>
  </si>
  <si>
    <t>http://www.groundbloomflourish.com/wp-content/uploads/2015/10/Fitness-First.jpg</t>
  </si>
  <si>
    <t>http://www.fitnessfirst.co.uk</t>
  </si>
  <si>
    <t>Spooner</t>
  </si>
  <si>
    <t>http://www.spooner.co.uk/wp-content/themes/spooners/images/logo.png</t>
  </si>
  <si>
    <t>http://www.spooner.co.uk</t>
  </si>
  <si>
    <t>http://www.atlantic-machinery.co.uk/lib/atlantic_logo.jpg</t>
  </si>
  <si>
    <t>http://www.atlantic-machinery.co.uk</t>
  </si>
  <si>
    <t>Directline</t>
  </si>
  <si>
    <t>http://www.thetimes.co.uk/tto/multimedia/archive/00334/60731799_direct_334169c.jpg</t>
  </si>
  <si>
    <t>https://www.directline.com</t>
  </si>
  <si>
    <t>http://networkfish.com/wp-content/themes/networkfish/img/logo.png</t>
  </si>
  <si>
    <t>http://networkfish.com/?gclid=CjwKEAjwlq24BRDMjdK7g8mD6BASJABBl8n3MapIAZHJ6YPkEOvoxQr506D5wOnaJvGQEO-UN2OVTRoCfIDw_wcB</t>
  </si>
  <si>
    <t>http://www.store-orange.co.uk/</t>
  </si>
  <si>
    <t>Three Mobile</t>
  </si>
  <si>
    <t>http://www.three.co.uk/</t>
  </si>
  <si>
    <t>Duddingston Golf Club</t>
  </si>
  <si>
    <t>http://www.viking-direct.co.uk/?cm_mmc=Google-_-OSP_GEN_OFFICE-SUPPLIES_office-supplies_LOCATION-_-office%20supplies%20London_e-_-office%20supplies%20london_Exact&amp;s2m_channel=70&amp;gclid=CjwKEAjwlq24BRDMjdK7g8mD6BASJABBl8n37Muo8uekXXhglJ0eZcZdEz1ErEX9lMB_91mQg9QnRBoCAvnw_wcB</t>
  </si>
  <si>
    <t>Specsavers</t>
  </si>
  <si>
    <t>http://intu.co.uk/uploads/media/logo_retailer/0001/07/thumb_6254_logo_retailer_1x.png</t>
  </si>
  <si>
    <t>http://www.specsavers.co.uk/</t>
  </si>
  <si>
    <t>http://intu.co.uk/uploads/media/logo_retailer/0001/07/thumb_6259_logo_retailer_1x.png</t>
  </si>
  <si>
    <t>http://www.visionexpress.com</t>
  </si>
  <si>
    <t>NCP Car Park</t>
  </si>
  <si>
    <t>http://www.ncp.co.uk/</t>
  </si>
  <si>
    <t>Llyolds Pharmacy</t>
  </si>
  <si>
    <t>https://onlinedoctor.lloydspharmacy.com/blob/14300/2cdff5d4e9fd18ddb24629f78d05a65a/lloydspharmacy-logo---new-data.png</t>
  </si>
  <si>
    <t>http://www.lloydspharmacy.com</t>
  </si>
  <si>
    <t>Premier Pipline</t>
  </si>
  <si>
    <t>http://premierpipeline.co.uk/wp-content/themes/designmechanics/images/logo.png</t>
  </si>
  <si>
    <t>http://premierpipeline.co.uk</t>
  </si>
  <si>
    <t>EF-Electrical</t>
  </si>
  <si>
    <t>https://biz.prlog.org/EF-Electrical/logo.jpg</t>
  </si>
  <si>
    <t>http://www.ef-electrical.co.uk/electrical-repairs.html</t>
  </si>
  <si>
    <t>Laptop Repair Workshop</t>
  </si>
  <si>
    <t>http://www.laptoprepairworkshop.co.uk/wp-content/themes/power/images/laptop-repair-london-logo.png</t>
  </si>
  <si>
    <t>http://www.laptoprepairworkshop.co.uk</t>
  </si>
  <si>
    <t>Appliance services</t>
  </si>
  <si>
    <t>http://www.domex-uk.co.uk/wp-content/themes/domex/_static/images/logo-domex.png</t>
  </si>
  <si>
    <t>http://www.domex-uk.co.uk</t>
  </si>
  <si>
    <t>Nando's</t>
  </si>
  <si>
    <t>https://upload.wikimedia.org/wikipedia/en/thumb/c/c5/Nandos_logo.svg/1280px-Nandos_logo.svg.png</t>
  </si>
  <si>
    <t>Gordon Ramsay Resturant</t>
  </si>
  <si>
    <t>http://www.restoconnection.fr/wp-content/uploads/2015/05/Gordon-ramsay-logo-restaurant.jpg</t>
  </si>
  <si>
    <t>https://www.gordonramsayrestaurants.com/restaurant-gordon-ramsay</t>
  </si>
  <si>
    <t>The Cellar Door</t>
  </si>
  <si>
    <t>The Coach and Horses</t>
  </si>
  <si>
    <t>Chimichanga</t>
  </si>
  <si>
    <t>http://www.chimichanga.co.uk/Static/images/brand/Chimi-box-logo.svg</t>
  </si>
  <si>
    <t>http://www.chimichanga.co.uk/</t>
  </si>
  <si>
    <t>http://www.burgerking.co.uk/</t>
  </si>
  <si>
    <t>Zizzi</t>
  </si>
  <si>
    <t>http://www.theo2.co.uk/assets/img/Zizzi-Logo.jpg</t>
  </si>
  <si>
    <t>http://www.zizzi.co.uk/</t>
  </si>
  <si>
    <t>https://www.pizzahut.co.uk/</t>
  </si>
  <si>
    <t>http://www.mcdonalds.co.uk/ukhome.html/</t>
  </si>
  <si>
    <t>Pizza Express</t>
  </si>
  <si>
    <t>https://pbs.twimg.com/profile_images/469131441733787648/q2MUP3Nk.jpeg</t>
  </si>
  <si>
    <t>http://www.pizzaexpress.com/</t>
  </si>
  <si>
    <t>Prezzo</t>
  </si>
  <si>
    <t>http://www.thelightleeds.co.uk/wp-content/uploads/2013/09/logo-prezzo.png</t>
  </si>
  <si>
    <t>http://www.prezzorestaurants.co.uk</t>
  </si>
  <si>
    <t>DVLA</t>
  </si>
  <si>
    <t>http://allcontactnumbers.co.uk/wp-content/uploads/2015/10/DVLA-2.jpg</t>
  </si>
  <si>
    <t>https://www.gov.uk/government/organisations/driver-and-vehicle-licensing-agency</t>
  </si>
  <si>
    <t>http://personal.rbs.co.uk/personal.html</t>
  </si>
  <si>
    <t>Post Office Savings</t>
  </si>
  <si>
    <t>http://www.postoffice.co.uk/</t>
  </si>
  <si>
    <t>Chelsea Independent College</t>
  </si>
  <si>
    <t>http://www.astrumeducation.com/wp-content/uploads/2015/03/chelsea-independent-college-home-logo.png</t>
  </si>
  <si>
    <t>http://www.chelseaindependentcollege.com</t>
  </si>
  <si>
    <t>http://uk.accessorize.com/?countrycheck=true&amp;languageCode=en_gb</t>
  </si>
  <si>
    <t>http://www.disneystore.co.uk</t>
  </si>
  <si>
    <t>Kiddicare</t>
  </si>
  <si>
    <t>http://www.realwire.com/writeitfiles/Kiddicare-Logo_2.JPG</t>
  </si>
  <si>
    <t>http://www.kiddicare.com</t>
  </si>
  <si>
    <t>The Book People</t>
  </si>
  <si>
    <t>http://www.thebookpeople.co.uk/webapp/wcs/stores/servlet/qs_home_tbp?storeId=10001&amp;catalogId=10051&amp;langId=100&amp;cm_mmc=Google%20Adwords-_-Brand-_-the%20book%20people-_-Homepage&amp;gclid=CJCt6rvmssgCFSsCwwodTZ0AWA</t>
  </si>
  <si>
    <t>Thorntons</t>
  </si>
  <si>
    <t>https://www.textmarketer.co.uk/blog/wp-content/uploads/2010/01/thorntons-logo.png</t>
  </si>
  <si>
    <t>http://www.thorntons.co.uk</t>
  </si>
  <si>
    <r>
      <rPr>
        <sz val="11"/>
        <color rgb="FF006621"/>
        <rFont val="Arial"/>
        <charset val="134"/>
      </rPr>
      <t>www.</t>
    </r>
    <r>
      <rPr>
        <b/>
        <sz val="11"/>
        <color rgb="FF006621"/>
        <rFont val="Arial"/>
        <charset val="134"/>
      </rPr>
      <t>topshop</t>
    </r>
    <r>
      <rPr>
        <sz val="11"/>
        <color rgb="FF006621"/>
        <rFont val="Arial"/>
        <charset val="134"/>
      </rPr>
      <t>.com</t>
    </r>
  </si>
  <si>
    <t>http://www.allsaints.com/</t>
  </si>
  <si>
    <t>http://www.newlook.com/</t>
  </si>
  <si>
    <r>
      <rPr>
        <sz val="11"/>
        <color rgb="FF006621"/>
        <rFont val="Arial"/>
        <charset val="134"/>
      </rPr>
      <t>www.</t>
    </r>
    <r>
      <rPr>
        <b/>
        <sz val="11"/>
        <color rgb="FF006621"/>
        <rFont val="Arial"/>
        <charset val="134"/>
      </rPr>
      <t>zara</t>
    </r>
    <r>
      <rPr>
        <sz val="11"/>
        <color rgb="FF006621"/>
        <rFont val="Arial"/>
        <charset val="134"/>
      </rPr>
      <t>.com/uk</t>
    </r>
  </si>
  <si>
    <t>http://www.thebodyshop.co.uk/</t>
  </si>
  <si>
    <t>http://www.maccosmetics.co.uk</t>
  </si>
  <si>
    <t>http://vignette3.wikia.nocookie.net/logopedia/images/0/0d/Boots_logo.jpg/revision/latest?cb=20110712172659</t>
  </si>
  <si>
    <t>http://www.boots-uk.com</t>
  </si>
  <si>
    <t>http://www.ebay.co.uk/</t>
  </si>
  <si>
    <t>http://www.amazon.co.uk/</t>
  </si>
  <si>
    <t>http://www.next.co.uk/</t>
  </si>
  <si>
    <t>House of fraser</t>
  </si>
  <si>
    <t>http://demandware.edgesuite.net/aaba_prd/on/demandware.static/-/Sites-hof-Library/default/dw475daeb3/LOGOS/house_of_fraser_logo_white.jpg</t>
  </si>
  <si>
    <t>http://www.houseoffraser.co.uk/</t>
  </si>
  <si>
    <t>Harvey Nichols</t>
  </si>
  <si>
    <t>https://pbs.twimg.com/profile_images/378800000438095303/826bcfb5086e42d62183b51f869cb4a1.jpeg</t>
  </si>
  <si>
    <t>http://www.harveynichols.com/</t>
  </si>
  <si>
    <t>http://www.johnlewis.com</t>
  </si>
  <si>
    <t>http://www.debenhams.com</t>
  </si>
  <si>
    <t>http://www.chanel.com/en_GB/</t>
  </si>
  <si>
    <t>Argos</t>
  </si>
  <si>
    <t>http://i.dailymail.co.uk/i/pix/2010/06/10/article-0-003EFF5400000258-713_468x317.jpg</t>
  </si>
  <si>
    <t>http://www.argos.co.uk/static/Home.htm?sRefURL=https%3A//www.google.co.uk/</t>
  </si>
  <si>
    <t>Currys</t>
  </si>
  <si>
    <t>http://all-services.co.uk/customer-service-logos/currys.gif</t>
  </si>
  <si>
    <t>http://www.currys.co.uk/gbuk/index.html</t>
  </si>
  <si>
    <t>http://www.euronics.co.uk</t>
  </si>
  <si>
    <t>Interflora</t>
  </si>
  <si>
    <t>http://www.floralambitions.co.uk/images/interflora_logo.jpg</t>
  </si>
  <si>
    <t>http://www.interflora.co.uk</t>
  </si>
  <si>
    <t>B&amp;Q</t>
  </si>
  <si>
    <t>https://upload.wikimedia.org/wikipedia/commons/6/63/B%26Q_company_logo_(2).png</t>
  </si>
  <si>
    <t>http://www.diy.com</t>
  </si>
  <si>
    <t>Harveys</t>
  </si>
  <si>
    <t>http://www.shootfactory.co.uk/blog/wp-content/uploads/2012/04/getasset1.jpeg</t>
  </si>
  <si>
    <t>Sofa World</t>
  </si>
  <si>
    <t>http://www.bestsofashops.uk/wp-content/uploads/sofaworld-logo.png</t>
  </si>
  <si>
    <t>http://www.sofasworld.co.uk/?affiliate=SFW-google-search&amp;gclid=CjwKEAjw0KK4BRDCiKHD5Ny8pHESJACLE620ENp-PBPofIDy6Nh6UXSiUuszj-Qom7X4LM_hhQluGRoCcgzw_wcB</t>
  </si>
  <si>
    <t>Poundland</t>
  </si>
  <si>
    <t>http://www.macmillan.org.uk/Images/AboutUs/Ourpartners/new/Poundland-logo.jpg</t>
  </si>
  <si>
    <t>http://www.poundland.co.uk/</t>
  </si>
  <si>
    <t>http://intu.co.uk/uploads/media/logo_retailer/0001/06/thumb_5029_logo_retailer_1x.png</t>
  </si>
  <si>
    <t>http://www.goldsmiths.co.uk/?utm_source=GOOGLE&amp;utm_medium=cpc&amp;utm_campaign=Trademark%20-%20Other&amp;gclid=CjwKEAjw86e4BRCnzuWGlpjLoUcSJACaHG55WY7Si0EeylHOA6R2QtFX4o5HWUJ3I8kh07VElbxvERoCFNjw_wcB</t>
  </si>
  <si>
    <t>Pumpkin Patch</t>
  </si>
  <si>
    <t>http://www.pumpkinpatch.co.uk/brand/pp/assets/img/pumpkin-patch-logo-northern.png</t>
  </si>
  <si>
    <t>http://www.pumpkinpatch.co.uk</t>
  </si>
  <si>
    <t>http://www.disneystore.co.uk/mn/1306502/?&amp;CMP=KNC-TDS-UK-BG-BMM-Generic-Voucher&amp;s_kwcid=TC%7C1028693%7Cdisney%20store%20uk%20discount%7C%7CS%7Cb%7C74125769342&amp;mckv=sfhPY89YG_dc%7Cpcrid%7C74125769342%7Cpkw%7Cdisney%20store%20uk%20discount%7Cpmt%7Cb&amp;gclid=CjwKEAjw0KK4BRDCiKHD5Ny8pHESJACLE620sFs6BbSHNE1VfNOy0EnUjBmTWcGSwissmH0MWLA6ZBoCPKvw_wcB</t>
  </si>
  <si>
    <t>Lights.co.uk</t>
  </si>
  <si>
    <t>https://mvp.tribesgds.com/dyn/fd/3Z/fd3ZB6-Rx9k/_/tIIyubfFgL0/VdlE/lights.co.uk-logo.png</t>
  </si>
  <si>
    <t>lights.co.uk</t>
  </si>
  <si>
    <t>WH Smith</t>
  </si>
  <si>
    <t>http://www.unb.com/mediacenter/images/2014/WHSmith.JPG</t>
  </si>
  <si>
    <t>http://www.whsmith.co.uk</t>
  </si>
  <si>
    <t>http://www.clarks.co.uk/</t>
  </si>
  <si>
    <t>Office</t>
  </si>
  <si>
    <t>http://www.voucherfox.co.uk/images/image_2056797326.jpg</t>
  </si>
  <si>
    <t>http://officelondon.co.uk</t>
  </si>
  <si>
    <t>http://www.jdsports.co.uk/home?cm_mmc=JDUK-_-INTredirect-_-na-_-na</t>
  </si>
  <si>
    <t>Spa London</t>
  </si>
  <si>
    <t>http://www.spa-london.org/wp-content/uploads/2015/06/Spa-Logo.png</t>
  </si>
  <si>
    <t>http://www.spa-london.org</t>
  </si>
  <si>
    <t>Clear Air group</t>
  </si>
  <si>
    <t>http://cleanair.co.uk/wp-content/uploads/2010/09/Clean-Air-Group-rgb.jpg</t>
  </si>
  <si>
    <t>http://cleanair.co.uk/what-we-do/evaporative-cooling/</t>
  </si>
  <si>
    <t>http://uk.farnell.com</t>
  </si>
  <si>
    <t>https://www.dominos.co.uk/</t>
  </si>
  <si>
    <t>Talk Talk</t>
  </si>
  <si>
    <t>https://www.vodafone.co.uk</t>
  </si>
  <si>
    <t>British Telecom</t>
  </si>
  <si>
    <t>http://blogs.which.co.uk/technology/wp-content/uploads/2013/06/BT-logo.jpg</t>
  </si>
  <si>
    <t>http://home.bt.com</t>
  </si>
  <si>
    <t>https://blogtelecomarketing.files.wordpress.com/2011/11/group-o2.jpg</t>
  </si>
  <si>
    <t>http://www.o2.co.uk</t>
  </si>
  <si>
    <r>
      <rPr>
        <sz val="11"/>
        <color rgb="FF006621"/>
        <rFont val="Arial"/>
        <charset val="134"/>
      </rPr>
      <t>www.</t>
    </r>
    <r>
      <rPr>
        <b/>
        <sz val="11"/>
        <color rgb="FF006621"/>
        <rFont val="Arial"/>
        <charset val="134"/>
      </rPr>
      <t>ticketmaster</t>
    </r>
    <r>
      <rPr>
        <sz val="11"/>
        <color rgb="FF006621"/>
        <rFont val="Arial"/>
        <charset val="134"/>
      </rPr>
      <t>.co.uk</t>
    </r>
  </si>
  <si>
    <t>Oyster Card</t>
  </si>
  <si>
    <t>http://www.petrolprices.com/files/2011/08/oyster-card.png</t>
  </si>
  <si>
    <t>https://oyster.tfl.gov.uk/oyster/entry.do</t>
  </si>
  <si>
    <t>https://www.eonenergy.com/</t>
  </si>
  <si>
    <t>SSE</t>
  </si>
  <si>
    <t>https://upload.wikimedia.org/wikipedia/en/thumb/d/d5/SSEenergy.svg/1280px-SSEenergy.svg.png</t>
  </si>
  <si>
    <t>https://www.sse.co.uk</t>
  </si>
  <si>
    <t>British Gas</t>
  </si>
  <si>
    <t>https://www.britishgas.co.uk/media/services/GetImage.ashx?id=w%2BKtDvny%2B4ABCRKoADRMug%3D%3D&amp;thumbnailsize=6&amp;download=0&amp;doctype=0</t>
  </si>
  <si>
    <t>http://www.britishgas.co.uk</t>
  </si>
  <si>
    <t>Seven Trent Water</t>
  </si>
  <si>
    <r>
      <rPr>
        <u/>
        <sz val="11"/>
        <color rgb="FF0000FF"/>
        <rFont val="Calibri"/>
        <charset val="134"/>
      </rPr>
      <t>https://www.stwater.co.uk/</t>
    </r>
  </si>
  <si>
    <t>Thames Water</t>
  </si>
  <si>
    <t>https://upload.wikimedia.org/wikipedia/en/thumb/9/9e/Thames_Water_logo.svg/480px-Thames_Water_logo.svg.png</t>
  </si>
  <si>
    <t>http://www.thameswater.co.uk</t>
  </si>
  <si>
    <t>Uk power Network</t>
  </si>
  <si>
    <t>http://www.energynetworks.org/assets/files/info/Members%20Logos/UKPN%20Logo_CMYK%20elec%20strap.jpg</t>
  </si>
  <si>
    <t>http://www.ukpowernetworks.co.uk</t>
  </si>
  <si>
    <t>https://www.royalthames.com/SiteDesign/splash5/image3.aspx</t>
  </si>
  <si>
    <t>https://www.royalthames.com</t>
  </si>
  <si>
    <t>Asda ATM</t>
  </si>
  <si>
    <t>http://l7.alamy.com/zooms/cafd82d0dcc749418b129ca442c52cd0/atm-at-asda-supermarket-in-leeds-emnybw.jpg</t>
  </si>
  <si>
    <t>High Street ATM</t>
  </si>
  <si>
    <t>http://www.atmbusinessblueprint.com/wp-content/uploads/2013/08/ownatmmachines.jpg</t>
  </si>
  <si>
    <t>Donation Miss Heath</t>
  </si>
  <si>
    <t>Donation Mr and Mrs Cooper</t>
  </si>
  <si>
    <t>Donation Mr and Mrs Waterhouse</t>
  </si>
  <si>
    <t>Donation Mr James</t>
  </si>
  <si>
    <t>Donation Page Family</t>
  </si>
  <si>
    <t>Donation The Corner Store</t>
  </si>
  <si>
    <t>http://ep.yimg.com/ca/I/yhst-80828730941664_2262_9854927</t>
  </si>
  <si>
    <t>http://thecornershopga.com/</t>
  </si>
  <si>
    <t>Donation The Eye Company</t>
  </si>
  <si>
    <t>http://www.eye-company.co.uk/wp-content/uploads/bespoke2.jpg</t>
  </si>
  <si>
    <t>http://www.eye-company.co.uk/</t>
  </si>
  <si>
    <t>Donation The Keepers arms</t>
  </si>
  <si>
    <t>http://thekeepersarms.co.uk/wp-content/uploads/2016/10/welcome-bg2.jpg</t>
  </si>
  <si>
    <t>http://thekeepersarms.co.uk/</t>
  </si>
  <si>
    <t>Donation The Union</t>
  </si>
  <si>
    <t>https://www.google.de/search?q=www.union.co.uk+logo&amp;noj=1&amp;tbm=isch&amp;imgil=-9Y99q_lckkajM%253A%253B7T2dZiu9RuocDM%253Bhttp%25253A%25252F%25252Fwww.ipa.co.uk%25252FAgencies%25252FThe-Union-Advertising-Agency-Ltd&amp;source=iu&amp;pf=m&amp;fir=-9Y99q_lckkajM%253A%252C7T2dZiu9RuocDM%252C_&amp;usg=__nOyiWLG_JrRYt2oy93y0BuN4hLY%3D&amp;biw=1440&amp;bih=826&amp;ved=0ahUKEwj9z-DZiP7SAhWMDywKHXRPCl8QyjcINQ&amp;ei=V-TcWL3IHoyfsAH0nqn4BQ#imgrc=-9Y99q_lckkajM:</t>
  </si>
  <si>
    <t>http://www.union.co.uk/</t>
  </si>
  <si>
    <t>Mr D Moda</t>
  </si>
  <si>
    <t>Rainbow hospice</t>
  </si>
  <si>
    <t>https://rainbowhospice.org/images/logos/rainbow-logo.png</t>
  </si>
  <si>
    <t>https://rainbowhospice.org/</t>
  </si>
  <si>
    <t>Royal Edinburgh hospital</t>
  </si>
  <si>
    <t>https://medicaljobs.scot.nhs.uk/media/1075/lo_2col.jpg</t>
  </si>
  <si>
    <t>http://www.nhslothian.scot.nhs.uk/GoingToHospital/Locations/REH/Pages/default.aspx</t>
  </si>
  <si>
    <t>Salary Mr R Turner</t>
  </si>
  <si>
    <t>Salary Mrs F White</t>
  </si>
  <si>
    <t>Paid Invoice Mr Folk</t>
  </si>
  <si>
    <t>Paid Invoice Mr Green</t>
  </si>
  <si>
    <t>Paid Invoice 76542 Mr Green</t>
  </si>
  <si>
    <t>Paid Invoice  986 Mr Khan</t>
  </si>
  <si>
    <t>https://service.directlineforbusiness.co.uk/Static/Microsites/DLParent/Images/Framework/directLineLogo_horizontal_2014.gif</t>
  </si>
  <si>
    <t>https://www.directlineforbusiness.co.uk/small-business-insurance/home-business-insurance?cmpid=43700007968848396/bfh/ppc/GOOGLE/businesses+insurance&amp;gclid=Cj0KEQjw2fLGBRDopP-vg7PLgvsBEiQAUOnIXJ0ajVFKT_gHX_0Qex8Dfmev49PZmIKNYi-dfYQZ0g4aAj6U8P8HAQ</t>
  </si>
  <si>
    <t>Credit Card Visa</t>
  </si>
  <si>
    <t>https://www.visa.co.uk</t>
  </si>
  <si>
    <t>Credit Card Mastercard</t>
  </si>
  <si>
    <t>https://www.mastercard.co.uk/en-gb.html</t>
  </si>
  <si>
    <t>Dubai</t>
  </si>
  <si>
    <r>
      <rPr>
        <u/>
        <sz val="11"/>
        <color rgb="FF0000FF"/>
        <rFont val="Calibri"/>
        <charset val="134"/>
      </rPr>
      <t>https://switch.which.co.uk/affiliate-assets/which-switch/images/suppliers-logo/british-gas-new-299891.jpg</t>
    </r>
  </si>
  <si>
    <t>Golf Membership</t>
  </si>
  <si>
    <t>Duggingston Golf Club</t>
  </si>
  <si>
    <t>http://www.smarttvradar.com/wp-content/uploads/2013/04/BT-Logo.jpg</t>
  </si>
  <si>
    <t>http://home.bt.com/</t>
  </si>
  <si>
    <t>http://www.vouchercodespro.co.uk/images/debenhams-logo1.png</t>
  </si>
  <si>
    <t>http://www.debenhams.com/</t>
  </si>
  <si>
    <t>Prizza Express</t>
  </si>
  <si>
    <t>GAs/Elec</t>
  </si>
  <si>
    <t>http://cc-umbraco-images.s3.amazonaws.com/bc/NewsImages/TalkTalk-logo-608x342.jpg</t>
  </si>
  <si>
    <t>https://sales.talktalk.co.uk/</t>
  </si>
  <si>
    <t>Specsaver</t>
  </si>
  <si>
    <t>Boots Plc</t>
  </si>
  <si>
    <t>http://www.boots.com/wcsstore/cmsassets/Boots/Library/Icon/*1%20Boots%20Generic%20Images/BootsLogo2/Boots-Main-Logo.png</t>
  </si>
  <si>
    <t>http://www.boots.com/</t>
  </si>
  <si>
    <t>http://www.kamcity.com/kamlogos/logos/Waitrose_Logo.png</t>
  </si>
  <si>
    <t>http://www.waitrose.com/</t>
  </si>
  <si>
    <t>Havey Nichols</t>
  </si>
  <si>
    <t>Chimichange</t>
  </si>
  <si>
    <t>Groceries_1</t>
  </si>
  <si>
    <t>Spinneys</t>
  </si>
  <si>
    <t>http://www.spinneys-dubai.com/images/logo.png</t>
  </si>
  <si>
    <t>http://www.spinneys-dubai.com</t>
  </si>
  <si>
    <t>Shopping/Department_1</t>
  </si>
  <si>
    <t>Gulf Apparels LLC</t>
  </si>
  <si>
    <t>http://www.gulfapparels.com/index.php</t>
  </si>
  <si>
    <t>Shopping/Department Store_2</t>
  </si>
  <si>
    <t>Paris Gallery</t>
  </si>
  <si>
    <t>https://media.licdn.com/media/p/5/000/25f/0e8/1850373.png</t>
  </si>
  <si>
    <t>https://parisgallery.com/index.php</t>
  </si>
  <si>
    <t>Al Karnak Stores LLC</t>
  </si>
  <si>
    <t>Shopping/Makeup_4</t>
  </si>
  <si>
    <t>Sephora</t>
  </si>
  <si>
    <t>http://nd20.sephora.fr/image/77/2/logo-sephora.header.640.772.jpg</t>
  </si>
  <si>
    <t>http://www.sephora-me.com/en</t>
  </si>
  <si>
    <t>shopping/Cosmetic_5</t>
  </si>
  <si>
    <t>Cosmetic</t>
  </si>
  <si>
    <t>http://yp.theemiratesnetwork.com/images/company/logos/0000023/0000023657.png</t>
  </si>
  <si>
    <t>http://www.thebodyshop.com/content/services/contactus.aspx</t>
  </si>
  <si>
    <t>Shopping/baby Shop_6</t>
  </si>
  <si>
    <t>http://yp.theemiratesnetwork.com/images/company/logos/0000023/0000023991.png</t>
  </si>
  <si>
    <t>http://www.landmarkshops.com/babyshop</t>
  </si>
  <si>
    <t>Shopping/Kids Store_7</t>
  </si>
  <si>
    <t>Kidzania</t>
  </si>
  <si>
    <t>https://pbs.twimg.com/profile_images/2301458212/bby7ff7zyhorsjk5xboq.jpeg</t>
  </si>
  <si>
    <t>http://www.kidzania.com</t>
  </si>
  <si>
    <t>Shopping/Kids Store_8</t>
  </si>
  <si>
    <t>Diverso General Trading LLC</t>
  </si>
  <si>
    <t>Baby/Kids Products</t>
  </si>
  <si>
    <t>https://media.licdn.com/media/AAEAAQAAAAAAAAIsAAAAJDZiZjBhZjhiLTMxZWItNGVjZi04NmQzLWU1NzE0OWNmMTZmZQ.png</t>
  </si>
  <si>
    <t>https://www.facebook.com/Diversotrading/</t>
  </si>
  <si>
    <t>Shopping/Electrical_9</t>
  </si>
  <si>
    <t>Sharaf DG</t>
  </si>
  <si>
    <t>Electricals</t>
  </si>
  <si>
    <t>http://www.complaintsboard.com/thumb.php?src=sharaf-dg.jpg&amp;wmax=900&amp;hmax=900&amp;quality=90&amp;nocrop=1&amp;bname=120060</t>
  </si>
  <si>
    <t>https://uae.sharafdg.com</t>
  </si>
  <si>
    <t>Shopping/Electroinc_10</t>
  </si>
  <si>
    <t>Harman House</t>
  </si>
  <si>
    <t>Electronics</t>
  </si>
  <si>
    <t>http://yp.theemiratesnetwork.com/images/company/logos/0000023/0000023512.png</t>
  </si>
  <si>
    <t>http://www.harmanhouse.com</t>
  </si>
  <si>
    <t>Shopping/Electroins_11</t>
  </si>
  <si>
    <t>http://www.gettydubai.com/images/classifieds/9580_samsung-logo_full.jpeg</t>
  </si>
  <si>
    <t>http://www.samsung.com/ae/home/</t>
  </si>
  <si>
    <t>Shopping/Home Electronics_12</t>
  </si>
  <si>
    <t>Hometech Electronics LLC</t>
  </si>
  <si>
    <t>Home Electroinc</t>
  </si>
  <si>
    <t>http://www.yello.ae/img/ae/d/1411114383_29287.png</t>
  </si>
  <si>
    <t>https://www.facebook.com/hometechelec/</t>
  </si>
  <si>
    <t>Shopping/Sports Store_13</t>
  </si>
  <si>
    <t>Go sports dubai</t>
  </si>
  <si>
    <t>http://thumbs.dreamstime.com/z/go-sports-retail-outlet-dubai-mall-dubai-united-arab-emirates-41700927.jpg</t>
  </si>
  <si>
    <t>http://www.go-sport.com/magasins-dubai.html</t>
  </si>
  <si>
    <t>Shopping/sports Store_14</t>
  </si>
  <si>
    <t xml:space="preserve">Sun and Sand Sports </t>
  </si>
  <si>
    <t>http://www.yallaspree.com/uploads/business_image/SunSandSports0.png</t>
  </si>
  <si>
    <t>https://en-ae.sssports.com/?gclid=CMSB-Iq5-csCFcO4GwodCqIJDg</t>
  </si>
  <si>
    <t>Shopping/Home Furniture_15</t>
  </si>
  <si>
    <t>AlAwafel Furniture LLC</t>
  </si>
  <si>
    <t>http://www.bfound.io/filestore/listingEntryImage/f/qs/fqss7e/original.png</t>
  </si>
  <si>
    <t>AlAwafel Furniture LLC dubai</t>
  </si>
  <si>
    <t>Shopping/Home Furniture_16</t>
  </si>
  <si>
    <t>AlKhoori Furniture LLC</t>
  </si>
  <si>
    <t>Furniture Store</t>
  </si>
  <si>
    <t>http://www.marlinfurniture.com/Uploads/ProjectImage/Image/MAHY_91f3c805-ca65-46d9-af75-33427c9c4b11.jpg</t>
  </si>
  <si>
    <t>http://khouri-furniture.net</t>
  </si>
  <si>
    <t>Shopping/Home Furniture_17</t>
  </si>
  <si>
    <t>Archiies Furnishing LLC</t>
  </si>
  <si>
    <t>home furnishings</t>
  </si>
  <si>
    <t>http://archiesfurnishing.ae/wp-content/uploads/2015/11/logo-resized.png</t>
  </si>
  <si>
    <t>http://archiesfurnishing.ae</t>
  </si>
  <si>
    <t>Shopping/Designer Brand_18</t>
  </si>
  <si>
    <t>Louis Vuitton</t>
  </si>
  <si>
    <t>https://upload.wikimedia.org/wikipedia/commons/thumb/d/d5/Louis_Vuitton_Logo.svg/840px-Louis_Vuitton_Logo.svg.png</t>
  </si>
  <si>
    <t>http://eu.louisvuitton.com/eng-e1/homepage</t>
  </si>
  <si>
    <t>Shopping/Designer Brand_19</t>
  </si>
  <si>
    <t>Tom Ford</t>
  </si>
  <si>
    <t>http://houseoflunettes.com/media/catalog/category/tomford_logo.png</t>
  </si>
  <si>
    <t>http://www.tomford.com</t>
  </si>
  <si>
    <t>Shoppping/Fashion Clothing_20</t>
  </si>
  <si>
    <t>Top Man</t>
  </si>
  <si>
    <t>http://www.theproposers.co.uk/blog/wp-content/uploads/2015/06/topman.jpg</t>
  </si>
  <si>
    <t>http://www.topman.com/?geoip=home</t>
  </si>
  <si>
    <t>Shopping/accessories_21</t>
  </si>
  <si>
    <t>http://de.accessorize.com/?redirected;jsessionid=272A6B3D3B3738A6CAFC4D4D9AF01B0B.app4</t>
  </si>
  <si>
    <t>Shopping/Shoes_22</t>
  </si>
  <si>
    <t>Aldo</t>
  </si>
  <si>
    <t>http://mercatoshoppingmall.com/wp-content/uploads/2013/07/logo_aldo_footwear.png</t>
  </si>
  <si>
    <t>http://www.aldoshoes.com/ae/en_AE</t>
  </si>
  <si>
    <t>Shopping/Jewelry Store_23</t>
  </si>
  <si>
    <t>Precious Times  DMCC</t>
  </si>
  <si>
    <t>http://www.precioustimes.ae/images/logo-pt-main.png</t>
  </si>
  <si>
    <t>http://www.precioustimes.ae</t>
  </si>
  <si>
    <t>Shopping/Chocolste Shop_24</t>
  </si>
  <si>
    <t>Godiva</t>
  </si>
  <si>
    <t>https://upload.wikimedia.org/wikipedia/en/thumb/9/95/Godiva_Chocolatier_Logo.svg/1280px-Godiva_Chocolatier_Logo.svg.png</t>
  </si>
  <si>
    <t>http://www.godiva.com</t>
  </si>
  <si>
    <t>Shopping/Newspaper Shop_25</t>
  </si>
  <si>
    <t>http://www.whsmithplc.co.uk/images/image-library/WHSmith_Logo2.jpg</t>
  </si>
  <si>
    <t>https://www.facebook.com/WHSmithAE</t>
  </si>
  <si>
    <t>Shopping/Greating Cards and gifts_26</t>
  </si>
  <si>
    <t>Hallmark</t>
  </si>
  <si>
    <t>Greeting Card and Gifts</t>
  </si>
  <si>
    <t>http://sites.psu.edu/reshmajblog/wp-content/uploads/sites/885/2013/03/hallmark_logo.jpg</t>
  </si>
  <si>
    <t>http://www.hmkgcc.com</t>
  </si>
  <si>
    <t>Shopping/Florist_27</t>
  </si>
  <si>
    <t>July Flowers Trading LLC</t>
  </si>
  <si>
    <t>http://7606-presscdn-0-74.pagely.netdna-cdn.com/wp-content/uploads/2015/11/Logo-140x110.jpg</t>
  </si>
  <si>
    <t>July Flowers Trading LLC dubai</t>
  </si>
  <si>
    <t>Shopping/Lighting_28</t>
  </si>
  <si>
    <t>Alfanoos Trading LLC</t>
  </si>
  <si>
    <t>Lighting Supplier</t>
  </si>
  <si>
    <t>http://deiramarket.com/dubai/wholesaler/images/fanoos_logo.png</t>
  </si>
  <si>
    <t>Alfanoos Trading LLC dubia</t>
  </si>
  <si>
    <t>Shopping/Hardware Store_29</t>
  </si>
  <si>
    <t>Mohammad AlAlam Trading LLC</t>
  </si>
  <si>
    <t>hardware Store</t>
  </si>
  <si>
    <t>http://www.yello.ae/img/ae/j/1456920137_68517.jpg</t>
  </si>
  <si>
    <t>https://www.facebook.com/hardwarestoreindubai/</t>
  </si>
  <si>
    <t>Mit Technical Works LLC</t>
  </si>
  <si>
    <t>Repair/Maintence Service</t>
  </si>
  <si>
    <t>http://images.locanto.ae/1175467523/M-I-T-Technical-Works-L-L-C-Dubai-050-3413344_1.jpg</t>
  </si>
  <si>
    <t>https://www.facebook.com/dubairepair04/posts/1576778042573412</t>
  </si>
  <si>
    <t>Queen Electronics LLC</t>
  </si>
  <si>
    <t>http://2.bp.blogspot.com/_sSBAKgKLoUM/TRRSeQVeH4I/AAAAAAAAEqA/7FxhQHUhoFA/s1600/IMG_0024.jpg</t>
  </si>
  <si>
    <t>https://www.facebook.com/queenelectronicsllc/info/?tab=overview</t>
  </si>
  <si>
    <t>All Done AC Maintenance CO.LLC</t>
  </si>
  <si>
    <t>http://ac-maintenance-dubai.com/wp-content/uploads/2015/01/all-done-logo_1379019425.png</t>
  </si>
  <si>
    <t>http://ac-maintenance-dubai.com</t>
  </si>
  <si>
    <t>Magrabi Optical</t>
  </si>
  <si>
    <t>Optictian</t>
  </si>
  <si>
    <t>http://www.tipntag.com/files/get/original/place/_4f776ace2693e8.52475607_Magrabi_Optical_ph_alb_050620115000.jpg</t>
  </si>
  <si>
    <t>http://www.magrabioptical.com</t>
  </si>
  <si>
    <t>New Shefa Clinic</t>
  </si>
  <si>
    <t>http://s3-eu-west-1.amazonaws.com/cdn.cobone.com/deals/uae/safaclinic/embedsafacliniclegslaser1.jpg</t>
  </si>
  <si>
    <t>SpeedFit LLC</t>
  </si>
  <si>
    <t>https://carnity.com/uploads/monthly_04_2015/ccs-23883-0-88532000-1429591839.png</t>
  </si>
  <si>
    <t>http://www.speed-fit.ae</t>
  </si>
  <si>
    <t>Hello Kitty Beauty Spa</t>
  </si>
  <si>
    <t>http://www.hellokittybeautyspa.com/img/logo.png</t>
  </si>
  <si>
    <t>Hello Kitty Beauty Spa dubai</t>
  </si>
  <si>
    <t>Marina Yatchs LLC</t>
  </si>
  <si>
    <t>http://7606-presscdn-0-74.pagely.netdna-cdn.com/wp-content/uploads/2015/06/Dubai-Marina-Yacht-Club-1.jpg</t>
  </si>
  <si>
    <t>http://www.dubaimarinayachtclub.com/en/index.aspx</t>
  </si>
  <si>
    <t>At The Top Burj Khalifa</t>
  </si>
  <si>
    <t>Attraction</t>
  </si>
  <si>
    <t>http://virginradiodubai.com/wp-content/uploads/2013/10/logo_660.jpg</t>
  </si>
  <si>
    <t>http://www.burjkhalifa.ae/en/</t>
  </si>
  <si>
    <t>Switch restaurant</t>
  </si>
  <si>
    <t>Resaurant</t>
  </si>
  <si>
    <t>https://pbs.twimg.com/profile_images/2200888200/profile_400x400.jpg</t>
  </si>
  <si>
    <t>http://www.meswitch.com</t>
  </si>
  <si>
    <t>Aster Pharmacy</t>
  </si>
  <si>
    <t>http://mercatoshoppingmall.com/wp-content/uploads/2013/07/logo_aster.png</t>
  </si>
  <si>
    <t>http://asterpharmacy.com</t>
  </si>
  <si>
    <t>SEWA</t>
  </si>
  <si>
    <t>Gas/Electricity/Water</t>
  </si>
  <si>
    <t>http://www.sume-expo.com/g/2015/logos/sewa_logo.jpg</t>
  </si>
  <si>
    <t>https://www.sewa.gov.ae/en/</t>
  </si>
  <si>
    <t>DEWA</t>
  </si>
  <si>
    <t>Electricity/Water</t>
  </si>
  <si>
    <t>http://www.guide2dubai.com/portals/0/Images/Living/Expat-Life/DEWA-bills.png</t>
  </si>
  <si>
    <t>https://www.dewa.gov.ae/default.aspx</t>
  </si>
  <si>
    <t>FEWA</t>
  </si>
  <si>
    <t>Electricity and Water</t>
  </si>
  <si>
    <t>http://fewaonline.gov.ae/developement/fewa/_images/fewalogo_new.jpg</t>
  </si>
  <si>
    <t>http://www.fewa.gov.ae/ar/Pages/default.aspx</t>
  </si>
  <si>
    <t>Palm Utilities</t>
  </si>
  <si>
    <t>Utilities</t>
  </si>
  <si>
    <t>http://www.empower.ae/images/logo-palmutilities.png</t>
  </si>
  <si>
    <t>Palm Utilities dubai</t>
  </si>
  <si>
    <t>ETISALAT</t>
  </si>
  <si>
    <t>Telephone/Internet</t>
  </si>
  <si>
    <t>http://goexcitetourism.com/blog/wp-content/uploads/2015/12/etisalat-logo-excite.jpg</t>
  </si>
  <si>
    <t>http://www.etisalat.ae/nrd/en/index.jsp</t>
  </si>
  <si>
    <t>Axiom Telecom</t>
  </si>
  <si>
    <t>Mobile Phone</t>
  </si>
  <si>
    <t>https://upload.wikimedia.org/wikipedia/en/d/d3/Axiom_Telecom_logo.gif</t>
  </si>
  <si>
    <t>http://www.axiomtelecom.com/?gclid=CjwKEAjw0KK4BRDCiKHD5Ny8pHESJACLE620qckwu7tPs9bu8R3SfdtGWTiOyEg23r7aAyf3cyWdjhoCs-vw_wcB</t>
  </si>
  <si>
    <t>DU</t>
  </si>
  <si>
    <t>http://arabbrains.com/wp-content/uploads/2015/03/du-logo1.jpg</t>
  </si>
  <si>
    <t>http://www.du.ae</t>
  </si>
  <si>
    <t xml:space="preserve">RTA </t>
  </si>
  <si>
    <t>Government/Road and Transport</t>
  </si>
  <si>
    <t>http://4.bp.blogspot.com/-DKlN2ULulp8/Tc1iPPJo98I/AAAAAAAAAAQ/1Hl9ooVIcYQ/s760/RTA-corporate-logo.jpg</t>
  </si>
  <si>
    <t>https://www.rta.ae/wps/portal/rta/ae/home/!ut/p/z1/dc3NCoJAFAXgp3HrvcOYWTsl0AaLRrR0NjHC-IOiMk35-hkFberszuGDAwJyEIN8tLU07TjIfumFcK9HRCdEh8Rh5iL6WcL5mSUUd2u4gADxIifiRQGSGGkaLISnjG_YPiL0A_BPfAQGou7H8n3nDyX1ahBaVUorbd_1MjfGTFsLLZzn2dZG2lJZ-Es3481A_lUwdV11MKviCZL3sWY!/dz/d5/L0lDUmlTUSEhL3dHa0FKRnNBLzROV3FpQSEhL2Fy/</t>
  </si>
  <si>
    <t>Nol</t>
  </si>
  <si>
    <t>Travel Card</t>
  </si>
  <si>
    <t>http://www.mydubaimetro.com/en/media/get/20090909_nol-card.jpg</t>
  </si>
  <si>
    <t>https://www.nol.ae/RtaPortal/Portal.portal;jsessionid=42rkXLhTVN8BG1MzlvC2MD0XCr10jBQ3fkbd9KP32tYF4C6dkv2R!1518823974?_nfpb=true&amp;_pageLabel=home_learn_default&amp;lang=en&amp;_nfls=false</t>
  </si>
  <si>
    <t>Police_1</t>
  </si>
  <si>
    <t>DUBAI POLICE</t>
  </si>
  <si>
    <t>Police</t>
  </si>
  <si>
    <t>http://glassalmanac.com/wp-content/uploads/2014/05/dubai-police-logo.png</t>
  </si>
  <si>
    <t>https://www.dubaipolice.gov.ae/dp/jsps/home.do</t>
  </si>
  <si>
    <t>Cambridge International School</t>
  </si>
  <si>
    <t>http://info-emirates.com/wp-content/uploads/2014/09/school-logo-Ca-20-634.png</t>
  </si>
  <si>
    <t>http://www.gemscis-dubai.com</t>
  </si>
  <si>
    <t>Dnata</t>
  </si>
  <si>
    <t>Airport Services</t>
  </si>
  <si>
    <t>http://www.dubaiinternetmarketing.com/wp-content/uploads/2010/11/Dnata-Travel-.jpg</t>
  </si>
  <si>
    <t>http://www.dnata.com/english/airports/middle-east/united-arab-emirates/dubai.aspx</t>
  </si>
  <si>
    <t xml:space="preserve">Emirates </t>
  </si>
  <si>
    <t>https://upload.wikimedia.org/wikipedia/commons/thumb/d/d0/Emirates_logo.svg/2000px-Emirates_logo.svg.png</t>
  </si>
  <si>
    <t>http://www.emirates.com/english/destinations/flights-to-dubai.aspx</t>
  </si>
  <si>
    <t>Air Arabia</t>
  </si>
  <si>
    <t>https://upload.wikimedia.org/wikipedia/commons/thumb/8/88/Air_Arabia_Logo.svg/2000px-Air_Arabia_Logo.svg.png</t>
  </si>
  <si>
    <t>http://www.airarabia.com/en/dubai</t>
  </si>
  <si>
    <t>Fly Dubai</t>
  </si>
  <si>
    <t>http://financialtribune.com/sites/default/files/field/image/09_FlyDubai%2070130_flydubai_logo.jpg</t>
  </si>
  <si>
    <t>https://m.flydubai.com/en/mobile/FlightSearch/Search</t>
  </si>
  <si>
    <t>Dar Al Ber</t>
  </si>
  <si>
    <t>Humanitarian Charity</t>
  </si>
  <si>
    <t>https://islamicresourcedubai.files.wordpress.com/2015/09/dar-al-ber-logo1.jpg</t>
  </si>
  <si>
    <t>https://www.daralber.ae/</t>
  </si>
  <si>
    <t>Dubai Cares</t>
  </si>
  <si>
    <t>Childrens Charity</t>
  </si>
  <si>
    <t>http://www.savethechildren.org/atf/cf/%7B9def2ebe-10ae-432c-9bd0-df91d2eba74a%7D/DUBAI-CARES-LOGO-300H.JPG</t>
  </si>
  <si>
    <t>http://www.dubaicares.ae/en</t>
  </si>
  <si>
    <t xml:space="preserve"> </t>
  </si>
  <si>
    <t>http://www.armotors.ae/wp-content/themes/arm/images/logo-armotors.png</t>
  </si>
  <si>
    <t>http://www.armotors.ae</t>
  </si>
  <si>
    <t>Emaar</t>
  </si>
  <si>
    <t>Property Company</t>
  </si>
  <si>
    <t>http://www.zameen.com/blog/wp-content/uploads/2014/01/emaar-logo.jpg</t>
  </si>
  <si>
    <t>https://www.emaar.com/en/index.aspx</t>
  </si>
  <si>
    <t>Emirates Trades LLC</t>
  </si>
  <si>
    <t>Office Supplies Company</t>
  </si>
  <si>
    <t>http://www.dubaimap.mobi/logos/1308059568ete.jpg</t>
  </si>
  <si>
    <t>http://www.emirates-trading.com</t>
  </si>
  <si>
    <t>Elenco Trading LLC</t>
  </si>
  <si>
    <t>http://www.elencogroup.com/images/company-logo.png</t>
  </si>
  <si>
    <t>http://www.elencogroup.com</t>
  </si>
  <si>
    <t>Jamal Yusuf Trading LLC</t>
  </si>
  <si>
    <t>Pipeline suppliers</t>
  </si>
  <si>
    <t>http://www.arabiantalks.com/uploads/logo/56b867d098af3.PNG</t>
  </si>
  <si>
    <t>http://www.jytrdg.com</t>
  </si>
  <si>
    <t>Power Cool Trading LCC</t>
  </si>
  <si>
    <t>Suppliers of Cooler Items</t>
  </si>
  <si>
    <t>http://powercooltrd.com/wp-content/uploads/2016/01/logo-powercool.png</t>
  </si>
  <si>
    <t>http://powercooltrd.com</t>
  </si>
  <si>
    <t>DoorTech Trading LLC</t>
  </si>
  <si>
    <t>Comercial door Suppliers</t>
  </si>
  <si>
    <t>http://doortec.ae/wp-content/uploads/2015/09/Doortec_Trading_LLC.png</t>
  </si>
  <si>
    <t>http://doortec.ae</t>
  </si>
  <si>
    <t>Nassco Trading DWC-LLC</t>
  </si>
  <si>
    <t>http://lsae2.iypcdn.com/static/modules/uploads/logos/nassco-trading-786128.jpg?911</t>
  </si>
  <si>
    <t>http://nasscotrading.com</t>
  </si>
  <si>
    <t>Vacker LLC</t>
  </si>
  <si>
    <t>Industiral Process Company</t>
  </si>
  <si>
    <t>http://www.dubaibigbrands.com/UploadImages/2logo.jpg</t>
  </si>
  <si>
    <t>https://www.vackerglobal.com</t>
  </si>
  <si>
    <t>Green Coast Trading  LLC</t>
  </si>
  <si>
    <t>Manufacturing/Property/Investment</t>
  </si>
  <si>
    <t>https://media.licdn.com/media/p/8/000/2b6/17c/3d7fe54.png</t>
  </si>
  <si>
    <t>Green Edge Computers LLC</t>
  </si>
  <si>
    <t>IT Company</t>
  </si>
  <si>
    <t>http://www.classonet.com/uploads/profilephotos/517243188341_16970/thumb/Green-Edge-Computers-LLC55e18bed3c140.jpg</t>
  </si>
  <si>
    <t>http://www.gecomputers.com/index.html</t>
  </si>
  <si>
    <t>Future Star LLC</t>
  </si>
  <si>
    <t>https://pbs.twimg.com/profile_images/1109020097/Only_FS.png</t>
  </si>
  <si>
    <t>http://www.futurestarllc.com/cargo.html</t>
  </si>
  <si>
    <t>DP World</t>
  </si>
  <si>
    <t>Shipping Company-marine terminal</t>
  </si>
  <si>
    <t>Monthly Salary</t>
  </si>
  <si>
    <t>http://me-newswire.net/blog/pic05633.jpg</t>
  </si>
  <si>
    <t>http://dpworld.ae/en/home</t>
  </si>
  <si>
    <t>Trading</t>
  </si>
  <si>
    <t>Delta Trading Group LLC</t>
  </si>
  <si>
    <t>http://deltatradinggroup.com/wp-content/uploads/2015/07/DTG__web-logo__light.png</t>
  </si>
  <si>
    <t>Branch_1</t>
  </si>
  <si>
    <t xml:space="preserve">Al Barsha Branch
</t>
  </si>
  <si>
    <t>Branch_2</t>
  </si>
  <si>
    <t xml:space="preserve">Ajman Branch
</t>
  </si>
  <si>
    <t>Branch_3</t>
  </si>
  <si>
    <t xml:space="preserve">Al Karama Branch 
</t>
  </si>
  <si>
    <t>Branch_4</t>
  </si>
  <si>
    <t xml:space="preserve">Al Satwa Branch
</t>
  </si>
  <si>
    <t>Branch_5</t>
  </si>
  <si>
    <t xml:space="preserve">Al Nahda Branch
</t>
  </si>
  <si>
    <t>ATM_1</t>
  </si>
  <si>
    <t>Hatta Branch - ATM</t>
  </si>
  <si>
    <t>ATM_2</t>
  </si>
  <si>
    <t>Abu Dhabi Branch - ATM</t>
  </si>
  <si>
    <t>ATM_3</t>
  </si>
  <si>
    <t>Fujairah Branch - ATM</t>
  </si>
  <si>
    <t>ATM_4</t>
  </si>
  <si>
    <t>Umm Ramool Branch - ATM</t>
  </si>
  <si>
    <t>ATM_5</t>
  </si>
  <si>
    <t>Umm Suqeim Branch - ATM</t>
  </si>
  <si>
    <t>ATM_6</t>
  </si>
  <si>
    <t>Satwa Branch - ATM</t>
  </si>
  <si>
    <t>ATM_7</t>
  </si>
  <si>
    <t>Jumeirah Branch - ATM</t>
  </si>
  <si>
    <t>ATM_8</t>
  </si>
  <si>
    <t>Hamriya Branch - ATM</t>
  </si>
  <si>
    <t>ATM_9</t>
  </si>
  <si>
    <t>Mamzar Branch - ATM</t>
  </si>
  <si>
    <t>ATM_10</t>
  </si>
  <si>
    <t>Emirates NBD Al Ain Branch - ATM</t>
  </si>
  <si>
    <t>ATM_11</t>
  </si>
  <si>
    <t>Karama Branch - ATM</t>
  </si>
  <si>
    <t>ATM_12</t>
  </si>
  <si>
    <t>Burjuman Branch - ATM</t>
  </si>
  <si>
    <t>ATM_13</t>
  </si>
  <si>
    <t>Gold Branch - ATM</t>
  </si>
  <si>
    <t>ATM_14</t>
  </si>
  <si>
    <t>Nad Al Sheba Branch - ATM</t>
  </si>
  <si>
    <t>ATM_15</t>
  </si>
  <si>
    <t>Khalidiya Branch - ATM</t>
  </si>
  <si>
    <t>ATM_16</t>
  </si>
  <si>
    <t>Dragon Mart Branch - ATM</t>
  </si>
  <si>
    <t>ATM_17</t>
  </si>
  <si>
    <t>Musaffah Branch - ATM</t>
  </si>
  <si>
    <t>ATM_18</t>
  </si>
  <si>
    <t>Umm al Quwain Branch - ATM</t>
  </si>
  <si>
    <t>ATM_19</t>
  </si>
  <si>
    <t>RAK Al Khor Branch - ATM</t>
  </si>
  <si>
    <t>ATM_20</t>
  </si>
  <si>
    <t>Barsha Branch - ATM</t>
  </si>
  <si>
    <t>ATM-21</t>
  </si>
  <si>
    <t>Teecom Branch - ATM</t>
  </si>
  <si>
    <t>ATM-22</t>
  </si>
  <si>
    <t>Dubai Marina Mall Branch - ATM</t>
  </si>
  <si>
    <t>ATM-23</t>
  </si>
  <si>
    <t>Sharjah City Centre Branch - ATM</t>
  </si>
  <si>
    <t>ATM_24</t>
  </si>
  <si>
    <t>Dubai Airport T3 Arrival Branch - ATM</t>
  </si>
  <si>
    <t>ATM_25</t>
  </si>
  <si>
    <t>DFC Branch - ATM</t>
  </si>
  <si>
    <t>ATM_26</t>
  </si>
  <si>
    <t>Sharjah Branch - ATM</t>
  </si>
  <si>
    <t>Singapore</t>
  </si>
  <si>
    <t>Singapore Air</t>
  </si>
  <si>
    <t>http://logok.org/wp-content/uploads/2014/08/Singapore-Airlines-logo-vertical.png</t>
  </si>
  <si>
    <t>http://www.singaporeair.com/en_UK/sg/home</t>
  </si>
  <si>
    <t>Japan Airlines</t>
  </si>
  <si>
    <t>http://www.barig.aero/sites/default/files/members/japan_airlines/images/(02)%20Logo%20A.jpg</t>
  </si>
  <si>
    <t>http://www.sg.jal.com/sgl/en/</t>
  </si>
  <si>
    <t>Changi Airport</t>
  </si>
  <si>
    <t>https://upload.wikimedia.org/wikipedia/en/thumb/a/ae/Singapore_Changi_Airport_logo.svg/1280px-Singapore_Changi_Airport_logo.svg.png</t>
  </si>
  <si>
    <t>http://www.changiairport.com/en/airport-experience/attractions-and-services.html</t>
  </si>
  <si>
    <t>Tiger Sky Tower</t>
  </si>
  <si>
    <t>https://www.passioncard.sg/~/media/PAC/PAssion_Merchants/tigerskytower.ashx?h=245&amp;la=en&amp;w=416</t>
  </si>
  <si>
    <t>http://www.skytower.com.sg</t>
  </si>
  <si>
    <t>Loof</t>
  </si>
  <si>
    <t>https://img.singaporeair.com/microsite/global/BPP/img/sg-dining/loof-logo.jpg</t>
  </si>
  <si>
    <t>http://www.loof.com.sg</t>
  </si>
  <si>
    <t>1-Altitude</t>
  </si>
  <si>
    <t>http://www.1-altitude.com/wp/wp-content/uploads/1-alt-logo.png</t>
  </si>
  <si>
    <t>http://www.1-altitude.com</t>
  </si>
  <si>
    <t>Merlin Motor Works</t>
  </si>
  <si>
    <t>http://www.merlinmotorworks.com/images/merlin-about-us.jpg</t>
  </si>
  <si>
    <t>http://www.merlinmotorworks.com/?gclid=CjwKEAjwubK4BRC1xczKrZyj3mkSJAC6ntgrj5Ti3Cap2JYFIcdD8-0axABN0oadlOjhma60MEASzhoCFQjw_wcB</t>
  </si>
  <si>
    <t>Home</t>
  </si>
  <si>
    <t>http://www.theonlinecitizen.com/wp-content/uploads/2014/07/HOME-logo-650x278.jpg</t>
  </si>
  <si>
    <t>http://www.home.org.sg</t>
  </si>
  <si>
    <t>Children's Society</t>
  </si>
  <si>
    <t>http://images.google.de/imgres?imgurl=https://www.childrensociety.org.sg/resources/front/template/scs/images/logo.png&amp;imgrefurl=https://www.childrensociety.org.sg/&amp;h=160&amp;w=138&amp;tbnid=zOknTmn8gmoBMM:&amp;tbnh=127&amp;tbnw=110&amp;docid=kI-YuM6739MYXM&amp;client=safari&amp;usg=__U7KGyUBW-AFPRdlbAddKG5fuSDM=&amp;sa=X&amp;ved=0ahUKEwioxvDx_YnMAhVHjSwKHcNJC_IQ9QEIITAA</t>
  </si>
  <si>
    <t>https://www.childrensociety.org.sg</t>
  </si>
  <si>
    <t>Shaw Theatres</t>
  </si>
  <si>
    <t>http://www.shaw.sg/App_Themes/Standard/Common/logoShawOnline.gif</t>
  </si>
  <si>
    <t>http://www.shaw.sg</t>
  </si>
  <si>
    <t>Common Man Coffee Roasters</t>
  </si>
  <si>
    <t>http://cdn.shopify.com/s/files/1/1000/4780/t/12/assets/logo.png?5995271819559178847</t>
  </si>
  <si>
    <t>https://commonmancoffeeroasters.com</t>
  </si>
  <si>
    <t>Toby's Estate</t>
  </si>
  <si>
    <t>http://singapore-river.com/docs/images/fnb/tobys-estate.jpg</t>
  </si>
  <si>
    <t>http://www.tobysestate.com.sg</t>
  </si>
  <si>
    <t>GDS Global</t>
  </si>
  <si>
    <t>http://displays.gds.com/wp-content/uploads/2016/01/GDS_Global-Display-Solutions_Logo-3.png</t>
  </si>
  <si>
    <t>http://www.gdsglobal.com.sg</t>
  </si>
  <si>
    <t>Inland Revenue Authority of Singapore</t>
  </si>
  <si>
    <t>https://www.iras.gov.sg/irasHome/web/images/logo-agency.png</t>
  </si>
  <si>
    <t>https://www.iras.gov.sg/IRASHome/Property/Property-owners/Working-out-your-taxes/Property-Tax-Rates-and-Sample-Calculations/</t>
  </si>
  <si>
    <t>national Dental Centre Singapore</t>
  </si>
  <si>
    <t>http://www.ndcs.com.sg/SiteCollectionImages/ndc_logo.jpg</t>
  </si>
  <si>
    <t>http://www.ndcs.com.sg/Pages/Home.aspx</t>
  </si>
  <si>
    <t>I Property</t>
  </si>
  <si>
    <t>http://www.iproperty.com/images/logo1.gif</t>
  </si>
  <si>
    <t>http://www.iproperty.com.sg/realestate/findanagent.aspx</t>
  </si>
  <si>
    <t>http://www.stations.esso.com.sg/2311631-esso-pioneer-pay-at-the-pump-available</t>
  </si>
  <si>
    <t>http://www.shell.com.sg</t>
  </si>
  <si>
    <t>Cheap Flights</t>
  </si>
  <si>
    <t>http://static1.squarespace.com/static/54c3ad64e4b02cf35cf16d84/t/56a8a0c05827c304cbfd453d/1453891785036/cheapflights</t>
  </si>
  <si>
    <t>http://www.cheapflights.com.sg</t>
  </si>
  <si>
    <t>https://www.skyscanner.com.sg/hotels?na=1&amp;sd=2017-06-27&amp;ed=2017-06-28&amp;s-f_iplace=COPE&amp;fileName=Copenhagen&amp;_ga=2.62125739.621301378.1496740092-1936328149.1483972248</t>
  </si>
  <si>
    <t>Pentagon</t>
  </si>
  <si>
    <t>http://www.pentagon.com.sg/images/p_typelogo.gif</t>
  </si>
  <si>
    <t>http://www.pentagon.com.sg/profile.html</t>
  </si>
  <si>
    <t>Fair Price</t>
  </si>
  <si>
    <t>https://s3-ap-southeast-1.amazonaws.com/spr.images/asiamalls/ext-images/MerchantImage27.png?timestamp=1751186595</t>
  </si>
  <si>
    <t>http://www.fairprice.com.sg/webapp/wcs/stores/servlet/en/fairprice</t>
  </si>
  <si>
    <t>http://www.hougangmall.com.sg/media/4492/merchantimage27.png</t>
  </si>
  <si>
    <t>Cold Storage</t>
  </si>
  <si>
    <t>http://www.mymydin.com/wp-content/uploads/2015/01/Cold-Storage-Logo.jpg</t>
  </si>
  <si>
    <t>https://coldstorage.com.sg</t>
  </si>
  <si>
    <t>Gaint</t>
  </si>
  <si>
    <t>https://upload.wikimedia.org/wikipedia/commons/thumb/c/c8/Logo_of_Giant_Hypermarket.svg/1200px-Logo_of_Giant_Hypermarket.svg.png</t>
  </si>
  <si>
    <t>https://www.giantsingapore.com.sg</t>
  </si>
  <si>
    <t>Prime Supermarket</t>
  </si>
  <si>
    <t>http://bq.sg/wp-content/uploads/2017/01/14947799_1330266447007357_7230798662487561146_n.jpg</t>
  </si>
  <si>
    <t>http://www.primesupermarket.com</t>
  </si>
  <si>
    <t>Sheng Siong</t>
  </si>
  <si>
    <t>http://www.shengsiong.com.sg/product_images/news_images/wl200-outdoor-entrance.jpg</t>
  </si>
  <si>
    <t>http://www.shengsiong.com.sg</t>
  </si>
  <si>
    <t>The Little Gym</t>
  </si>
  <si>
    <t>http://www.thelittlegym.com.sg</t>
  </si>
  <si>
    <t>ASPRI</t>
  </si>
  <si>
    <t>http://www.aspri.com.sg/wordpress/wp-content/uploads/2015/02/ASPRI-Logo-main1-e1424146758437.jpg</t>
  </si>
  <si>
    <t>http://www.aspri.com.sg</t>
  </si>
  <si>
    <t>Glaston Tools</t>
  </si>
  <si>
    <t>http://www.glastontools.com/images/GlastonTools/glaston-tools-logo.jpg</t>
  </si>
  <si>
    <t>http://glastontools.com/en/Support/Sales-and-Service-Units/ASIA/Glaston-Singapore-Pte-Ltd/</t>
  </si>
  <si>
    <t>Liberty Insurance</t>
  </si>
  <si>
    <t>https://www.libertyinsurance.com.sg/wp-content/uploads/2014/05/cropped-LM_Singapore-RGB.png</t>
  </si>
  <si>
    <t>https://www.libertyinsurance.com.sg</t>
  </si>
  <si>
    <t>E Vantage</t>
  </si>
  <si>
    <t>https://media.licdn.com/media/p/2/000/1fc/340/3e5fbde.png</t>
  </si>
  <si>
    <t>http://www.evantage-technology.com</t>
  </si>
  <si>
    <t>ST Property</t>
  </si>
  <si>
    <t>http://www.stproperty.sg/articles-property/images/logo-stproperty.png</t>
  </si>
  <si>
    <t>http://www.stproperty.sg/home</t>
  </si>
  <si>
    <t>Star Hub</t>
  </si>
  <si>
    <t>http://www.starhub.com/content/dam/starhub/2015/apps/icons/starhub-app.png</t>
  </si>
  <si>
    <t>http://www.starhub.com/personal.html</t>
  </si>
  <si>
    <t>M1</t>
  </si>
  <si>
    <t>https://upload.wikimedia.org/wikipedia/en/thumb/3/3c/Logo_of_M1.svg/1024px-Logo_of_M1.svg.png</t>
  </si>
  <si>
    <t>https://www.m1.com.sg/personal/mobile</t>
  </si>
  <si>
    <t>Orchid Golf Club</t>
  </si>
  <si>
    <t>https://pbs.twimg.com/profile_images/409198977/logo-orchid_400x400.gif</t>
  </si>
  <si>
    <t>http://www.orchidclub.com/moby/cms/golfing/golf_course/</t>
  </si>
  <si>
    <t>Stationery World</t>
  </si>
  <si>
    <t>http://www.stationeryworld.com.sg/img/stationery_world_logo.jpg</t>
  </si>
  <si>
    <t>http://www.stationeryworld.com.sg</t>
  </si>
  <si>
    <t>Ministry of Health Singapore</t>
  </si>
  <si>
    <t>http://www.channelnewsasia.com/image/804066/1378444088000/large16x9/768/432/moh-logo-ministry-of.jpg</t>
  </si>
  <si>
    <t>https://www.moh.gov.sg/content/moh_web/healthprofessionalsportal/alliedhealthprofessionals/career_practice/allied_health_professions/optometrists_opticians.html</t>
  </si>
  <si>
    <t>Visio Optical</t>
  </si>
  <si>
    <t>https://s-media-cache-ak0.pinimg.com/736x/e9/36/2f/e9362fdc98c2e33be2389d0c78ab0d4d.jpg</t>
  </si>
  <si>
    <t>http://www.visiooptical.com</t>
  </si>
  <si>
    <t>Metro Parking</t>
  </si>
  <si>
    <t>https://s3-ap-southeast-1.amazonaws.com/pegaxis-production/development/service_providers/pictures/000/002/576/thumb/Poster_Logo.png?1487050168</t>
  </si>
  <si>
    <t>http://metroparking.com.sg</t>
  </si>
  <si>
    <t>Guardian</t>
  </si>
  <si>
    <t>https://s3-ap-southeast-1.amazonaws.com/spr.images/asiamalls/ext-images/MerchantImage34.png?timestamp=1865495874</t>
  </si>
  <si>
    <t>http://www.guardian.com.sg</t>
  </si>
  <si>
    <t>Prochem</t>
  </si>
  <si>
    <t>http://www.prochem.com.au/wp-content/themes/prochem/images/logo.gif</t>
  </si>
  <si>
    <t>http://www.prochem.com.au</t>
  </si>
  <si>
    <t>Repair Computer</t>
  </si>
  <si>
    <t>http://www.repaircomputer.com.sg/blog/wp-content/uploads/2011/11/computer-maintainence-blog1.jpg</t>
  </si>
  <si>
    <t>http://www.repaircomputer.com.sg</t>
  </si>
  <si>
    <t>Power Electrical</t>
  </si>
  <si>
    <t>http://www.powerelectrical.com.sg/files/3913/8116/2228/AAV.JPG</t>
  </si>
  <si>
    <t>http://www.powerelectrical.com.sg</t>
  </si>
  <si>
    <t>NTUC Income</t>
  </si>
  <si>
    <t>https://www.contactcenterworld.com/images/company/NTUC-Income-600px-logo.jpg</t>
  </si>
  <si>
    <t>http://www.income.com.sg/value-added-services/referral-services/home-services</t>
  </si>
  <si>
    <t>Basilico</t>
  </si>
  <si>
    <t>http://www.htmi.ch/Editor/asset//201203/e3887d71-f9d9-48a2-8a21-65c69b129692.jpeg</t>
  </si>
  <si>
    <t>http://www.regenthotels.com/EN/Singapore/Cuisine/Basilico</t>
  </si>
  <si>
    <t>Jaan</t>
  </si>
  <si>
    <t>http://2.bp.blogspot.com/-pkNVtmQU3wI/UVlcMyXiHCI/AAAAAAAAPn0/si8Y5DCEIzU/s1600/jann_logo.eps.jpg</t>
  </si>
  <si>
    <t>http://www.jaan.com.sg</t>
  </si>
  <si>
    <t>NOX</t>
  </si>
  <si>
    <t>http://www.noxdineinthedark.com/img/NOX-fb-share.png</t>
  </si>
  <si>
    <t>http://www.noxdineinthedark.com</t>
  </si>
  <si>
    <t>Fratini la Trattoria</t>
  </si>
  <si>
    <t>https://weekender.com.sg/foodmaniaawards/wp-content/uploads/sites/11/2016/05/Fratini.jpg</t>
  </si>
  <si>
    <t>http://fratinilatrattoria.com</t>
  </si>
  <si>
    <t>Carousel Buffet</t>
  </si>
  <si>
    <t>http://www.carouselbuffet.com.sg/carousel/wp-content/uploads/2015/01/logo-carousel1.jpg</t>
  </si>
  <si>
    <t>http://www.carouselbuffet.com.sg</t>
  </si>
  <si>
    <t>PerBacco</t>
  </si>
  <si>
    <t>http://perbacco.sg/wp-content/uploads/2016/10/PerBacco-Logo.png</t>
  </si>
  <si>
    <t>http://perbacco.sg</t>
  </si>
  <si>
    <t>Long Beach Sea Food</t>
  </si>
  <si>
    <t>http://longbeachseafood.com.sg/wp-content/themes/longbeach/images/logo.png</t>
  </si>
  <si>
    <t>http://longbeachseafood.com.sg</t>
  </si>
  <si>
    <t>Pizzeria Mozza</t>
  </si>
  <si>
    <t>http://singapore.pizzeriamozza.com/wp-content/uploads/sites/24/2014/11/mozzapizzeria_facebookImage.jpg</t>
  </si>
  <si>
    <t>http://singapore.pizzeriamozza.com</t>
  </si>
  <si>
    <t>https://www.pizzahut.com.sg/home</t>
  </si>
  <si>
    <t>https://www.mcdonalds.com.sg</t>
  </si>
  <si>
    <t>Capricci</t>
  </si>
  <si>
    <t>http://static.wixstatic.com/media/aca680_5da6f4598d244b518e4b8efbb55eb2aa~mv2.jpg_srz_600_236_85_22_0.50_1.20_0.00_jpg_srz</t>
  </si>
  <si>
    <t>http://www.capricci.com.sg</t>
  </si>
  <si>
    <t>Crust Pizza</t>
  </si>
  <si>
    <t>http://98five.com/wp-content/uploads/2017/05/crust-gourmet-pizza-logo-jpg.jpg</t>
  </si>
  <si>
    <t>http://www.crustpizza.com.sg</t>
  </si>
  <si>
    <t>Land Transport Authority</t>
  </si>
  <si>
    <t>Government Road Tax</t>
  </si>
  <si>
    <t>https://upload.wikimedia.org/wikipedia/en/0/0e/Land_Transport_Authority_(logo).png</t>
  </si>
  <si>
    <t>http://www.lta.gov.sg/content/ltaweb/en/roads-and-motoring/owning-a-vehicle/costs-of-owning-a-vehicle/tax-structure-for-cars.html</t>
  </si>
  <si>
    <t>DBS</t>
  </si>
  <si>
    <t>https://upload.wikimedia.org/wikipedia/en/thumb/1/18/DBS_Bank_Logo.svg/1280px-DBS_Bank_Logo.svg.png</t>
  </si>
  <si>
    <t>https://www.dbs.com.sg/personal/promotion/online-account-opening?cid=-SG-CBG-CASA-SEM__kw=&amp;gclid=CN-d_8HIrtQCFWUq0wodJSoDAQ</t>
  </si>
  <si>
    <t>CIMB Bank</t>
  </si>
  <si>
    <t>http://www.cimbbank.com.sg/etc/designs/cimbconsumer/clientlibs/img/icon_100x100.jpg</t>
  </si>
  <si>
    <t>http://www.cimbbank.com.sg/en/personal/products/accounts/savings-accounts/cimb-fastsaver-account.html?icid=sg%7Cpersonal%7CSEM05%7C20170216%7Ccimb-always-on-casa</t>
  </si>
  <si>
    <t>Australian International School</t>
  </si>
  <si>
    <t>https://connect.ais.com.sg/Templates/Cognita-Asia/custom/AIS-logo@2x.png</t>
  </si>
  <si>
    <t>http://www.ais.com.sg</t>
  </si>
  <si>
    <t>Evergreen Marine Corp</t>
  </si>
  <si>
    <t>https://upload.wikimedia.org/wikipedia/en/3/3f/Evergreen_Marine_Corporation_logo.png</t>
  </si>
  <si>
    <t>http://www.evergreen-marine.com</t>
  </si>
  <si>
    <t>Mi</t>
  </si>
  <si>
    <t>http://store.mi.com/sg/accessories</t>
  </si>
  <si>
    <t>Babyonline</t>
  </si>
  <si>
    <t>http://image.babyonline.com.hk/data/BabyOnline-logo-HK.png</t>
  </si>
  <si>
    <t>http://www.babyonline.com.sg</t>
  </si>
  <si>
    <t>Kinokuniya</t>
  </si>
  <si>
    <t>http://www.jem.sg/images/Books_Kinokuniya.jpg</t>
  </si>
  <si>
    <t>https://kinokuniya.com.sg</t>
  </si>
  <si>
    <t>Matt's</t>
  </si>
  <si>
    <t>http://www.matts.com.sg/wp-content/uploads/2014/08/logo-top.png</t>
  </si>
  <si>
    <t>http://www.matts.com.sg</t>
  </si>
  <si>
    <t>http://sg.topman.com/?geoip=home</t>
  </si>
  <si>
    <t>http://sg.topshop.com/?geoip=home</t>
  </si>
  <si>
    <t>Zalora</t>
  </si>
  <si>
    <t>http://zstaticsg01-a.akamaihd.net/cms/test/Zalora_sg.jpg</t>
  </si>
  <si>
    <t>http://www.zalora.sg/women/</t>
  </si>
  <si>
    <t>http://www.newlook.com/row/womens?language=en&amp;currency=EUR&amp;country=SG</t>
  </si>
  <si>
    <t>https://www.zara.com/sg/</t>
  </si>
  <si>
    <t>http://www.thebodyshop.com.sg/en/</t>
  </si>
  <si>
    <t>Bud Cosmetics</t>
  </si>
  <si>
    <t>http://www.budcosmetics.com/images/design/logo.gif</t>
  </si>
  <si>
    <t>http://www.budcosmetics.com</t>
  </si>
  <si>
    <t>http://www.debenhams.com/en-sg</t>
  </si>
  <si>
    <t>Best Denki</t>
  </si>
  <si>
    <t>http://senayancity.com/img/tenants/400_logo.jpg</t>
  </si>
  <si>
    <t>https://go.bestdenki.com.sg</t>
  </si>
  <si>
    <t>Courts</t>
  </si>
  <si>
    <t>http://www.jem.sg/images/courts.jpg</t>
  </si>
  <si>
    <t>http://www.courts.com.sg</t>
  </si>
  <si>
    <t>Lazada</t>
  </si>
  <si>
    <t>http://www.mycashback.sg/images/lazada_logo.jpg</t>
  </si>
  <si>
    <t>http://www.lazada.sg</t>
  </si>
  <si>
    <t>xpressflower.com</t>
  </si>
  <si>
    <t>http://westgate.com.sg/-/media/cma-malls/websites/logos_560/x/xpressflower_560.jpg?w=560&amp;h=462&amp;bc=ffffff</t>
  </si>
  <si>
    <t>http://www.xpressflower.com</t>
  </si>
  <si>
    <t>White Giant</t>
  </si>
  <si>
    <t>http://whitegiant.sg/images/wg_logo.jpg</t>
  </si>
  <si>
    <t>http://whitegiant.sg</t>
  </si>
  <si>
    <t>Horme</t>
  </si>
  <si>
    <t>http://www.horme.com.sg/images/web/logo.png</t>
  </si>
  <si>
    <t>http://www.horme.com.sg</t>
  </si>
  <si>
    <t>Divano</t>
  </si>
  <si>
    <t>http://myhomeinternational.com.sg/images/exelogo/2012/divano.jpg</t>
  </si>
  <si>
    <t>http://www.divano.com.sg</t>
  </si>
  <si>
    <t>Novena</t>
  </si>
  <si>
    <t>http://www.novena.com.sg/images/novena-logo.png</t>
  </si>
  <si>
    <t>http://www.novena.com.sg</t>
  </si>
  <si>
    <t>BHG</t>
  </si>
  <si>
    <t>http://www.betime.com.sg/resources/content/files/bhg_logo_new.png</t>
  </si>
  <si>
    <t>http://www.bhgsingapore.com.sg</t>
  </si>
  <si>
    <t>One Dollar Only</t>
  </si>
  <si>
    <t>https://cdn.shopify.com/s/files/1/1454/7286/files/Final_Website_Logo_95a0f466-c68d-42dd-9519-5e8b6754f21b_600x.png?v=1494523689</t>
  </si>
  <si>
    <t>http://www.onedollaronly.com.sg</t>
  </si>
  <si>
    <t>SK Jewellery</t>
  </si>
  <si>
    <t>http://www.jem.sg/images/sk.jpg</t>
  </si>
  <si>
    <t>https://www.skjewellery.com</t>
  </si>
  <si>
    <t>Club21 Kids</t>
  </si>
  <si>
    <t>http://cdn.singpromos.com/wp-content/uploads/2012/06/Club-21-Logo.jpg</t>
  </si>
  <si>
    <t>https://club21global.com/flagshipcontrol/flagship/flagship_id/1318378660/sg/en</t>
  </si>
  <si>
    <t>Mothercare</t>
  </si>
  <si>
    <t>http://mothercare.com.sg/media/wysiwyg/banner/mothercare_og_image.jpg</t>
  </si>
  <si>
    <t>http://www.mothercare.com.sg</t>
  </si>
  <si>
    <t>Light Craft</t>
  </si>
  <si>
    <t>https://heandhisnecktie.files.wordpress.com/2011/01/lightcraft-logo_hires_cmyk.jpg</t>
  </si>
  <si>
    <t>http://www.lightcraft.com.sg</t>
  </si>
  <si>
    <t>Today</t>
  </si>
  <si>
    <t>http://www.todayonline.com/sites/all/themes/today/logo.png</t>
  </si>
  <si>
    <t>http://www.todayonline.com</t>
  </si>
  <si>
    <t>http://www.clarks.sg</t>
  </si>
  <si>
    <t>Pazzion</t>
  </si>
  <si>
    <t>http://sg.offerstation.com/ai/110718_b.jpg</t>
  </si>
  <si>
    <t>http://www.pazzion.com</t>
  </si>
  <si>
    <t>https://www.decathlon.sg/themes/decathnelo/logo_2.png</t>
  </si>
  <si>
    <t>https://www.decathlon.sg</t>
  </si>
  <si>
    <t>Royal Sporting Home</t>
  </si>
  <si>
    <t>http://www.tanglinmall.com.sg/wp-content/uploads/2013/03/rsh.jpg</t>
  </si>
  <si>
    <t>http://royalsportinghouse.com</t>
  </si>
  <si>
    <t>Singtel Tv</t>
  </si>
  <si>
    <t>https://upload.wikimedia.org/wikipedia/commons/thumb/e/ee/Singtel_logo.svg/250px-Singtel_logo.svg.png</t>
  </si>
  <si>
    <t>http://www.singteltv.com.sg/default.asp</t>
  </si>
  <si>
    <t>Fairmont</t>
  </si>
  <si>
    <t>http://www.cancham.org.sg/files/webfm/documents/images/logos/Fairmont%20Singapore_logo.JPG</t>
  </si>
  <si>
    <t>http://www.fairmont.com/singapore/willow-stream/</t>
  </si>
  <si>
    <t>Cooler Master</t>
  </si>
  <si>
    <t>https://upload.wikimedia.org/wikipedia/de/thumb/1/1d/Cooler_Master_Logo.svg/1000px-Cooler_Master_Logo.svg.png</t>
  </si>
  <si>
    <t>http://www.coolermaster.com</t>
  </si>
  <si>
    <t>RS</t>
  </si>
  <si>
    <t>http://www.mhconnectors.com/Distributors/list/rs_logo.jpg</t>
  </si>
  <si>
    <t>http://sg.rs-online.com/web/</t>
  </si>
  <si>
    <t>https://www.dominos.com.sg</t>
  </si>
  <si>
    <t>Singtel</t>
  </si>
  <si>
    <t>http://info.singtel.com/personal/sites/singtelcms.app.vic/themes/singtelngpr/logo.png</t>
  </si>
  <si>
    <t>http://info.singtel.com</t>
  </si>
  <si>
    <t>http://old.sna.org.sg/site/images/Partnership/starhub.jpg</t>
  </si>
  <si>
    <t>http://www.starhub.com/personal/mobile.html</t>
  </si>
  <si>
    <t>i- on communications</t>
  </si>
  <si>
    <t>https://assets-b2matchgmbh.netdna-ssl.com/participants/000/247/743/logo/large.jpg?1445405934</t>
  </si>
  <si>
    <t>http://www.i-on.net/eng/product/eform/index.html?utm_campaign=gm&amp;utm_source=google&amp;utm_medium=cpc&amp;utm_content=eform</t>
  </si>
  <si>
    <t>https://media.glassdoor.com/sqll/3971/singtel-squarelogo-1426817085310.png</t>
  </si>
  <si>
    <t>https://www.singtel.com</t>
  </si>
  <si>
    <t>IG Trading</t>
  </si>
  <si>
    <t>http://a.c-dn.net/c/etc/designs/onedomain/1459444928243/images/og_image.jpg</t>
  </si>
  <si>
    <t>http://www.ig.com/sg/commodities-trading?CHID=1&amp;QPID=4043941&amp;QPPID=1&amp;s_kwcid=AL!3219!3!102212904288!b!!g!!%2Bcommodities%20%2Btrading&amp;gclid=Cj0KEQjw3Le4BRDxx5bk4aDn9t4BEiQAfmxQGYRaySTIhyeVG_MA5ZcQ6D9i1j51l_UXM8149HGegocaApE08P8HAQ&amp;ef_id=VsRAIAAAAR8HHiUM:20160413105950:s</t>
  </si>
  <si>
    <t>ITA Government</t>
  </si>
  <si>
    <t>https://www.nets.com.sg/images/cards/FlashPayCard.png</t>
  </si>
  <si>
    <t>http://www.lta.gov.sg/content/ltaweb/en/public-transport/mrt-and-lrt-trains/train-fares-and-travel-cards.html</t>
  </si>
  <si>
    <t>Singapore Power</t>
  </si>
  <si>
    <t>http://www.singaporepower.com.sg/irj/portalapps/com.sp.portal.tools.custom/images/SP_Logo.jpg</t>
  </si>
  <si>
    <t>http://www.singaporepower.com.sg/irj/portal</t>
  </si>
  <si>
    <t>EY</t>
  </si>
  <si>
    <t>http://www.ey.com/ecimages/EY.gif</t>
  </si>
  <si>
    <t>http://www.ey.com/SG/en/Industries/Power---Utilities</t>
  </si>
  <si>
    <t>Sembcorp</t>
  </si>
  <si>
    <t>http://www.sembcorpdc.com/images/logo-transparency-fullcolor.png</t>
  </si>
  <si>
    <t>http://www.sembcorp.com/en/business-utilities-energy.aspx</t>
  </si>
  <si>
    <t>Seraya Energy</t>
  </si>
  <si>
    <t>http://www.serayaenergy.com.sg/wp-content/themes/ytlpowerseraya/images/logo.jpg</t>
  </si>
  <si>
    <t>http://www.serayaenergy.com.sg/contact-us/faq/</t>
  </si>
  <si>
    <t>PUB</t>
  </si>
  <si>
    <t>https://media.licdn.com/mpr/mpr/shrink_200_200/AAEAAQAAAAAAAAjTAAAAJGFiMTllY2Y1LTIzODYtNDAzNS04ZmU1LWNkYjcyNTQ0M2U0Mw.png</t>
  </si>
  <si>
    <t>https://www.pub.gov.sg/watersupply</t>
  </si>
  <si>
    <t>SP Group</t>
  </si>
  <si>
    <t>https://www.spgroup.com.sg/home</t>
  </si>
  <si>
    <t>Republic of Singapore Yatch Club</t>
  </si>
  <si>
    <t>http://e-portal.rsyc.org.sg/eportal/images/CustomizeCompanyLogo.gif</t>
  </si>
  <si>
    <t>http://www.rsyc.org.sg</t>
  </si>
  <si>
    <t>DBS Bank ATM</t>
  </si>
  <si>
    <t>http://littleindiaarcade.com.sg/wp-content/uploads/2014/03/DBS-Limited-please-change-to-DBS-ATM-MACHINES-Custom.jpg</t>
  </si>
  <si>
    <t>http://www.dbs.com.sg/personal/default.page</t>
  </si>
  <si>
    <t>OCBC BANK ATM</t>
  </si>
  <si>
    <t>https://thumbs.dreamstime.com/z/ocbc-atm-machine-located-changi-airport-singapore-march-march-bank-publicly-listed-financial-53265086.jpg</t>
  </si>
  <si>
    <t>http://www.ocbc.com/group/group-home.html</t>
  </si>
  <si>
    <t>Donation Miss Chan</t>
  </si>
  <si>
    <t>Donation Mr and Mrs Lee</t>
  </si>
  <si>
    <t>Donation Mr and Mrs Goh</t>
  </si>
  <si>
    <t>Donation Mr Koh</t>
  </si>
  <si>
    <t>Donation Low Family</t>
  </si>
  <si>
    <t>Donation New Hope Community Service</t>
  </si>
  <si>
    <t>https://www.newhopecs.org.sg/images/007_20.gif</t>
  </si>
  <si>
    <t>http://www.newhopecs.org.sg</t>
  </si>
  <si>
    <t>Donation SAVH</t>
  </si>
  <si>
    <t>https://static.wixstatic.com/media/0b3f43_4b41188574ba4a3db0322eac083d1ca0~mv2.jpg_srz_1181_1181_85_22_0.50_1.20_0.00_jpg_srz</t>
  </si>
  <si>
    <t>http://savh.org.sg</t>
  </si>
  <si>
    <t>Donation sosd</t>
  </si>
  <si>
    <t>https://www.bubblepets.com.sg/media/wysiwyg/SOSD_Logo.jpg</t>
  </si>
  <si>
    <t>http://sosd.org.sg</t>
  </si>
  <si>
    <t>Donation Mom</t>
  </si>
  <si>
    <t>http://www.mom.gov.sg/html/mom/images/branding/mom-logo-share-hd.png</t>
  </si>
  <si>
    <t>http://www.mom.gov.sg/employment-practices/trade-unions</t>
  </si>
  <si>
    <t>Mr D Lee</t>
  </si>
  <si>
    <t>Assisi hospice</t>
  </si>
  <si>
    <t>http://www.icapcharityday.com/Assets/a6d22c16-9e3e-41b0-925e-df5c889b0404/AH_logo1.png</t>
  </si>
  <si>
    <t>http://www.assisihospice.org.sg</t>
  </si>
  <si>
    <t>KK Women's and children's hospital</t>
  </si>
  <si>
    <t>https://www.kkh.com.sg/SiteCollectionImages/logo.jpg</t>
  </si>
  <si>
    <t>https://www.kkh.com.sg/Pages/Home.aspx</t>
  </si>
  <si>
    <t>Salary Mr R Wong</t>
  </si>
  <si>
    <t>Salary Mrs F Ng</t>
  </si>
  <si>
    <t>Paid Invoice Mr Chua</t>
  </si>
  <si>
    <t>Paid Invoice Mr Ang</t>
  </si>
  <si>
    <t>Paid Invoice Miss Lim</t>
  </si>
  <si>
    <t>Paid Invoice 76542 Mr Koh</t>
  </si>
  <si>
    <t>Paid Invoice  986 Mr Ho</t>
  </si>
  <si>
    <t>Paid Invoice 2297 Miss Ong</t>
  </si>
  <si>
    <t>LTA</t>
  </si>
  <si>
    <t>https://www.travelsmartrewards.lta.gov.sg/assets/lta-logo-317dc91de7d42640e7f012243a64db7c1e14aaad0aa3de0b4b671e7c55b1216e.svg</t>
  </si>
  <si>
    <t>https://www.lta.gov.sg/content/ltaweb/en/public-transport/mrt-and-lrt-trains/train-fares-and-travel-cards.html</t>
  </si>
  <si>
    <t>http://www.aig.com/content/dam/aig/america-canada/us/images/exit-component-logo/aig-1032d-01-logo.png</t>
  </si>
  <si>
    <t>http://www.aig.com.sg/business/business-products-and-services/sme-business-insurance</t>
  </si>
  <si>
    <t>Singapore police Force</t>
  </si>
  <si>
    <t>http://www.npcc.gov.sg/images/logos/spf.jpg</t>
  </si>
  <si>
    <t>http://www.police.gov.sg</t>
  </si>
  <si>
    <t>Shopping/Department Store</t>
  </si>
  <si>
    <t>Isetan</t>
  </si>
  <si>
    <t>http://www.heregotsale.com/wp-content/uploads/isetan_logo.jpg</t>
  </si>
  <si>
    <t>https://www.isetan.com.sg</t>
  </si>
  <si>
    <t>Shopping/Department</t>
  </si>
  <si>
    <t>Tangs</t>
  </si>
  <si>
    <t>https://www.tangs.com/img/logo.jpg</t>
  </si>
  <si>
    <t>https://www.tangs.com</t>
  </si>
  <si>
    <t>Shopping/Designer Brand</t>
  </si>
  <si>
    <t>Versace</t>
  </si>
  <si>
    <t>http://logok.org/wp-content/uploads/2014/12/Versace-logo-wordmark.png</t>
  </si>
  <si>
    <t>http://www.versace.com</t>
  </si>
  <si>
    <t>Ralph Lauren</t>
  </si>
  <si>
    <t>http://i.forbesimg.com/media/lists/companies/ralph-lauren_416x416.jpg</t>
  </si>
  <si>
    <t>http://www.ralphlauren.asia/?country=HK&amp;currency=HKD</t>
  </si>
  <si>
    <t>Shopping/Home Electronics</t>
  </si>
  <si>
    <t>Hitachi</t>
  </si>
  <si>
    <t>http://www.hitachiconsumer.com/images/default-source/sg/main-banner/online-warranty.jpg?sfvrsn=0</t>
  </si>
  <si>
    <t>http://www.hitachiconsumer.com/home/sg</t>
  </si>
  <si>
    <t>Shopping/Home Furniture</t>
  </si>
  <si>
    <t>Home and Décor</t>
  </si>
  <si>
    <t>http://e-plan.safidomain.com/layouts/_asia_mars_2015_imgs/images_logo/38060_Logo_.png</t>
  </si>
  <si>
    <t>http://www.homeanddecor.com.sg/browse-by-category/46-soft-furnishings</t>
  </si>
  <si>
    <t>Shopping/Makeup</t>
  </si>
  <si>
    <t>http://beautyonblog.com/wp-content/uploads/2013/11/sephora-logo.jpg</t>
  </si>
  <si>
    <t>http://www.sephora.sg</t>
  </si>
  <si>
    <t>Dakakyn</t>
  </si>
  <si>
    <t>http://dakakyn.com/media/magentothem/revslider/logo.png</t>
  </si>
  <si>
    <t>http://dakakyn.com</t>
  </si>
  <si>
    <t>Retail Group</t>
  </si>
  <si>
    <t>https://s3-eu-west-1.amazonaws.com/wuzzuf/files/company_logo/Retail-Group-Egypt-Egypt-14215.png</t>
  </si>
  <si>
    <t>http://retailgroupegypt.com</t>
  </si>
  <si>
    <t>Bloom</t>
  </si>
  <si>
    <t>http://bloom.com.eg/sites/all/modules/bloom/front_end/images/menu/logo.png</t>
  </si>
  <si>
    <t>http://bloom.com.eg/home</t>
  </si>
  <si>
    <t>Max</t>
  </si>
  <si>
    <t>http://mms.businesswire.com/media/20130617005262/en/372907/4/Max_Logo%5B1%5D.jpg</t>
  </si>
  <si>
    <t>http://www.maxstores.com</t>
  </si>
  <si>
    <t>Jumia</t>
  </si>
  <si>
    <t>http://www.innov8tiv.com/wp-content/uploads/2014/07/z81.jpg</t>
  </si>
  <si>
    <t>https://www.jumia.com.eg/make-up/</t>
  </si>
  <si>
    <t>The body Shop</t>
  </si>
  <si>
    <t>http://www.thebodyshop.com.au/images/pod_logo.png</t>
  </si>
  <si>
    <t>http://www.thebodyshop.com/index.aspx</t>
  </si>
  <si>
    <t>Mumz World</t>
  </si>
  <si>
    <t>http://d1sjg7h1vm8snk.cloudfront.net/skin/frontend/mumz/web/images/logo.png</t>
  </si>
  <si>
    <t>http://www.mumzworld.com</t>
  </si>
  <si>
    <t>Kids Park</t>
  </si>
  <si>
    <t>http://scs.webstatsdomain.org/?url=www.kidsparkegypt.com</t>
  </si>
  <si>
    <t>http://kidsparkegypt.com</t>
  </si>
  <si>
    <t>Yaoota</t>
  </si>
  <si>
    <t>https://yaootaweb-production.s3.amazonaws.com/static/img/logo-new-index.f392b2746345.png</t>
  </si>
  <si>
    <t>https://yaoota.com/en/category/kids/</t>
  </si>
  <si>
    <t>Appliance</t>
  </si>
  <si>
    <t>https://www.appliance-eg.com/media/wysiwyg/appliancelogo.png</t>
  </si>
  <si>
    <t>https://appliance-eg.com</t>
  </si>
  <si>
    <t>Future Electronics</t>
  </si>
  <si>
    <t>http://www.fut-electronics.com/home/felogo.jpg</t>
  </si>
  <si>
    <t>http://store.fut-electronics.com</t>
  </si>
  <si>
    <t>Cairo Sales Stores</t>
  </si>
  <si>
    <t>https://lh5.googleusercontent.com/-aVnw-OLzREI/Unf27FT9iRI/AAAAAAAAAII/Cs7NpddUDfU/Cairo+Sales+Red+Circule+Logo+Large.jpg</t>
  </si>
  <si>
    <t>http://cairosales.com/en/</t>
  </si>
  <si>
    <t>B.Tech</t>
  </si>
  <si>
    <t>http://www.b.tech.com.eg/images/logos/2/website_logo.jpg</t>
  </si>
  <si>
    <t>http://www.b.tech.com.eg</t>
  </si>
  <si>
    <t>Sport line</t>
  </si>
  <si>
    <t>https://media.licdn.com/mpr/mpr/shrinknp_200_200/AAEAAQAAAAAAAAK4AAAAJDM2M2I5ZTkxLWMwMjQtNDJkZS1iODJjLTNhYzA2ODlmZjAzMQ.jpg</t>
  </si>
  <si>
    <t>http://sportlineegypt.net/index.php</t>
  </si>
  <si>
    <t>Sport Olympia sport</t>
  </si>
  <si>
    <t>http://dkh3bvxevjo0y.cloudfront.net/site-images/sites/default/files/prod/Cairo/shopping/330221/Olympia-Sport-For-Sports-Equipment-Fun-Zone-For-Playgrounds-330221-logo-1427100330.JPG?preset=</t>
  </si>
  <si>
    <t>http://www.olympiasporteg.com</t>
  </si>
  <si>
    <t xml:space="preserve">Davinci </t>
  </si>
  <si>
    <t>http://www.davincifurniture.org</t>
  </si>
  <si>
    <t>Ashley</t>
  </si>
  <si>
    <t>http://www.ashleyegypt.com/images/logo.png</t>
  </si>
  <si>
    <t>http://www.ashleyegypt.com/Home</t>
  </si>
  <si>
    <t>http://media.cairo360.com/dynamic/venue/647851/venue_standard_647851_20140818_53f1cc39c185e.jpg</t>
  </si>
  <si>
    <t>http://www.ikea.com/eg/en/</t>
  </si>
  <si>
    <t>Christian Dior</t>
  </si>
  <si>
    <t>http://www.dior.com/beauty/version-5.1432748111895/resize-image/cms/0/0/90/0/%252Fbeauty%252Fversion-5.1432748111895%252Fresize-image%252Fcms%252F0%252F0%252F90%252F0%252Fpj%252Fe9%252Fc0%252F63%252Fa5%252Finstagram6794989224350951309.jpg</t>
  </si>
  <si>
    <t>http://en.store.dior.com/eg</t>
  </si>
  <si>
    <t>Saks Fifth Avenue</t>
  </si>
  <si>
    <t>https://liveunitedcentralohio.org/wp-content/uploads/2013/05/saks-fifth-avenue-logo.jpg</t>
  </si>
  <si>
    <t>http://www.saksfifthavenue.com/main/WorldOfDesigner.jsp?FOLDER%3C%3Efolder_id=2534374305080455&amp;bmUID=lggO5i2</t>
  </si>
  <si>
    <t>nefsak</t>
  </si>
  <si>
    <t>http://pjs-eg.com/wp-content/uploads/2015/04/nefsak.png</t>
  </si>
  <si>
    <t>https://www.nefsak.com/Clothes/</t>
  </si>
  <si>
    <t>Vatrinaz</t>
  </si>
  <si>
    <t>http://www.vatrinaz.com/skin/frontend/flatshop/default/images/logo.png</t>
  </si>
  <si>
    <t>http://www.vatrinaz.com/en/accesories/accessories</t>
  </si>
  <si>
    <t>Deal Gamed</t>
  </si>
  <si>
    <t>https://s3-eu-west-1.amazonaws.com/dgassets/dealgamed/assets/logov2-bar-e529a684b186c96e65c46d9669f02c79.png</t>
  </si>
  <si>
    <t>https://www.dealgamed.com/store/shoes--2/2</t>
  </si>
  <si>
    <t>Azza Fahmy</t>
  </si>
  <si>
    <t>http://img.b8cdn.com/images/uploads/user_logos/48/1327248_20110119084827.gif</t>
  </si>
  <si>
    <t>http://www.azzafahmy.com/?user_store=eu</t>
  </si>
  <si>
    <t>Z Chocolat</t>
  </si>
  <si>
    <t>http://www.zchocolat.com/wp-content/uploads/2014/03/JPK_7127_f21.jpg</t>
  </si>
  <si>
    <t>http://www.zchocolat.com/shop/en/international-gift-delivery/egypt/cairo</t>
  </si>
  <si>
    <t>Daily News Egypt</t>
  </si>
  <si>
    <t>https://upload.wikimedia.org/wikipedia/en/1/14/Daily_News_Egypt.jpg</t>
  </si>
  <si>
    <t>http://www.dailynewsegypt.com</t>
  </si>
  <si>
    <t>Gifts n Ideas</t>
  </si>
  <si>
    <t>http://ia1.giftsnideas.com/images/images/aff-prog-main_gni.png</t>
  </si>
  <si>
    <t>http://www.giftsnideas.com/local/egypt/send-gifts-to-cairo</t>
  </si>
  <si>
    <t>Flowerdeliveryegypt.com</t>
  </si>
  <si>
    <t>https://www.floradoor.com/wp-content/uploads/2015/09/Magic-Red-266x400.jpg</t>
  </si>
  <si>
    <t>http://www.flowersdeliveryegypt.com/?currency=EGP&amp;gclid=CjwKEAjw_7y4BRDykp3Hjqyt_y0SJACome3Tmba345182Q0ww9_m4c27-iyaCrq67XAm5Jx7kiid0BoCQ-Hw_wcB&amp;osCsid=4abd88d573aa1fcd7364a501c7f2d179</t>
  </si>
  <si>
    <t>Schreder</t>
  </si>
  <si>
    <t>http://www.schreder.com/SiteCollectionImages/Logo/logo-schreder.jpg</t>
  </si>
  <si>
    <t>http://www.schreder.com/en-egs/AboutUs/Pages/default.aspx</t>
  </si>
  <si>
    <t>Ace</t>
  </si>
  <si>
    <t>https://upload.wikimedia.org/wikipedia/en/thumb/a/ad/Ace_Hardware_Logo.svg/1024px-Ace_Hardware_Logo.svg.png</t>
  </si>
  <si>
    <t>http://www.acehardware.com.eg</t>
  </si>
  <si>
    <t>Bosch</t>
  </si>
  <si>
    <t>https://aa-boschcombcs.resource.bosch.com/media/_tech/images/globals/bcs_logo.png</t>
  </si>
  <si>
    <t>http://www.bosch.eg/egypt/en/products-and-services/</t>
  </si>
  <si>
    <t>http://www.electronicrepairegypt.com/uploads/3/9/0/1/3901930/8573140_orig.jpg</t>
  </si>
  <si>
    <t>https://www.electronicrepairegypt.com</t>
  </si>
  <si>
    <t>I Shop</t>
  </si>
  <si>
    <t>http://www.ishop.com.eg/skin/frontend/argento/argento/images/ishoplogofinal.gif</t>
  </si>
  <si>
    <t>http://www.ishop.com.eg</t>
  </si>
  <si>
    <t>Eye of Cairo</t>
  </si>
  <si>
    <t>http://www.eyecairo.net/images/logo3ML.gif</t>
  </si>
  <si>
    <t>http://www.eyecairo.net</t>
  </si>
  <si>
    <t>Korayem Dental</t>
  </si>
  <si>
    <t>http://www.korayemdental.com/images/Logo.png</t>
  </si>
  <si>
    <t>http://www.korayemdental.com</t>
  </si>
  <si>
    <t>Smart Gym</t>
  </si>
  <si>
    <t>https://s3-eu-west-1.amazonaws.com/wuzzuf/files/company_logo/Smart-GYM-Egypt-7968.jpeg</t>
  </si>
  <si>
    <t>http://www.smart-gym.com/index.html</t>
  </si>
  <si>
    <t>Four Seasons</t>
  </si>
  <si>
    <t>http://alexandria.enewsletters.fourseasons.com/files/2011/05/logo.gif</t>
  </si>
  <si>
    <t>http://www.fourseasons.com/alexandria/</t>
  </si>
  <si>
    <t>Cairo Yacht Club</t>
  </si>
  <si>
    <t>https://content.golfscape.com/c-414af/dubai-creek-golf-yacht-club-6-l.jpg</t>
  </si>
  <si>
    <t>https://www.facebook.com/pages/Cairo-Yacht-Club/152705994793069</t>
  </si>
  <si>
    <t>Nascotours</t>
  </si>
  <si>
    <t>https://upload.wikimedia.org/wikipedia/commons/thumb/4/4f/Nascotours_S.A.E_Logo.jpg/210px-Nascotours_S.A.E_Logo.jpg</t>
  </si>
  <si>
    <t>http://www.nascotours.com</t>
  </si>
  <si>
    <t>Sequoia</t>
  </si>
  <si>
    <t>http://cairo-reception.weebly.com/uploads/2/2/4/3/22434730/6367593_orig.jpg</t>
  </si>
  <si>
    <t>http://www.sequoiaonline.net/home.php</t>
  </si>
  <si>
    <t>Seif Group</t>
  </si>
  <si>
    <t>http://daggah.com/productimages/download%20(3).jpg</t>
  </si>
  <si>
    <t>http://www.seifgroup.com/pharmacies/index.php</t>
  </si>
  <si>
    <t>G E Power</t>
  </si>
  <si>
    <t>http://cdn3.geready.com/sa/sites/www.ge.com.sa/files/GE-logo.png</t>
  </si>
  <si>
    <t>https://www.gepower.com/regions/middle-east.html</t>
  </si>
  <si>
    <t>Gold Power</t>
  </si>
  <si>
    <t>http://www.goldenpower.co/images/logo.png</t>
  </si>
  <si>
    <t>http://www.goldenpower.co</t>
  </si>
  <si>
    <t>EGEMAC</t>
  </si>
  <si>
    <t>http://www.egemac.com.eg/image/logo.JPG</t>
  </si>
  <si>
    <t>http://www.egemac.com.eg</t>
  </si>
  <si>
    <t>EEHC</t>
  </si>
  <si>
    <t>http://africasmartgridforum2016.org/sites/default/files/inline-images/Kahrabaa-900x900.png</t>
  </si>
  <si>
    <t>http://www.eehc.gov.eg/eehcportal/Eng/default.aspx</t>
  </si>
  <si>
    <t>Egyptian</t>
  </si>
  <si>
    <t>http://www.egyptian.net/images/logo.png</t>
  </si>
  <si>
    <t>http://www.egyptian.net</t>
  </si>
  <si>
    <t>One Sim Card</t>
  </si>
  <si>
    <t>http://www.onesimcard.com/images/logo.png</t>
  </si>
  <si>
    <t>http://www.onesimcard.com/cell-phone-rates/egypt/</t>
  </si>
  <si>
    <t>http://www.sorinanagnoste.com/wp-content/uploads/2015/04/Vodafone-UK-APN-Settings.jpg</t>
  </si>
  <si>
    <t>http://www.vodafone.com.eg/vodafoneportalWeb/en/myWorld_mainPage</t>
  </si>
  <si>
    <t>Arab Republic Of Egypt</t>
  </si>
  <si>
    <t>http://www.mofa.gov.ae/SiteCollectionImages/News/2382015.jpg</t>
  </si>
  <si>
    <t>http://www.mfa.gov.eg/English/Ministry/Protocol/vehicles/Pages/default.aspx</t>
  </si>
  <si>
    <t>Egypt Train Travel</t>
  </si>
  <si>
    <t>http://www.iccegypt.com/egypt-guide-images/Trains/turboo.jpg</t>
  </si>
  <si>
    <t>http://www.egypt.gov.eg/English/FAQ/FAQ-Train.aspx</t>
  </si>
  <si>
    <t>Egypt Government</t>
  </si>
  <si>
    <t>http://blog.egypt.gov.eg/wp-content/themes/twentyten2/images/headers/path.jpg</t>
  </si>
  <si>
    <t>http://www.egypt.gov.eg/english/home.aspx</t>
  </si>
  <si>
    <t>Malvern College</t>
  </si>
  <si>
    <t>http://fluencycontent-schoolwebsite.netdna-ssl.com/FileCluster/MalvernCollege/Templates/images/logo.svg</t>
  </si>
  <si>
    <t>http://www.malverncollege.edu.eg/?gclid=CjwKEAjw_7y4BRDykp3Hjqyt_y0SJACome3TrPowJnbJn79wHlH9Lyj6d9B_tBFrUyOSMnVX3sRm7hoC9Obw_wcB</t>
  </si>
  <si>
    <t>Cairo Shuttle Bus</t>
  </si>
  <si>
    <t>http://cairoairport.travel/uploads/uploader/1420992308.png</t>
  </si>
  <si>
    <t>http://cairoshuttlebus.com/p/meet_and_assist_service</t>
  </si>
  <si>
    <t>Egyptair</t>
  </si>
  <si>
    <t>http://www.abudhabi2.com/wp-content/uploads/2015/01/Egypt-Air-Logo.jpg</t>
  </si>
  <si>
    <t>http://www.egyptair.com/en/Pages/default.aspx</t>
  </si>
  <si>
    <t>Qatar Airways</t>
  </si>
  <si>
    <t>https://upload.wikimedia.org/wikipedia/en/thumb/9/9b/Qatar_Airways_Logo.svg/1280px-Qatar_Airways_Logo.svg.png</t>
  </si>
  <si>
    <t>http://www.qatarairways.com/eg/en/homepage.page</t>
  </si>
  <si>
    <t>Airarabia</t>
  </si>
  <si>
    <t>http://www.abudhabi2.com/wp-content/uploads/2015/03/Air-Arabia1.jpg</t>
  </si>
  <si>
    <t>http://www.airarabia.com/en</t>
  </si>
  <si>
    <t>Irin News</t>
  </si>
  <si>
    <t>http://assets.irinnews.org/s3fs-public/images/201102241252020912.jpg</t>
  </si>
  <si>
    <t>http://www.irinnews.org/report/92064/middle-east-egyptian-volunteers-among-first-humanitarian-responders</t>
  </si>
  <si>
    <t>Save The Children</t>
  </si>
  <si>
    <t>http://donationsstatic.ebay.com/extend/logos/MF4980.gif</t>
  </si>
  <si>
    <t>https://egypt.savethechildren.net/what-we-do/humanitarian-response</t>
  </si>
  <si>
    <t>Egypt Car</t>
  </si>
  <si>
    <t>http://egypt-car.com</t>
  </si>
  <si>
    <t>Remax</t>
  </si>
  <si>
    <t>http://www.remax.com.eg/sites/remaxeuropecommon/images/default_image_agent_sm.gif</t>
  </si>
  <si>
    <t>http://www.remax.com.eg</t>
  </si>
  <si>
    <t>Office Express</t>
  </si>
  <si>
    <t>http://www.office-exp.com/v/vspfiles/mobiletemplate/header_normal.jpg</t>
  </si>
  <si>
    <t>http://www.office-exp.com</t>
  </si>
  <si>
    <t>El Nekhely</t>
  </si>
  <si>
    <t>http://www.nekhely.com/res_f.htm</t>
  </si>
  <si>
    <t>Al Amal Company</t>
  </si>
  <si>
    <t>http://www.alamalplasticpipes.com/images/logo-t.png</t>
  </si>
  <si>
    <t>http://www.alamalplasticpipes.com</t>
  </si>
  <si>
    <t>Aldar Egypt</t>
  </si>
  <si>
    <t>http://www.aldaregypt.com/images/logo2.png</t>
  </si>
  <si>
    <t>http://www.aldaregypt.com</t>
  </si>
  <si>
    <t>Door Tech</t>
  </si>
  <si>
    <t>http://www.doortech-egypt.com/images/dooortechlogosmall.png</t>
  </si>
  <si>
    <t>http://www.doortech-egypt.com</t>
  </si>
  <si>
    <t>Glass Global</t>
  </si>
  <si>
    <t>https://plants.glassglobal.com/admin/images/logo_ggg_blue.png</t>
  </si>
  <si>
    <t>http://www.glassglobal.com/profile/52449.html</t>
  </si>
  <si>
    <t>Thysenkrupp</t>
  </si>
  <si>
    <t>https://www.thyssenkrupp.com/lib/images/key_visuals/hubteaser/hubteaser_en.jpg</t>
  </si>
  <si>
    <t>http://www.thyssenkrupp-industrial-solutions-egypt.com</t>
  </si>
  <si>
    <t>KPMG</t>
  </si>
  <si>
    <t>http://dk6kcyuwrpkrj.cloudfront.net/wp-content/uploads/sites/7/2015/04/KPMG_Endorsement_RGB.jpg</t>
  </si>
  <si>
    <t>https://www.kpmg.com/EG/en/issuesandinsights/Documents/Issues-Insights%20PDFs/Doing%20Business%20in%20Egypt.pdf</t>
  </si>
  <si>
    <t>Link Egypt</t>
  </si>
  <si>
    <t>http://dfnp-images-ldc.decypha.net/companies/32970.jpg</t>
  </si>
  <si>
    <t>http://www.linkegypt.com/index.html</t>
  </si>
  <si>
    <t>http://www.efsegypt.net/wp-content/uploads/2013/01/Impteam-e1368106701104.jpg</t>
  </si>
  <si>
    <t>http://www.efsegypt.net</t>
  </si>
  <si>
    <t>Meditrranean Shipping Company</t>
  </si>
  <si>
    <t>https://www.msc.com/getattachment/d783f2f4-b8b5-46c4-a37b-6757de2002a9?width=310</t>
  </si>
  <si>
    <t>https://www.msc.com/egy</t>
  </si>
  <si>
    <t>Sma Trading</t>
  </si>
  <si>
    <t>http://images.fuzing.com/members/2/60/00080260/logo.200x200.jpg</t>
  </si>
  <si>
    <t>http://www.smatrading.com</t>
  </si>
  <si>
    <t>Dukaany</t>
  </si>
  <si>
    <t>http://www.dukaany.com/skin/frontend/dukaany/hellowired/images/logo.gif</t>
  </si>
  <si>
    <t>http://www.dukaany.com/index.php/about-dukaany-store/</t>
  </si>
  <si>
    <t>Maisons Gazzaz</t>
  </si>
  <si>
    <t>http://www.sossik.com/gallerynew/main.php?g2_view=core.DownloadItem&amp;g2_itemId=352703&amp;g2_serialNumber=1</t>
  </si>
  <si>
    <t>http://maisonsgazzaz.com</t>
  </si>
  <si>
    <t>Lulu Hypermarket</t>
  </si>
  <si>
    <t>http://www.kuwaitprices.com/modules/products/images/store/thumb/1_det.PNG</t>
  </si>
  <si>
    <t>http://www.luluhypermarket.com/KW/all</t>
  </si>
  <si>
    <t>Sawani</t>
  </si>
  <si>
    <t>https://pbs.twimg.com/profile_images/2860336188/0c6e729b096b79c8f2dbc18c35f94232.jpeg</t>
  </si>
  <si>
    <t>https://www.facebook.com/SawaniKSA/</t>
  </si>
  <si>
    <t>Wadi</t>
  </si>
  <si>
    <t>https://b.wadicdn.com/product/09/7421/1-product.jpg</t>
  </si>
  <si>
    <t>https://en-sa.wadi.com/beauty_health-cosmetics_and_personal_care-make_up/</t>
  </si>
  <si>
    <t>Wojooh</t>
  </si>
  <si>
    <t>https://thebeautygossiper.files.wordpress.com/2014/06/wojooh_logo-wbaseline-2014-1.png</t>
  </si>
  <si>
    <t>http://www.wojooh.com/ae-en/?___store=uae_en</t>
  </si>
  <si>
    <t>Baby Shop Arabia</t>
  </si>
  <si>
    <t>http://yp.theemiratesnetwork.com/images/company/logos/0000017/0000017446.png</t>
  </si>
  <si>
    <t>https://www.facebook.com/BabyshopArabia/</t>
  </si>
  <si>
    <t>Zahar Kids</t>
  </si>
  <si>
    <t>http://zaharkids.com/images/landing-logo.png</t>
  </si>
  <si>
    <t>http://zaharkids.com</t>
  </si>
  <si>
    <t>Healthy Baby Arabia</t>
  </si>
  <si>
    <t>http://www.healthybabyarabia.com/sites/default/files/styles/rightside_img_280_x_300/public/cover-images/Does%20what%20a%20mother%20eat%20or%20do%20determine%20her%20child’s%20gender.png?itok=PbfugNQC</t>
  </si>
  <si>
    <t>https://www.healthybabyarabia.com/?gclid=CjwKEAjw_7y4BRDykp3Hjqyt_y0SJACome3TXzj_BK2mVo0flxSJbuzKqvQ2kyjluXwrq9Uvv9V-XhoCvdbw_wcB</t>
  </si>
  <si>
    <t>Extra Store</t>
  </si>
  <si>
    <t>http://3.bp.blogspot.com/-b5xSFvUzniU/UzTtiT1UTnI/AAAAAAAABJc/8ZuwJavn-v0/s1600/Extra_Logo.png</t>
  </si>
  <si>
    <t>http://www.extrastores.com/en-sa/stores</t>
  </si>
  <si>
    <t>Khalifa Electronics</t>
  </si>
  <si>
    <t>http://khalifaelectronics.com/image/cache/data/shop-logo-980x280.jpg</t>
  </si>
  <si>
    <t>http://www.khalifaelectronics.com</t>
  </si>
  <si>
    <t>http://sa.rsdelivers.com/Images/WebImages/rs-logo_lrg.png</t>
  </si>
  <si>
    <t>http://sa.rsdelivers.com</t>
  </si>
  <si>
    <t>Homy</t>
  </si>
  <si>
    <t>http://homy.com.sa/homystore/images/templatemo_image_10.jpg</t>
  </si>
  <si>
    <t>http://homy.com.sa</t>
  </si>
  <si>
    <t>https://en-ae.sssports.com/media/logo/stores/1/SSS_LOGO_EN.png</t>
  </si>
  <si>
    <t>https://en-sa.sssports.com/sports/all?sports=1592&amp;gclid=CjwKEAjw_7y4BRDykp3Hjqyt_y0SJACome3T3rcuFG-wZVnl_5y5abIM9KTSW3Ndc9pfteAs6FFwzxoCBTPw_wcB</t>
  </si>
  <si>
    <t>https://www.u-mark.net/images/logos/1/logo03.png</t>
  </si>
  <si>
    <t>https://www.u-mark.net/?sl=en</t>
  </si>
  <si>
    <t>Land Mark Shop</t>
  </si>
  <si>
    <t>http://img.youtube.com/vi/oJPGJwQRSZ4/mqdefault.jpg</t>
  </si>
  <si>
    <t>http://www.landmarkshops.com/homecentre</t>
  </si>
  <si>
    <t>http://www.brandsoftheworld.com/sites/default/files/styles/logo-thumbnail/public/092015/hc_logo.png?itok=90y1GsNu</t>
  </si>
  <si>
    <t>https://www.homecentrestores.com/sa/en</t>
  </si>
  <si>
    <t>http://midasfurniture.com/trade-kuwait/EN/img/logo-xl.png</t>
  </si>
  <si>
    <t>http://midasfurniture.com</t>
  </si>
  <si>
    <t>http://tech.namshi.com/images/namshi-logo.png</t>
  </si>
  <si>
    <t>https://en-sa.namshi.com</t>
  </si>
  <si>
    <t>Markat4u</t>
  </si>
  <si>
    <t>http://img.b8cdn.com/images/logo/04/1770804_logo_1451816653.jpg</t>
  </si>
  <si>
    <t>http://www.markat4u.com</t>
  </si>
  <si>
    <t>Florina</t>
  </si>
  <si>
    <t>http://ecx.images-amazon.com/images/I/51zYdw20T-L.png</t>
  </si>
  <si>
    <t>http://florina.sa/cart/</t>
  </si>
  <si>
    <t>Mouawad</t>
  </si>
  <si>
    <t>http://fredmouawad.com/file/Logo_Mouawad.png</t>
  </si>
  <si>
    <t>http://www.mouawad.com</t>
  </si>
  <si>
    <t>Patchi</t>
  </si>
  <si>
    <t>http://www.patchi.com/images/logo.png</t>
  </si>
  <si>
    <t>http://www.patchi.com/Home</t>
  </si>
  <si>
    <t>The National</t>
  </si>
  <si>
    <t>http://www.thenational.ae/styles/images/national-logo.png</t>
  </si>
  <si>
    <t>http://www.thenational.ae/business/economy/austerity-comes-almost-overnight-for-saudi-arabias-citizens</t>
  </si>
  <si>
    <t>Send Flowers to Saudi Arabia</t>
  </si>
  <si>
    <t>http://website-thumbnails.informer.com/thumbnails/280x202/s/sendflowerstosaudiarabia.com.png</t>
  </si>
  <si>
    <t>http://www.sendflowerstosaudiarabia.com/?gclid=CjwKEAjw_7y4BRDykp3Hjqyt_y0SJACome3TiKiHQ4tIV-fAQqT7gr-sDUPhtJQwABs0m_bo8WwdtxoC_wTw_wcB</t>
  </si>
  <si>
    <t>AAC</t>
  </si>
  <si>
    <t>http://www.aac.sa.com/images/logoo.jpg</t>
  </si>
  <si>
    <t>http://www.aac.sa.com</t>
  </si>
  <si>
    <t>Albaward I tools</t>
  </si>
  <si>
    <t>http://dfnp-images-ldc.decypha.net/companies/76166.jpg</t>
  </si>
  <si>
    <t>http://www.albawarditools.com</t>
  </si>
  <si>
    <t>Repair Exp</t>
  </si>
  <si>
    <t>http://img2-ak.lst.fm/i/u/avatar170s/8abc2c6d585380b6d5374e0cc26d95bd.png</t>
  </si>
  <si>
    <t>http://www.repairexp.com/en/Home.aspx</t>
  </si>
  <si>
    <t>Aljel elctronics</t>
  </si>
  <si>
    <t>http://www.sehai.org/PartnerLogo/ALJ.jpg</t>
  </si>
  <si>
    <t>http://aljelectronics.com.sa/en/our-services/delivery</t>
  </si>
  <si>
    <t>http://www.samsung.com/sa_en/offer/service-centers/</t>
  </si>
  <si>
    <t>Yateem Optictian</t>
  </si>
  <si>
    <t>https://media.licdn.com/media/p/2/000/2a3/169/2fc4aef.png</t>
  </si>
  <si>
    <t>http://www.yateemgroup.com</t>
  </si>
  <si>
    <t>Stylish Smile</t>
  </si>
  <si>
    <t>http://www.stylishsmile.com/images/logo.png</t>
  </si>
  <si>
    <t>http://www.stylishsmile.com</t>
  </si>
  <si>
    <t>World Gym</t>
  </si>
  <si>
    <t>http://www.worldgym.com/assets/images/worldgymlogo.png</t>
  </si>
  <si>
    <t>https://www.worldgym.com</t>
  </si>
  <si>
    <t>Hilton</t>
  </si>
  <si>
    <t>http://www.ar.hilton.com/en/ui/media/dist/social/fbwaldorf.jpg</t>
  </si>
  <si>
    <t>http://www.ar.hilton.com/hotel/Qasr-Al-Sharq-(Waldorf-Astoria-Jeddah)?WT.mc_id=zELWAKN0EMEA1HI2DMH3LocalSearch4DGGenericx6JEDWAWA</t>
  </si>
  <si>
    <t>Al-Masjid an-Nabawi</t>
  </si>
  <si>
    <t>http://wmn.gov.sa/siteimages/hdr-visitorblk-new.jpg</t>
  </si>
  <si>
    <t>http://wmn.gov.sa</t>
  </si>
  <si>
    <t>Rosewood Hotel</t>
  </si>
  <si>
    <t>http://www.rosewoodhotels.com/en/~/media/Images/Rosewood_Hotels_and_Resorts/Rosewood_Beijing/Durston%20second%20batch/Rosewood%20Beijing_THOD_Qin%20Dinning%20Room%20(1).ashx</t>
  </si>
  <si>
    <t>http://www.rosewoodhotels.com/en/Jeddah</t>
  </si>
  <si>
    <t>Jamal 360</t>
  </si>
  <si>
    <t>http://www.emalls-pro.com/images/jamal360.png</t>
  </si>
  <si>
    <t>http://jamal360.com</t>
  </si>
  <si>
    <t>Itron</t>
  </si>
  <si>
    <t>https://www.itron.com/_Layouts/images/Itron/itron_ribbon_logo.png</t>
  </si>
  <si>
    <t>https://www.itron.com/na/about/Pages/default.aspx</t>
  </si>
  <si>
    <t>Arabianmas</t>
  </si>
  <si>
    <t>http://arabianmas.com/admin/uploads/5463Xz9uwUZB.jpeg</t>
  </si>
  <si>
    <t>http://arabianmas.com/admin/uploads/6326clients_marafiq.jpg</t>
  </si>
  <si>
    <t>Marafiq</t>
  </si>
  <si>
    <t>http://www.marafiq.com.sa/en/default.aspx</t>
  </si>
  <si>
    <t>Alfanar</t>
  </si>
  <si>
    <t>http://www.technolead.com/upload/images/technolead-partners/alfanar/alfanar.png</t>
  </si>
  <si>
    <t>http://alfanar.com/power_and_water.html</t>
  </si>
  <si>
    <t>Just Laned</t>
  </si>
  <si>
    <t>https://www-assets.justlanded.com/assets/layout/justlanded-g.jpg</t>
  </si>
  <si>
    <t>https://www.justlanded.com/english/Saudi-Arabia/Telephone-Internet</t>
  </si>
  <si>
    <t>http://www.onesimcard.com/cell-phone-rates/saudi-arabia/</t>
  </si>
  <si>
    <t>Souqalmal</t>
  </si>
  <si>
    <t>https://www.souqalmal.com/sa-en/mobile-phone-plans</t>
  </si>
  <si>
    <t>Ministry of finance</t>
  </si>
  <si>
    <t>https://www.mof.gov.sa/Style%20Library/Images/BetaEN.png</t>
  </si>
  <si>
    <t>https://www.mof.gov.sa/english/Pages/zakahinterest.aspx</t>
  </si>
  <si>
    <t>Saudie Government</t>
  </si>
  <si>
    <t>http://www.arabnews.com/sites/default/files/tmp/imagecache/galleryformatter_slide/sites/default/files/media/29/05/2014/Saudi-PublicTransport-Co-1.jpg</t>
  </si>
  <si>
    <t>https://www.saudiembassy.net/about/country-information/transportation_and_communication/public_transportation.aspx</t>
  </si>
  <si>
    <t>Saudi Government</t>
  </si>
  <si>
    <t>https://www.facebook.com/pages/Riyadh-Police-Station/154210591309232</t>
  </si>
  <si>
    <t>http://www.saudi.gov.sa/wps/portal/saudi/home/!ut/p/z0/04_Sj9CPykssy0xPLMnMz0vMAfIjo8zivTxdnD08DIy8DXz8DA0cA4Mcjf2NvYzcfQz1g1Pz9AuyHRUBicqlKw!!/</t>
  </si>
  <si>
    <t>Jeddah Private International School</t>
  </si>
  <si>
    <t>http://jpis.sabis.net/skins/images/slogan-on-circle.png</t>
  </si>
  <si>
    <t>http://jpis.sabis.net</t>
  </si>
  <si>
    <t>RIYADH KING KHALID INTERNATIONAL AIRPORT</t>
  </si>
  <si>
    <t>http://www.riyadh-airport.com/images/logo/logo.png</t>
  </si>
  <si>
    <t>http://www.riyadh-airport.com</t>
  </si>
  <si>
    <t>Saudi Airlines</t>
  </si>
  <si>
    <t>http://www.saudiairlines.com/portal/site/saudia/template.WELCOME</t>
  </si>
  <si>
    <t>King Fasial Foundation</t>
  </si>
  <si>
    <t>http://www.kff.com/HomeModules/en/overview/kff-kff-overview-photo-14.jpg</t>
  </si>
  <si>
    <t>http://www.kff.com</t>
  </si>
  <si>
    <t>Sultan Charity</t>
  </si>
  <si>
    <t>http://www.anzalbegumfoundation.org/wp-content/uploads/2016/01/Restoring-Sight-400x300.jpg</t>
  </si>
  <si>
    <t>http://www.sultancharity.org</t>
  </si>
  <si>
    <t>Saudi Luxury Limo</t>
  </si>
  <si>
    <t>http://www.saudiluxurylimo.com/images/logo.jpg</t>
  </si>
  <si>
    <t>http://www.saudiluxurylimo.com</t>
  </si>
  <si>
    <t>https://upload.wikimedia.org/wikipedia/en/c/c0/ColliersInternational.jpg</t>
  </si>
  <si>
    <t>http://www.colliers.com/en-gb/saudiarabia/services/rems</t>
  </si>
  <si>
    <t>Advance Electronic s Company</t>
  </si>
  <si>
    <t>http://www.xeroxscanners.com/images/Xerox_Logo_6042x2617.jpg</t>
  </si>
  <si>
    <t>http://www.xerox.com/about-xerox/buy/ensa.html</t>
  </si>
  <si>
    <t>https://www.eiseverywhere.com/file_uploads/794578b5e41e4714730bebf8301e7841_AECLlogo.jpg</t>
  </si>
  <si>
    <t>http://www.aecl.com/en/Home</t>
  </si>
  <si>
    <t>Abunayyan Electric</t>
  </si>
  <si>
    <t>http://www.abunayyanholding.com/media/thumbnail/content-partner-thumb-298x150/95415a21d751a815f2498f020eb598f4/20130904_abunayyan-electric-298x150-new.jpg</t>
  </si>
  <si>
    <t>http://www.abunayyanelectric.com/en</t>
  </si>
  <si>
    <t>Somatco</t>
  </si>
  <si>
    <t>https://www.somatco.com/images/somatco-images/logo.png</t>
  </si>
  <si>
    <t>https://www.somatco.com/suppliers.htm</t>
  </si>
  <si>
    <t>http://www.alibaba.com/countrysearch/SA/commercial-door.html</t>
  </si>
  <si>
    <t>http://www.glassglobal.com/profile/35027.html</t>
  </si>
  <si>
    <t>intech</t>
  </si>
  <si>
    <t>http://www.intechww.com/wp-content/themes/intech/images/og-logo.jpg</t>
  </si>
  <si>
    <t>http://www.intechww.com/regions/saudi-arabia/</t>
  </si>
  <si>
    <t>Olayan</t>
  </si>
  <si>
    <t>https://competition.adesignaward.com/brands/c697fcb00e2375acaa8f0dbfe1731c9148efe3da.jpg</t>
  </si>
  <si>
    <t>http://www.olayan.com/Product/33</t>
  </si>
  <si>
    <t>Saudiaramco</t>
  </si>
  <si>
    <t>http://yp.theemiratesnetwork.com/images/company/logos/0000100/0000100251.png</t>
  </si>
  <si>
    <t>http://www.saudiaramco.com/en/home.html</t>
  </si>
  <si>
    <t>Intercargo</t>
  </si>
  <si>
    <t>http://www.intercargo.org/templates/shape5_vertex/images/s5_logo.png</t>
  </si>
  <si>
    <t>http://www.intercargo.com/content.aspx?name=agent-details/shipping-to-Saudi-Arabia</t>
  </si>
  <si>
    <t>Sharaf Shipping</t>
  </si>
  <si>
    <t>http://www.sharafshipping.com/images/logo.png</t>
  </si>
  <si>
    <t>http://www.sharafshipping.com/offices.aspx</t>
  </si>
  <si>
    <t>Tadawul</t>
  </si>
  <si>
    <t>http://www.brandsoftheworld.com/sites/default/files/styles/logo-thumbnail/public/102014/tadawul_0.png?itok=X8Tfm3_r</t>
  </si>
  <si>
    <t>http://www.tadawul.com.sa/wps/portal/!ut/p/c0/04_SB8K8xLLM9MSSzPy8xBz9CP0os3g_A-ewIE8TIwP3gDBTA08Tn2Cj4AAvY_dQA_3g1Dz9gmxHRQCHg5RU/</t>
  </si>
  <si>
    <t>Germany</t>
  </si>
  <si>
    <t>Lufthansa</t>
  </si>
  <si>
    <t>https://upload.wikimedia.org/wikipedia/commons/thumb/4/41/Lufthansa-Logo_1964.svg/1024px-Lufthansa-Logo_1964.svg.png</t>
  </si>
  <si>
    <t>http://www.lufthansa.com/online/portal/lh/de/homepage</t>
  </si>
  <si>
    <t>https://www.easyjet.com/de</t>
  </si>
  <si>
    <t>Tegal Airport</t>
  </si>
  <si>
    <t>http://www.berlin-airport.de/_docroot/css/_images/logo_1.gif</t>
  </si>
  <si>
    <t>http://www.berlin-airport.de/de/reisende-txl/index.php</t>
  </si>
  <si>
    <t>Tv Tower Berlin</t>
  </si>
  <si>
    <t>Berlin attraction</t>
  </si>
  <si>
    <t>https://upload.wikimedia.org/wikipedia/commons/1/11/Berlin_TV_Tower.jpg</t>
  </si>
  <si>
    <t>https://tv-turm.de/en/homepage/</t>
  </si>
  <si>
    <t>Newton Bar</t>
  </si>
  <si>
    <t>https://cdn1.diginights.com/uploads/images/location/n/e/newton-bar-berlin/preview_image2-default-1.jpg</t>
  </si>
  <si>
    <t>http://www.newton-bar.de/</t>
  </si>
  <si>
    <t>Belushis</t>
  </si>
  <si>
    <t>http://www.belushis.com/__data/assets/image/0009/278172/berlin2012-16.jpg</t>
  </si>
  <si>
    <t>http://www.belushis.com/bars/berlin</t>
  </si>
  <si>
    <t>http://www.mercedes-benz-berlin.de/content/deutschland/retail-plz1/berlin/de/desktop/passenger-cars/service-and-accessories/offers.html</t>
  </si>
  <si>
    <t>Lido</t>
  </si>
  <si>
    <t>https://www.adticket.de/images/hosts/Loc_Lido_Berlin.jpg</t>
  </si>
  <si>
    <t>http://www.lido-berlin.de/events/2014-06-10-charity-children</t>
  </si>
  <si>
    <t>WDC</t>
  </si>
  <si>
    <t>Charity</t>
  </si>
  <si>
    <t>https://upload.wikimedia.org/wikipedia/commons/thumb/e/e8/WDC_Logo_H_D_CMYK.jpg/1200px-WDC_Logo_H_D_CMYK.jpg</t>
  </si>
  <si>
    <t>http://de.whales.org</t>
  </si>
  <si>
    <t>Cine Star</t>
  </si>
  <si>
    <t>http://www.gutscheinrausch.de/wp-content/logos/560/cinestar-de-logo.png</t>
  </si>
  <si>
    <t>http://www.cinestar.de/de/kino/berlin-cinestar-original-im-sony-center/</t>
  </si>
  <si>
    <t>The Barn</t>
  </si>
  <si>
    <t>https://de.happycoffee.org/wp-content/uploads/2014/04/the-barn-logo.jpg</t>
  </si>
  <si>
    <t>http://barn.bigcartel.com/</t>
  </si>
  <si>
    <t>Balzac Coffee</t>
  </si>
  <si>
    <t>https://www.workeer.de/media/upload/Logo-gro%C3%9F.jpg</t>
  </si>
  <si>
    <t>http://www.balzaccoffee.com/</t>
  </si>
  <si>
    <t>Hoermann</t>
  </si>
  <si>
    <t>http://www.hoermann.ae/fileadmin/user_upload/Hoermann.ae/News/teaser_News_HOE-WM_714x300.jpg</t>
  </si>
  <si>
    <t>http://www.hoermann.com/produkte/</t>
  </si>
  <si>
    <t>Finanzamt</t>
  </si>
  <si>
    <t>https://www.berlin.de/css/berlin_de/echo/images/logo_berlin_de.svg</t>
  </si>
  <si>
    <t>https://www.berlin.de/sen/finanzen/steuern/finanzaemter/pankow-weissensee/</t>
  </si>
  <si>
    <t>Zahnarzt</t>
  </si>
  <si>
    <t>http://www.zahnarzt-praxis-berlin-mitte.de/sites/default/files/logo_1.png</t>
  </si>
  <si>
    <t>http://www.zahnarzt-praxis-berlin-mitte.de/</t>
  </si>
  <si>
    <t>Ziegert</t>
  </si>
  <si>
    <t>https://pbs.twimg.com/profile_images/514733405481607168/-lts323b_400x400.jpeg</t>
  </si>
  <si>
    <t>http://ziegert-immobilien.de</t>
  </si>
  <si>
    <t>Esso</t>
  </si>
  <si>
    <t>http://images.all-free-download.com/images/graphicthumb/esso_logo_28929.jpg</t>
  </si>
  <si>
    <t>http://www.esso.de/</t>
  </si>
  <si>
    <t>http://www.logodesignlove.com/images/evolution/shell-logo-design.gif</t>
  </si>
  <si>
    <t>http://www.shell.de/</t>
  </si>
  <si>
    <t>http://www.easyjet.com/de/</t>
  </si>
  <si>
    <t>https://www.skyscanner.de</t>
  </si>
  <si>
    <t>MSC</t>
  </si>
  <si>
    <t>http://www.blue-whale.in/wp-content/uploads/2015/10/msc-logo.png</t>
  </si>
  <si>
    <t>https://www.msc.com/deu?lang=de-de</t>
  </si>
  <si>
    <t>Kaisers</t>
  </si>
  <si>
    <t>Asian Mekong Supermarket</t>
  </si>
  <si>
    <t>http://4.bp.blogspot.com/-5SRH9c8y4_8/VktZNtzxseI/AAAAAAAAUsI/muAL60BwJQw/s1600/DSCN3108.JPG</t>
  </si>
  <si>
    <t>https://sites.google.com/site/asiamekongsupermarket/Home</t>
  </si>
  <si>
    <t>https://www.lidl.de/imgs/llogo.png</t>
  </si>
  <si>
    <t>https://www.lidl.de</t>
  </si>
  <si>
    <t>Rewe</t>
  </si>
  <si>
    <t>https://upload.wikimedia.org/wikipedia/commons/thumb/4/4c/Logo_REWE.svg/2000px-Logo_REWE.svg.png</t>
  </si>
  <si>
    <t>www.rewe.de</t>
  </si>
  <si>
    <t>Edeka</t>
  </si>
  <si>
    <t>http://www.berlin.de/binaries/adressen/124822/source/1373875601/667x500/</t>
  </si>
  <si>
    <t>http://www.reichelt-berlin.de/</t>
  </si>
  <si>
    <t>Kosher Life</t>
  </si>
  <si>
    <t>http://rlv.zcache.com/kosher_life_stick_it_2_oval_sticker-r544cf1a1a4ac47fa8ca610e84f456630_v9wz7_8byvr_324.jpg</t>
  </si>
  <si>
    <t>http://kosherlife.de/de/</t>
  </si>
  <si>
    <t>Scheffler</t>
  </si>
  <si>
    <t>https://pbs.twimg.com/profile_images/848831561831260164/ZkoeG1mx_400x400.jpg</t>
  </si>
  <si>
    <t>http://www.schaeffler.de/content.schaeffler.de/en/company/company.jsp</t>
  </si>
  <si>
    <t>Bosch Rexroth</t>
  </si>
  <si>
    <t>https://upload.wikimedia.org/wikipedia/commons/thumb/7/78/Logo_Bosch_Rexroth_Ltda.jpg/1200px-Logo_Bosch_Rexroth_Ltda.jpg</t>
  </si>
  <si>
    <t>https://www.boschrexroth.com/de/de/</t>
  </si>
  <si>
    <t>Allianz</t>
  </si>
  <si>
    <t>http://famouslogos.net/images/allianz-logo.jpg</t>
  </si>
  <si>
    <t>https://www.allianz.de</t>
  </si>
  <si>
    <t>http://www.orange.com/de/Homepage</t>
  </si>
  <si>
    <t>https://www.vodafone.co.uk/cs/groups/public/documents/webcontent/1287x929_vodafone_logo.jpg</t>
  </si>
  <si>
    <t>https://www.vodafone.de</t>
  </si>
  <si>
    <t>Gold Resort Berlin Pankow</t>
  </si>
  <si>
    <t>http://www.golf-resort-berlin-pankow.de/images/Logo_pankow_120.jpg</t>
  </si>
  <si>
    <t>http://www.golf-pankow.de</t>
  </si>
  <si>
    <t>http://ing.de/de/home</t>
  </si>
  <si>
    <t>http://www.viking.de/en/bueroartikel</t>
  </si>
  <si>
    <t>Lunettes</t>
  </si>
  <si>
    <t>rsale/Lunettes%20Selection/logo_lu.png</t>
  </si>
  <si>
    <t>http://www.lunettes-selection.de/</t>
  </si>
  <si>
    <t>Specs Berlin</t>
  </si>
  <si>
    <t>http://unit-berlin.de/co/upload/unitPics/b_unit-berlin_4d9f59fd55c56.gif</t>
  </si>
  <si>
    <t>https://specs-berlin.de/de</t>
  </si>
  <si>
    <t>Contipark</t>
  </si>
  <si>
    <t>https://upload.wikimedia.org/wikipedia/commons/thumb/5/5b/Contipark-logo.svg/2000px-Contipark-logo.svg.png</t>
  </si>
  <si>
    <t>http://www.contipark.de/de-DE/find-parking/berlin-tiefgarage-kulturbrauerei/</t>
  </si>
  <si>
    <t>Apotheke</t>
  </si>
  <si>
    <t>https://upload.wikimedia.org/wikipedia/de/thumb/e/eb/Deutsche_Apotheke_Logo.svg/2000px-Deutsche_Apotheke_Logo.svg.png</t>
  </si>
  <si>
    <t>https://www.apotheke.de/</t>
  </si>
  <si>
    <t>Witte</t>
  </si>
  <si>
    <t>https://upload.wikimedia.org/wikipedia/commons/c/c0/WITTE_Logo_HKS93.jpg</t>
  </si>
  <si>
    <t>http://www.witte-tube.com</t>
  </si>
  <si>
    <t>Repair and Maintence_1</t>
  </si>
  <si>
    <t>Laptop-nonstop</t>
  </si>
  <si>
    <t>Repair Shop</t>
  </si>
  <si>
    <t>http://www.laptop-nonstop.de/wp-content/uploads/2013/10/laptop-nonstop-logo1.png</t>
  </si>
  <si>
    <t>http://www.laptop-nonstop.de/</t>
  </si>
  <si>
    <t>KM computer</t>
  </si>
  <si>
    <t>https://upload.wikimedia.org/wikipedia/commons/thumb/8/8f/K%26M_Elektronik_Logo.svg/2000px-K%26M_Elektronik_Logo.svg.png</t>
  </si>
  <si>
    <t>https://www.kmcomputer.de/Filiale/info/storeId/4</t>
  </si>
  <si>
    <t>http://www.xn--weissbr-bxa.de/images/Logos/rtl.jpg</t>
  </si>
  <si>
    <t>http://www.xn--weissbr-bxa.de/</t>
  </si>
  <si>
    <t>Transit</t>
  </si>
  <si>
    <t>http://www.transit-restaurants.com/images/transit-logo.png</t>
  </si>
  <si>
    <t>http://www.transit-restaurants.com/</t>
  </si>
  <si>
    <t>Babel</t>
  </si>
  <si>
    <t>https://berlinfoodstories.com/wp-content/uploads/2012/02/babel-berlin-restaurant-outside.jpg</t>
  </si>
  <si>
    <t>http://babelrestaurant.alaqsamosque.co</t>
  </si>
  <si>
    <t>co-chu</t>
  </si>
  <si>
    <t>https://media-cdn.tripadvisor.com/media/photo-s/10/15/26/c9/photo2jpg.jpg</t>
  </si>
  <si>
    <t>https://www.co-chu.de</t>
  </si>
  <si>
    <t>The bird</t>
  </si>
  <si>
    <t>http://www.thebirdinberlin.com/uploads/1/9/9/0/19902721/editor/the-bird-prenzlauer-berg-logo_2.png?1489954335</t>
  </si>
  <si>
    <t>http://www.thebirdinberlin.com</t>
  </si>
  <si>
    <t>Kuchi</t>
  </si>
  <si>
    <t>http://netefx.de/wp-content/uploads/2014/04/logo_kuchi.jpg</t>
  </si>
  <si>
    <t>http://kuchi.de/</t>
  </si>
  <si>
    <t>Shiso Burger</t>
  </si>
  <si>
    <t>http://www.shisoburger.de/wp-content/uploads/2015/09/shisoburgerlogo1.png</t>
  </si>
  <si>
    <t>http://en.shisoburger.de/shisoburger/</t>
  </si>
  <si>
    <t>https://www.burgerking.de/</t>
  </si>
  <si>
    <t>Vapiano</t>
  </si>
  <si>
    <t>http://www.fuers-laendle.de/wp-content/uploads/Vapiano-logo.jpg</t>
  </si>
  <si>
    <t>http://de.vapiano.com/de/magazine/</t>
  </si>
  <si>
    <t>https://www.mcdonalds.de/</t>
  </si>
  <si>
    <t>Ampelmann</t>
  </si>
  <si>
    <t>http://ampelmann.de/picts/restaurant_logo.gif</t>
  </si>
  <si>
    <t>http://ampelmann-restaurant.de/index_de.phtml</t>
  </si>
  <si>
    <t>Crackers</t>
  </si>
  <si>
    <t>http://crackersberlin.com/wp-content/uploads/2013/03/crackersyellowLogo2-1800x1350.jpg</t>
  </si>
  <si>
    <t>http://crackersberlin.com/</t>
  </si>
  <si>
    <t>VDI</t>
  </si>
  <si>
    <t>https://blog.vdi.de/wp-content/uploads/2014/05/ab-1985-01-Bild.jpg</t>
  </si>
  <si>
    <t>http://www.vdik.de/startseite.html?L=1%252525252525252525252527A%25252525252525252525253D0</t>
  </si>
  <si>
    <t>PostBank</t>
  </si>
  <si>
    <t>https://www.postbank.de/postbank/docs/PB_Zentrale_sRGB.jpg</t>
  </si>
  <si>
    <t>https://www.postbank.de</t>
  </si>
  <si>
    <t>Sparkasse</t>
  </si>
  <si>
    <t>https://www.sparkasse-bensheim.de/pixel/logo_spk/logo_weiss.jpg</t>
  </si>
  <si>
    <t>https://www.sparkasse.de</t>
  </si>
  <si>
    <t>Berlin Metroplitan School</t>
  </si>
  <si>
    <t>http://www.musik-schule-berlin.de/wp-content/uploads/2014/04/Berlin-Metropolitan-School.jpg</t>
  </si>
  <si>
    <t>http://metropolitanschool.com/home/</t>
  </si>
  <si>
    <t>http://de.accessorize.com/</t>
  </si>
  <si>
    <t>http://www.disneystore.de/</t>
  </si>
  <si>
    <t>Tiny</t>
  </si>
  <si>
    <t>http://tinystore.de/wp-content/themes/tiny/images/tiny.svg</t>
  </si>
  <si>
    <t>http://tinystore.de/</t>
  </si>
  <si>
    <t>Dussmann</t>
  </si>
  <si>
    <t>Book</t>
  </si>
  <si>
    <t>http://karriere.dussmanngroup.com/fileadmin/dgroup/templates/img/logo_dussmannkulturkaufhaus.png</t>
  </si>
  <si>
    <t>http://www.kulturkaufhaus.de/</t>
  </si>
  <si>
    <t>Rausch</t>
  </si>
  <si>
    <t>https://upload.wikimedia.org/wikipedia/commons/thumb/9/9d/Rausch_Logo.png/250px-Rausch_Logo.png</t>
  </si>
  <si>
    <t>https://www.rausch.de/</t>
  </si>
  <si>
    <t>cos</t>
  </si>
  <si>
    <t>http://www.cosstores.com/Content/Images/COS-logo-retina_black.png</t>
  </si>
  <si>
    <t>http://www.cosstores.com/de/</t>
  </si>
  <si>
    <t>Bershka</t>
  </si>
  <si>
    <t>http://www.brandsoftheworld.com/sites/default/files/styles/logo-thumbnail/public/022013/bershka_logo_web_1.jpeg?itok=otSQ2Eys</t>
  </si>
  <si>
    <t>http://www.bershka.com/de/</t>
  </si>
  <si>
    <t>http://www.zara.com/de/</t>
  </si>
  <si>
    <t>Weekday</t>
  </si>
  <si>
    <t>http://images.asos.com/htmlpages/110614-weekday-header/110614-weekday-logo1.jpg</t>
  </si>
  <si>
    <t>http://shop.weekday.com/de/</t>
  </si>
  <si>
    <t>http://de.topshop.com/?geoip=home</t>
  </si>
  <si>
    <t>Douglas</t>
  </si>
  <si>
    <t>http://www.douglas.eu/img/douglas_logo.png</t>
  </si>
  <si>
    <t>https://www.douglas.de/douglas/</t>
  </si>
  <si>
    <t>http://de.nextdirect.com/de/</t>
  </si>
  <si>
    <t>KaDeWe</t>
  </si>
  <si>
    <t>https://upload.wikimedia.org/wikipedia/commons/thumb/2/24/KaDeWe-Logo.svg/2000px-KaDeWe-Logo.svg.png</t>
  </si>
  <si>
    <t>http://www.kadewe.de/de/home/</t>
  </si>
  <si>
    <t>Galeria Kaufhof</t>
  </si>
  <si>
    <t>https://upload.wikimedia.org/wikipedia/de/thumb/9/96/Galeria_Kaufhof-Logo.svg/1280px-Galeria_Kaufhof-Logo.svg.png</t>
  </si>
  <si>
    <t>https://www.dsq206.com/</t>
  </si>
  <si>
    <t>Aus Berlin</t>
  </si>
  <si>
    <t>https://aus.berlin</t>
  </si>
  <si>
    <t>Manufactum</t>
  </si>
  <si>
    <t>https://meineinkauf.ch/fileadmin/_processed_/4/c/csm_1637_manufactum_5532e46608.png</t>
  </si>
  <si>
    <t>https://www.manufactum.de/manufactum-berlin-c-41/</t>
  </si>
  <si>
    <t>http://www.chanel.com/en_DE/</t>
  </si>
  <si>
    <t>Media Markt</t>
  </si>
  <si>
    <t>http://www.transtel-sabima.be/Files/Images/mediamarktLogo.jpg</t>
  </si>
  <si>
    <t>http://www.mediamarkt.de/</t>
  </si>
  <si>
    <t>Saturn</t>
  </si>
  <si>
    <t>http://www.digifo-hka.de/assets/images/saturn.jpg</t>
  </si>
  <si>
    <t>http://www.saturn.de/</t>
  </si>
  <si>
    <t>Bleached Butterfly</t>
  </si>
  <si>
    <t>http://blog.bbrooks.com/wp-content/uploads/2016/04/bleached-butterfly-pastel-spring.png</t>
  </si>
  <si>
    <t>http://www.bleachedbutterfly.com/</t>
  </si>
  <si>
    <t>R.S.V.P</t>
  </si>
  <si>
    <t>https://rsvp-berlin.de/couch/get/product,1512/full_x_18.jpg</t>
  </si>
  <si>
    <t>https://rsvp-berlin.de/en/online-shop/38/geburtstag_und_glueckwuensche</t>
  </si>
  <si>
    <t>OBI</t>
  </si>
  <si>
    <t>http://seeklogo.com/images/O/OBI-logo-F7F1DFD2B1-seeklogo.com.gif</t>
  </si>
  <si>
    <t>http://www.obi.de/decom/home.html</t>
  </si>
  <si>
    <t>Home24</t>
  </si>
  <si>
    <t>http://cdn1.home24.net/static/skin/reboot/3aaa322/img/de_de/desktop/layout/header/moebel.png</t>
  </si>
  <si>
    <t>http://www.home24.de/</t>
  </si>
  <si>
    <t>https://upload.wikimedia.org/wikipedia/de/thumb/7/7e/Habitat_Logo.svg/2000px-Habitat_Logo.svg.png</t>
  </si>
  <si>
    <t>https://www.habitat.de/</t>
  </si>
  <si>
    <t>Moemax</t>
  </si>
  <si>
    <t>http://www.moemax.de/static/templates/moemax/resources/images/logo-standard.png</t>
  </si>
  <si>
    <t>http://www.moemax.de/</t>
  </si>
  <si>
    <t>euro shop</t>
  </si>
  <si>
    <t>http://l7.alamy.com/zooms/9149357fd48a4195ad6df0cd39781d6b/das-logo-der-marke-euroshop-berlin-hab0n3.jpg</t>
  </si>
  <si>
    <t>https://www.euroshop-online.de/1-euro-shop.html</t>
  </si>
  <si>
    <t>Swarovski</t>
  </si>
  <si>
    <t>https://www.swarovski.com/is-bin/intershop.static/WFS/SCO-Web_US-Site/-/en_US/img/basics/swarovski_v2016.png</t>
  </si>
  <si>
    <t>http://www.swarovski.com/Web_DE/de/index</t>
  </si>
  <si>
    <t>Jako-o</t>
  </si>
  <si>
    <t>http://www.jako-o.at/medias/sys_master/h4a/h6a/8863556632606.png</t>
  </si>
  <si>
    <t>http://www.jako-o.de/</t>
  </si>
  <si>
    <t>Lichthaus-wolle</t>
  </si>
  <si>
    <t>http://lichthaus-wolle.de/fileadmin/template/images/logo.gif</t>
  </si>
  <si>
    <t>http://lichthaus-wolle.de/</t>
  </si>
  <si>
    <t>Nespresso</t>
  </si>
  <si>
    <t xml:space="preserve">Coffee </t>
  </si>
  <si>
    <t>https://s3-media3.fl.yelpcdn.com/bphoto/COyzaCSJ3bOrvEF9MF5DxQ/ls.jpg</t>
  </si>
  <si>
    <t>https://www.nespresso.com/de/de</t>
  </si>
  <si>
    <t>Deichmann</t>
  </si>
  <si>
    <t>http://www.logolook.de/wp-content/uploads/deichmann_logo1.gif</t>
  </si>
  <si>
    <t>http://www.deichmann.com/DE/de/shop/welcome.html</t>
  </si>
  <si>
    <t>Tamaris</t>
  </si>
  <si>
    <t>http://www.erfahrungen.com/images/products/1400071614474.gif</t>
  </si>
  <si>
    <t>http://www.tamaris.de/</t>
  </si>
  <si>
    <t>https://media.licdn.com/mpr/mpr/shrink_200_200/AAEAAQAAAAAAAAbFAAAAJGYwNWEzMzk0LTM3MzMtNDE0OS1hMDI0LWNhN2ZjNTE1NjI0ZQ.png</t>
  </si>
  <si>
    <t>https://www.decathlon.de/</t>
  </si>
  <si>
    <t>Adidas</t>
  </si>
  <si>
    <t>https://upload.wikimedia.org/wikipedia/commons/thumb/2/20/Adidas_Logo.svg/2000px-Adidas_Logo.svg.png</t>
  </si>
  <si>
    <t>http://www.adidas.de/</t>
  </si>
  <si>
    <t>http://www.sky.de/</t>
  </si>
  <si>
    <t>Liquirom</t>
  </si>
  <si>
    <t>http://www.liquidrom-berlin.de/images/social-media.jpg</t>
  </si>
  <si>
    <t>http://www.liquidrom-berlin.de/de/index.php</t>
  </si>
  <si>
    <t>TM tech</t>
  </si>
  <si>
    <t>http://buslibrary.busworld.org/import/companylogos/139356.jpg</t>
  </si>
  <si>
    <t>http://www.tmtech.de/index.php</t>
  </si>
  <si>
    <t>http://de.farnell.com</t>
  </si>
  <si>
    <t>https://www.dominos.de</t>
  </si>
  <si>
    <t>Telekom</t>
  </si>
  <si>
    <t>https://upload.wikimedia.org/wikipedia/commons/thumb/2/2e/Telekom_Logo_2013.svg/1280px-Telekom_Logo_2013.svg.png</t>
  </si>
  <si>
    <t>http://www.telekom.de/</t>
  </si>
  <si>
    <t>http://www.vodafone.de/</t>
  </si>
  <si>
    <t>https://www.o2online.de/</t>
  </si>
  <si>
    <t>E Plus</t>
  </si>
  <si>
    <t>https://upload.wikimedia.org/wikipedia/commons/thumb/2/2a/E-Plus%2BLogo.svg/2000px-E-Plus%2BLogo.svg.png</t>
  </si>
  <si>
    <t>https://www.handyflatrate.de</t>
  </si>
  <si>
    <t>http://www.ticketmaster.de</t>
  </si>
  <si>
    <t>BVG</t>
  </si>
  <si>
    <t>http://www.bvg.de/images/content/utilities/app-logo.png</t>
  </si>
  <si>
    <t>http://www.bvg.de/en/</t>
  </si>
  <si>
    <t>gas/elec</t>
  </si>
  <si>
    <t>https://www.e-wie-einfach.de/media/img/presse/small/logos.jpg</t>
  </si>
  <si>
    <t>https://www.e-wie-einfach.de/</t>
  </si>
  <si>
    <t>Vattenfall</t>
  </si>
  <si>
    <t>https://upload.wikimedia.org/wikipedia/de/thumb/4/48/Vattenfall_logo.svg/2000px-Vattenfall_logo.svg.png</t>
  </si>
  <si>
    <t>https://www.vattenfall.de/</t>
  </si>
  <si>
    <t>Wingas</t>
  </si>
  <si>
    <t>https://www.wingas.com/fileadmin/WINGAS-Designportal/03_Basiselemente/Downloads/WINGAS_Logo_Standard_RGB_1200px.jpg</t>
  </si>
  <si>
    <t>https://www.wingas.com/produkte.html</t>
  </si>
  <si>
    <t>Berliner Wasserbetriebe</t>
  </si>
  <si>
    <t>http://www.bwb.de/content/language1/img_307/Logo-BWB-rgb_307x150.jpg</t>
  </si>
  <si>
    <t>http://www.bwb.de/content/en/html/index.php</t>
  </si>
  <si>
    <t>Veolia</t>
  </si>
  <si>
    <t>https://veolia-trennrechner.netwaste.de/images/6883453.png</t>
  </si>
  <si>
    <t>https://www.veolia.de</t>
  </si>
  <si>
    <t>Schneider</t>
  </si>
  <si>
    <t>http://solar.schneider-electric.com/wp-content/uploads/2016/04/Schneider_Electric.svg_.png</t>
  </si>
  <si>
    <t>http://www.schneider-electric.de/de/</t>
  </si>
  <si>
    <t>Berlin Yatch Club</t>
  </si>
  <si>
    <t>http://www.byc.berlin/wp-content/uploads/2017/02/BYC_150_ohneVerlauf.jpg</t>
  </si>
  <si>
    <t>http://www.byc.berlin</t>
  </si>
  <si>
    <t>Santander ATM</t>
  </si>
  <si>
    <t>http://riemerassociates.com/wp-content/uploads/2015/06/NEW_Double_ATM.png</t>
  </si>
  <si>
    <t>https://www.santander.de/de/privatkunden/index.html</t>
  </si>
  <si>
    <t>Sparkasse ATM</t>
  </si>
  <si>
    <t>https://pic.immobilienscout24.de/userfiles/H/u/z/Q/8/E7jEaQRU3kL6gPyxCAXXDa.jpg</t>
  </si>
  <si>
    <t>Donation Miss Muller</t>
  </si>
  <si>
    <t>Donation Mr and Mrs Weber</t>
  </si>
  <si>
    <t>Donation Mr and Mrs Bauer</t>
  </si>
  <si>
    <t>Donation Mr Becker</t>
  </si>
  <si>
    <t>Donation Schmidt Family</t>
  </si>
  <si>
    <t>https://smiletrain.org</t>
  </si>
  <si>
    <t>Donation The Barn</t>
  </si>
  <si>
    <t>https://cdn.shopify.com/s/files/1/0831/4141/t/41/assets/footer-logo.png</t>
  </si>
  <si>
    <t>https://thebarn.de</t>
  </si>
  <si>
    <t>Donation Blue eyes Optik</t>
  </si>
  <si>
    <t>http://www.augen-optic-actuell.de/GRA/LOG/Logo_AOA2017_trans.gif</t>
  </si>
  <si>
    <t>http://www.optiker-berlin.com</t>
  </si>
  <si>
    <t>donation City Hotel Mitte</t>
  </si>
  <si>
    <t>https://static.opendi.com/yellow/production/de/6198387/images/4364726.jpg</t>
  </si>
  <si>
    <t>https://www.berlin-mitte-hotel.com/de</t>
  </si>
  <si>
    <t>donation FC union</t>
  </si>
  <si>
    <t>https://upload.wikimedia.org/wikipedia/en/thumb/f/fe/1._FC_Union_Berlin_logo.svg/1280px-1._FC_Union_Berlin_logo.svg.png</t>
  </si>
  <si>
    <t>https://www.fc-union-berlin.de/landing/</t>
  </si>
  <si>
    <t>Mr D Schulz</t>
  </si>
  <si>
    <t>Bisiness Rates</t>
  </si>
  <si>
    <t>Ricam Hospiz</t>
  </si>
  <si>
    <t>https://www.clicks4charity.net/uploads/tx_usercharityshopping/ricam.png</t>
  </si>
  <si>
    <t>https://www.ricam-hospiz.de</t>
  </si>
  <si>
    <t>Alexianer St. Hedwig-Krankenhaus</t>
  </si>
  <si>
    <t>http://www.female-refugee-study.com/wp-content/uploads/2016/07/alexianer-logo-300x300.jpg</t>
  </si>
  <si>
    <t>http://www.alexianer-berlin-hedwigkliniken.de/st_hedwig_krankenhaus/home/</t>
  </si>
  <si>
    <t>Salary Mrs F Lange</t>
  </si>
  <si>
    <t>Salary Mr R Krause</t>
  </si>
  <si>
    <t>Paid Invoice Mr Albrecht</t>
  </si>
  <si>
    <t>Paid Invoice Mr Winkler</t>
  </si>
  <si>
    <t>Paid Invoice Miss Huber</t>
  </si>
  <si>
    <t>Paid Invoice 76542 Mr König</t>
  </si>
  <si>
    <t>Paid Invoice 986 Mr Jung</t>
  </si>
  <si>
    <t>Paid Invoice 2297 Miss Vogel</t>
  </si>
  <si>
    <t>Hiscox</t>
  </si>
  <si>
    <t>https://i.pinimg.com/originals/9d/2f/7c/9d2f7c1b7a3a454bb230508e8c017ddc.jpg</t>
  </si>
  <si>
    <t>https://www.hiscox.de</t>
  </si>
  <si>
    <t>Credit Card Eftpos</t>
  </si>
  <si>
    <t>https://www.mastercard.de/de-de.html</t>
  </si>
  <si>
    <t>Finland</t>
  </si>
  <si>
    <t>Prisma</t>
  </si>
  <si>
    <t>http://www.fetchlogos.com/retail-logos/prisma-logo-2/</t>
  </si>
  <si>
    <t>https://www.prisma.fi/fi/prisma</t>
  </si>
  <si>
    <t>Froodly</t>
  </si>
  <si>
    <t>http://froodly.com/images/Froodly_logo.png</t>
  </si>
  <si>
    <t>http://froodly.com</t>
  </si>
  <si>
    <t>Lidl</t>
  </si>
  <si>
    <t>https://upload.wikimedia.org/wikipedia/commons/thumb/9/91/Lidl-Logo.svg/2000px-Lidl-Logo.svg.png</t>
  </si>
  <si>
    <t>http://www.lidl.fi/fi/index.htm</t>
  </si>
  <si>
    <t>Groceries/Supermaket_4</t>
  </si>
  <si>
    <t>K-citymarket</t>
  </si>
  <si>
    <t>http://www.k-citymarket.fi/globalassets/default-facebook--kuvat/k-citymarket_default_fb_400x400.png</t>
  </si>
  <si>
    <t>http://www.k-citymarket.fi/kaupat/vantaa-tammisto/</t>
  </si>
  <si>
    <t>Hakaniemen kauppahalli</t>
  </si>
  <si>
    <t>http://www.hakaniemenkauppahalli.fi/wp-content/uploads/2014/12/HK_logo_200x200px.jpg</t>
  </si>
  <si>
    <t>http://www.hakaniemenkauppahalli.fi/kauppias/sanna-engstrom-tmi/</t>
  </si>
  <si>
    <t>K-Supermarket</t>
  </si>
  <si>
    <t>https://finnishchronicles.files.wordpress.com/2012/05/82cd1aab-60fa-49af-a577-5cc1163c3dec-66560.gif</t>
  </si>
  <si>
    <t>http://www.k-supermarket.fi/?gclid=CjwKEAjw8Jy8BRCE0pOC9qzRhkMSJABC1pvJ3MqaqF0bTvmBjVsny32aKGYZVPoHyWbHbQEDuOte9BoCxQ_w_wcB</t>
  </si>
  <si>
    <t>Finlayson</t>
  </si>
  <si>
    <t>http://finlayson.studio.crasman.fi/pub/web/images/logo-finlayson-en.png</t>
  </si>
  <si>
    <t>https://www.finlayson.fi</t>
  </si>
  <si>
    <t>Stockmann</t>
  </si>
  <si>
    <t>http://static1.squarespace.com/static/55320e14e4b062ec580d356d/t/561b880be4b04b433017955b/1444644876420/srv+logo.jpg</t>
  </si>
  <si>
    <t>https://stockmann.com/fi</t>
  </si>
  <si>
    <t>Tokmanni</t>
  </si>
  <si>
    <t>https://resources.mynewsdesk.com/image/upload/t_next_gen_article_module_padding_4_3_v2/p3bsksyrs7xtvaogxdpn.jpg</t>
  </si>
  <si>
    <t>https://yritys.tokmanni.fi/</t>
  </si>
  <si>
    <t>Hong Kong tavaratalot</t>
  </si>
  <si>
    <t>http://logonoid.com/images/heckler-and-koch-logo.png</t>
  </si>
  <si>
    <t>http://www.hongkong.fi/fi/</t>
  </si>
  <si>
    <t>Sokos</t>
  </si>
  <si>
    <t>https://upload.wikimedia.org/wikipedia/en/6/67/Sokosin_logo.png</t>
  </si>
  <si>
    <t>https://www.sokos.fi/fi/sokos/myymalat/sokos-helsinki</t>
  </si>
  <si>
    <t>Galleria Esplanad</t>
  </si>
  <si>
    <t>https://www.galleriaesplanad.fi/wp-content/uploads/2015/09/galleria-esplanad-logo.png</t>
  </si>
  <si>
    <t>http://www.galleriaesplanad.fi</t>
  </si>
  <si>
    <t>Filippa-k</t>
  </si>
  <si>
    <t>http://www.animalfree.info/uploads/home/154e611aa9ed29.jpg</t>
  </si>
  <si>
    <t>http://www.filippa-k.com/fi/</t>
  </si>
  <si>
    <t>Street Beat</t>
  </si>
  <si>
    <t>https://d3ui957tjb5bqd.cloudfront.net/images/screenshots/products/60/602/602849/t0000_00-f.jpg?1439332327</t>
  </si>
  <si>
    <t>http://www.streetbeat.fi</t>
  </si>
  <si>
    <t>Monki</t>
  </si>
  <si>
    <t>http://www.monki.com/assets/Images/monki-logo.png</t>
  </si>
  <si>
    <t>http://www.monki.com/fi/</t>
  </si>
  <si>
    <t>Fiorella shop</t>
  </si>
  <si>
    <t>https://www.360couponcodes.com/files/screenshots/4335.jpg</t>
  </si>
  <si>
    <t>https://www.fiorellashop.com</t>
  </si>
  <si>
    <t>http://www.thebodyshop.fi/fi/</t>
  </si>
  <si>
    <t>Shopping/Makeup_14</t>
  </si>
  <si>
    <t>Mac Cosmetics</t>
  </si>
  <si>
    <t>Jämsän Apteekki</t>
  </si>
  <si>
    <t>http://www.jamsanapteekki.fi/themes/site_themes/jamsanapteekki2011/images/logo_jamsan-apteekki.png</t>
  </si>
  <si>
    <t>http://www.jamsanapteekki.fi/</t>
  </si>
  <si>
    <t>https://www.babyshop.com/static/images/logos/logo-en.png</t>
  </si>
  <si>
    <t>https://fi.babyshop.com</t>
  </si>
  <si>
    <t>Gugguu</t>
  </si>
  <si>
    <t>http://www.pikkuotus.com/tuotekuvat/1500x1500/gugguu_logo.png</t>
  </si>
  <si>
    <t>https://www.gugguu.com</t>
  </si>
  <si>
    <t>http://disney.fi</t>
  </si>
  <si>
    <t>Verkkokauppa.com</t>
  </si>
  <si>
    <t>https://view.24mags.com/sites/all/files/public_files/Verkkokauppa.com/logos/verkkokauppa.com-logo-rgb-png.png</t>
  </si>
  <si>
    <t>https://www.verkkokauppa.com/</t>
  </si>
  <si>
    <t>Clas Ohlson</t>
  </si>
  <si>
    <t>http://images.clasohlson.com/medias/sys_master/8892804988958.gif</t>
  </si>
  <si>
    <t>http://www.clasohlson.com/fi/</t>
  </si>
  <si>
    <t>Gigantti</t>
  </si>
  <si>
    <t>https://www.happy-or-not.com/content/uploads/2014/08/gigantti-uusi-logo.jpg</t>
  </si>
  <si>
    <t>http://www.gigantti.fi/</t>
  </si>
  <si>
    <t>Intersport</t>
  </si>
  <si>
    <t>https://www.intersport.fi/fi/kauppa/oulu-rintamaki/</t>
  </si>
  <si>
    <t>Stadium</t>
  </si>
  <si>
    <t>http://www.ganlose-tri.dk/images/g_stadium_logo.png</t>
  </si>
  <si>
    <t>https://www.stadium.fi/</t>
  </si>
  <si>
    <t>Iittala</t>
  </si>
  <si>
    <t>Homeware</t>
  </si>
  <si>
    <t>https://www.iittala.com/_ui/common/images/iittala-200px.png</t>
  </si>
  <si>
    <t>https://www.iittala.fi/home/</t>
  </si>
  <si>
    <t>http://www.graphicthoughtfacility.com/media/uploads/images/Standard-Mark-2-WEB_2011_960px_1.jpg</t>
  </si>
  <si>
    <t>https://www.habitatfinland.fi/fi</t>
  </si>
  <si>
    <t>BoConcept</t>
  </si>
  <si>
    <t>http://www.instituteofhomestaging.com/wp-content/uploads/2016/02/boconcept-logo.jpg</t>
  </si>
  <si>
    <t>http://www.boconcept.com/fi-fi/</t>
  </si>
  <si>
    <t>Acc3ss</t>
  </si>
  <si>
    <t>http://www.acc3ss.fi</t>
  </si>
  <si>
    <t>Mango</t>
  </si>
  <si>
    <t>http://logodatabases.com/wp-content/uploads/2012/03/mango-logo-wallpaper.jpg</t>
  </si>
  <si>
    <t>http://shop.mango.com/FI</t>
  </si>
  <si>
    <t>Zio</t>
  </si>
  <si>
    <t>http://s3-media3.fl.yelpcdn.com/bphoto/xqnEn2Pw2DbuHWgjcH3P3A/l.jpg</t>
  </si>
  <si>
    <t>https://www.zio.fi</t>
  </si>
  <si>
    <t>Lindroos</t>
  </si>
  <si>
    <t>http://www.osk-lindroos.fi/pict/oskari_lindroos_logo.png</t>
  </si>
  <si>
    <t>http://www.osk-lindroos.fi</t>
  </si>
  <si>
    <t>Brunberg</t>
  </si>
  <si>
    <t>http://www.brunberg.fi/wp-content/themes/brunberg/pix/logo-en.jpg</t>
  </si>
  <si>
    <t>http://www.brunberg.fi</t>
  </si>
  <si>
    <t>Suomikauppa</t>
  </si>
  <si>
    <t>https://pbs.twimg.com/profile_images/366090016/twit_400x400.gif</t>
  </si>
  <si>
    <t>http://www.suomikauppa.fi/index.php?cPath=325_44&amp;language=en</t>
  </si>
  <si>
    <t>Alma Media</t>
  </si>
  <si>
    <t>https://upload.wikimedia.org/wikipedia/commons/thumb/9/90/Alma_Media.svg/2000px-Alma_Media.svg.png</t>
  </si>
  <si>
    <t>http://www.almamedia.fi</t>
  </si>
  <si>
    <t>http://www.suomikauppa.ru/Content/logo-ru.gif</t>
  </si>
  <si>
    <t>http://www.suomikauppa.fi</t>
  </si>
  <si>
    <t>Flower Bazaar</t>
  </si>
  <si>
    <t>http://flowerbazaar.fi/templates/flowerbazaar/img/flowerbazaar.png</t>
  </si>
  <si>
    <t>http://flowerbazaar.fi</t>
  </si>
  <si>
    <t>Innolux</t>
  </si>
  <si>
    <t>http://www.innolux.fi/sites/default/files/logo.png</t>
  </si>
  <si>
    <t>http://www.innolux.fi/en</t>
  </si>
  <si>
    <t>Bauhaus</t>
  </si>
  <si>
    <t>https://upload.wikimedia.org/wikipedia/en/thumb/7/71/Bauhaus_logo.svg/1024px-Bauhaus_logo.svg.png</t>
  </si>
  <si>
    <t>http://www.bauhaus.fi</t>
  </si>
  <si>
    <t>Bitmaster</t>
  </si>
  <si>
    <t>http://bitmaster.fi/secondhand/computers.jpg</t>
  </si>
  <si>
    <t>http://www.bitmaster.fi</t>
  </si>
  <si>
    <t xml:space="preserve">Tauno korhonen </t>
  </si>
  <si>
    <t>http://www.taunokorhonen.fi/en/images/logo_tauno_korhonen.png</t>
  </si>
  <si>
    <t>http://www.taunokorhonen.fi</t>
  </si>
  <si>
    <t>Fonum</t>
  </si>
  <si>
    <t>http://www.fonum.fi/fonum_fb.jpg</t>
  </si>
  <si>
    <t>http://www.fonum.fi</t>
  </si>
  <si>
    <t>Neste Olari</t>
  </si>
  <si>
    <t>https://commons.wikimedia.org/wiki/File:Neste-Oil-Logo.svg</t>
  </si>
  <si>
    <r>
      <rPr>
        <u/>
        <sz val="11"/>
        <color rgb="FF0000FF"/>
        <rFont val="Calibri"/>
        <charset val="134"/>
      </rPr>
      <t>https://www.neste.fi/asema/neste-espoo-olari</t>
    </r>
  </si>
  <si>
    <t>St1</t>
  </si>
  <si>
    <t>http://www.st1.fi/uutiset/logot</t>
  </si>
  <si>
    <t>http://www.st1.fi/huoltoasemat?municipality=Helsinki</t>
  </si>
  <si>
    <t>Fenno Optiikka</t>
  </si>
  <si>
    <t>http://www.fennooptiikka.fi/img/logo.png</t>
  </si>
  <si>
    <t>http://www.fennooptiikka.fi/fi/etusivu-.html</t>
  </si>
  <si>
    <t>Instrumentarium</t>
  </si>
  <si>
    <t>http://www.instru.fi/photos/frame/2007798.png</t>
  </si>
  <si>
    <t>http://www.instru.fi</t>
  </si>
  <si>
    <t>Oral</t>
  </si>
  <si>
    <t>https://www.oral.fi/Documents/Lyran%20kansio/Oral_logo_slogan_RGB%20pieni.jpg</t>
  </si>
  <si>
    <t>https://www.oral.fi/</t>
  </si>
  <si>
    <t>Esport</t>
  </si>
  <si>
    <t>https://www.thegymgroup.com/fileadmin/_processed_/csm_B8small_9e3ecc74c3.jpg</t>
  </si>
  <si>
    <t>http://www.esport.fi/</t>
  </si>
  <si>
    <t>Tahko spa</t>
  </si>
  <si>
    <t>http://www.tahkospa.fi/img/tahkospa.png</t>
  </si>
  <si>
    <t>http://www.tahkospa.fi/fi</t>
  </si>
  <si>
    <t>Alands Golf Club</t>
  </si>
  <si>
    <t>http://www.golfeurope.com/euro_clubs/alands/</t>
  </si>
  <si>
    <t>https://www.netflix.com/fi/</t>
  </si>
  <si>
    <t>Nylandska Jaktklubben</t>
  </si>
  <si>
    <t>http://www.njk.fi/wp-content/uploads/2015/10/logo.png</t>
  </si>
  <si>
    <t>http://www.njk.fi/</t>
  </si>
  <si>
    <t>Finnish National Museum</t>
  </si>
  <si>
    <t>Finland  attraction</t>
  </si>
  <si>
    <t>https://upload.wikimedia.org/wikipedia/commons/5/55/National_Museum_of_Finland.jpg</t>
  </si>
  <si>
    <t>http://www.kansallismuseo.fi/fi/index</t>
  </si>
  <si>
    <t>Kahvila Sävy</t>
  </si>
  <si>
    <t>https://pbs.twimg.com/profile_images/2198046606/Logo_pink_backround_400x400.jpg</t>
  </si>
  <si>
    <t>http://www.kahvilasavy.fi</t>
  </si>
  <si>
    <t>http://www.starbucks.com</t>
  </si>
  <si>
    <t>Olo</t>
  </si>
  <si>
    <t>http://olo-ravintola.fi/wordpress/wp-content/uploads/2014/04/Untitled-1-e1397127521584.png</t>
  </si>
  <si>
    <t>http://olo-ravintola.fi</t>
  </si>
  <si>
    <t>Copasy Tapas</t>
  </si>
  <si>
    <t>https://media-cdn.tripadvisor.com/media/photo-s/0c/14/9e/6a/copas-y-tapas-you-ll.jpg</t>
  </si>
  <si>
    <t>http://www.copasytapas.fi</t>
  </si>
  <si>
    <t>Ragu</t>
  </si>
  <si>
    <t>http://www.ragu.fi/wp-content/uploads/2014/02/Ragu_opener_2.jpg</t>
  </si>
  <si>
    <t>http://www.ragu.fi</t>
  </si>
  <si>
    <t>http://startuprefugees.com/wp-content/uploads/2016/04/Sandro-logo-03.jpg</t>
  </si>
  <si>
    <t>http://www.sandro.fi</t>
  </si>
  <si>
    <t>Hoku</t>
  </si>
  <si>
    <t>https://asiakas.kotisivukone.com/files/hoku.helsinki.palvelee.fi/uudet/hoku-logo.jpg</t>
  </si>
  <si>
    <t>http://www.hoku.fi</t>
  </si>
  <si>
    <t>Doner Harju</t>
  </si>
  <si>
    <t>http://static1.squarespace.com/static/5559a982e4b0c9f3319ad51f/t/5559ab49e4b0799dab598b7f/1469775378595/?format=1500w</t>
  </si>
  <si>
    <t>http://www.donerharju.fi</t>
  </si>
  <si>
    <t>B Smokery</t>
  </si>
  <si>
    <t>http://bsmokery.fi/wp-content/uploads/2015/06/bsmokery_logo.jpg</t>
  </si>
  <si>
    <t>http://bsmokery.fi</t>
  </si>
  <si>
    <t>Pompier</t>
  </si>
  <si>
    <t>http://www.pompierespa.fi/wp-content/uploads/2014/10/Pompier_logo.png</t>
  </si>
  <si>
    <t>http://pompier.fi</t>
  </si>
  <si>
    <t>Ravintola Tori</t>
  </si>
  <si>
    <t>http://ravintolatori.fi/alppila/templates/gk_postnote/images/style1/logo.png</t>
  </si>
  <si>
    <t>http://www.ravintolatori.fi</t>
  </si>
  <si>
    <t>Fafas</t>
  </si>
  <si>
    <t>http://www.fafas.fi/wp-content/uploads/2014/10/fafas_logo-600x144.png</t>
  </si>
  <si>
    <t>http://www.fafas.fi</t>
  </si>
  <si>
    <t>Restaurant Gaijin</t>
  </si>
  <si>
    <t>Ravintola Juuri</t>
  </si>
  <si>
    <t>Indian House</t>
  </si>
  <si>
    <t>http://indiahouse.fi/wp-content/uploads/2014/11/IndiaHouse-logo3.png</t>
  </si>
  <si>
    <t>http://indiahouse.fi</t>
  </si>
  <si>
    <t>https://s3-media3.fl.yelpcdn.com/bphoto/YQTK0Zq6ouqXCIaHZIdenA/ls.jpg</t>
  </si>
  <si>
    <t>http://www.hotelhaven.fi</t>
  </si>
  <si>
    <t>Bar Musta kissa</t>
  </si>
  <si>
    <t>http://www.barmustakissa.fi/wp-content/themes/mustakissa/logo.png</t>
  </si>
  <si>
    <t>http://www.barmustakissa.fi</t>
  </si>
  <si>
    <t>Yliopiston Apteekki</t>
  </si>
  <si>
    <t>http://www.apteekkariliitto.fi/media/layout/images/logo-apteekki.png</t>
  </si>
  <si>
    <t>https://www.yliopistonapteekki.fi</t>
  </si>
  <si>
    <t>Gasum</t>
  </si>
  <si>
    <t>https://duckduckgo.com/i/2503a46b.png</t>
  </si>
  <si>
    <t>http://www.gasum.fi</t>
  </si>
  <si>
    <t>Anvia</t>
  </si>
  <si>
    <t>https://upload.wikimedia.org/wikipedia/fi/7/7c/Anvian_logo.png</t>
  </si>
  <si>
    <t>http://www.anvia.fi</t>
  </si>
  <si>
    <t>HSY</t>
  </si>
  <si>
    <t>https://www.hsy.fi/fi/tietoa-hsy/ilme/logot/Sivut/default.aspx</t>
  </si>
  <si>
    <t>https://www.hsy.fi/</t>
  </si>
  <si>
    <t>Fortum</t>
  </si>
  <si>
    <t>https://en.wikipedia.org/wiki/File:Fortum.svg</t>
  </si>
  <si>
    <t>https://www.fortum.fi/frontpage/fi/?from=irene</t>
  </si>
  <si>
    <t>Helen</t>
  </si>
  <si>
    <t>https://www.helen.fi/</t>
  </si>
  <si>
    <t>Elenia</t>
  </si>
  <si>
    <t>https://fi.wikipedia.org/wiki/Tiedosto:Elenia.png</t>
  </si>
  <si>
    <t>http://www.elenia.fi/</t>
  </si>
  <si>
    <t>Elisa</t>
  </si>
  <si>
    <t>http://www.intomobile.com/wp-content/uploads/2012/03/elisa.jpg</t>
  </si>
  <si>
    <t>http://corporate.elisa.fi/elisa-oyj/</t>
  </si>
  <si>
    <t>Globetel</t>
  </si>
  <si>
    <t>http://img.tradeindia.com/images/l/1/logo_28362.gif</t>
  </si>
  <si>
    <t>https://globetel.fi</t>
  </si>
  <si>
    <t>Sonera</t>
  </si>
  <si>
    <t>http://blog.txtnation.com/wp-content/uploads/2016/03/soneralogo.png</t>
  </si>
  <si>
    <t>https://www.sonera.fi</t>
  </si>
  <si>
    <t>Tele Finland</t>
  </si>
  <si>
    <t>https://pbs.twimg.com/profile_images/421561310938013697/4fuHdqCn_400x400.png</t>
  </si>
  <si>
    <t>https://www.tele.fi</t>
  </si>
  <si>
    <t>Ruutu+</t>
  </si>
  <si>
    <t>Ruutu</t>
  </si>
  <si>
    <t>http://www.nelonenmedia.fi/mainostaminen/aineistot/logot/</t>
  </si>
  <si>
    <t>www.ruutu.fi</t>
  </si>
  <si>
    <t>Trafi</t>
  </si>
  <si>
    <t>http://www.trafi.fi/_sys_/images/2016062102/trafi_logo_en.png</t>
  </si>
  <si>
    <t>http://www.trafi.fi/tieliikenne</t>
  </si>
  <si>
    <t>City of Helsinki</t>
  </si>
  <si>
    <t>http://www.hel.fi/wps/wcm/connect/0234c8ea-c046-4569-9e1f-a5de9a5e1c71/1/rastilanvastaanotto_konstalinkola_pienempi.jpg?MOD=AJPERES&amp;CACHEID=0234c8ea-c046-4569-9e1f-a5de9a5e1c71/1</t>
  </si>
  <si>
    <t>http://www.hel.fi/www/Helsinki/en/maps-and-transport/parking/parking/</t>
  </si>
  <si>
    <t>HSL</t>
  </si>
  <si>
    <t>http://www.kokoromoi.com/images/uploads/HSL_logo2.jpg</t>
  </si>
  <si>
    <t>https://www.hsl.fi</t>
  </si>
  <si>
    <t>Tax_1</t>
  </si>
  <si>
    <t>Vero.fi</t>
  </si>
  <si>
    <t>https://www.vero.fi/img/verologo.gif</t>
  </si>
  <si>
    <t>https://www.vero.fi/fi-FI</t>
  </si>
  <si>
    <t>The International School of Helsinki</t>
  </si>
  <si>
    <t>http://www.ishelsinki.fi</t>
  </si>
  <si>
    <t>Finavia</t>
  </si>
  <si>
    <t>http://ww1.prweb.com/prfiles/2015/02/18/12528207/2000px-Finavia-Logo.svg.png</t>
  </si>
  <si>
    <t>http://www.finavia.fi/</t>
  </si>
  <si>
    <t>Norwegian</t>
  </si>
  <si>
    <t>http://logonoid.com/norwegian-logo/</t>
  </si>
  <si>
    <t>https://www.norwegian.com/fi/</t>
  </si>
  <si>
    <t>https://www.skyscanner.fi</t>
  </si>
  <si>
    <t>Finnair</t>
  </si>
  <si>
    <t>https://upload.wikimedia.org/wikipedia/commons/thumb/b/bb/Finnair_Logo.svg/2000px-Finnair_Logo.svg.png</t>
  </si>
  <si>
    <t>https://www.finnair.com/fi/fi/</t>
  </si>
  <si>
    <t>http://www.logodesignlove.com/images/evolution/british-airways-logo-1997.jpg</t>
  </si>
  <si>
    <t>http://www.britishairways.com/travel/home/public/sv_fi</t>
  </si>
  <si>
    <t>Lippu</t>
  </si>
  <si>
    <t>https://giosg-chat-public-eu.s3.amazonaws.com/themes/lippufi/lippu_fi_logo.png</t>
  </si>
  <si>
    <t>http://www.lippu.fi</t>
  </si>
  <si>
    <t>Finnkino</t>
  </si>
  <si>
    <t>https://upload.wikimedia.org/wikipedia/en/thumb/e/e6/Finnkino_Logo.svg/1280px-Finnkino_Logo.svg.png</t>
  </si>
  <si>
    <t>http://www.finnkino.fi/cinemas/helsinki_maxim/</t>
  </si>
  <si>
    <t>Sey</t>
  </si>
  <si>
    <t>Animal Charity</t>
  </si>
  <si>
    <t>http://www.hyvatestamentti.fi/thumbs/304/mukana/sey-suomen-elainsuojeluyhdistysten-liitto/sey-card-logo.png</t>
  </si>
  <si>
    <t>http://www.sey.fi/</t>
  </si>
  <si>
    <t>Pelastakaa lapset ry</t>
  </si>
  <si>
    <t>https://upload.wikimedia.org/wikipedia/fi/9/9b/Pelastakaa_lapset_logo_web.gif</t>
  </si>
  <si>
    <t>https://www.pelastakaalapset.fi/</t>
  </si>
  <si>
    <t>http://www.mercedes-benz.fi/content/finland/mpc/mpc_finland_website/fi/home_mpc/passengercars/home/servicesandaccessories/services_and_workshop.flash.html#chapter=1</t>
  </si>
  <si>
    <t>Forenom</t>
  </si>
  <si>
    <t>http://forenom.fi/content/img/header/forenom_logo.png</t>
  </si>
  <si>
    <t>http://forenom.fi/</t>
  </si>
  <si>
    <t>SGS</t>
  </si>
  <si>
    <t>http://www.sgs.com/images/SGS_Logo_500px_RGB.jpg</t>
  </si>
  <si>
    <t>http://www.sgs.fi/fi-FI/Consumer-Goods-Retail/Hardgoods/Stationery-and-Office-Supplies.aspx</t>
  </si>
  <si>
    <t>Ferro pipe</t>
  </si>
  <si>
    <t>http://4.bp.blogspot.com/-ceYq8STaMSw/VYkqj0d-6vI/AAAAAAAAAAY/2um98A3A2mQ/s1600/Ferropipe-Logo-1x.png</t>
  </si>
  <si>
    <t>http://www.ferropipe.net/about-ferropipe/</t>
  </si>
  <si>
    <t>21 Food</t>
  </si>
  <si>
    <t>http://www.fruitlogistica.de/media/fl/fl_images/fruit_logistica_media_images_fachbesucher/fachpressestand_1/fl_fachpressestand_logos_neu/FL_21_Food_XSUpright.gif</t>
  </si>
  <si>
    <t>http://www.21food.com</t>
  </si>
  <si>
    <t>Scanfinn</t>
  </si>
  <si>
    <t>http://www.scanfinn.fi/Uutiset/images/SFlogo.png</t>
  </si>
  <si>
    <t>http://www.scanfinn.fi</t>
  </si>
  <si>
    <t>Cimec</t>
  </si>
  <si>
    <t>http://cimec.fi/wp-content/uploads/2015/12/logo.png</t>
  </si>
  <si>
    <t>http://cimec.fi/index.php/lasinostimet-nostinradat/</t>
  </si>
  <si>
    <t>Teknologiateollisuus</t>
  </si>
  <si>
    <t>http://www.cecimo.eu/site/uploads/pics/teknologiateollisuus-FIN.gif</t>
  </si>
  <si>
    <t>http://teknologiateollisuus.fi/fi/jasenet/kone-ja-metallituoteteollisuus</t>
  </si>
  <si>
    <t>Invest in Finland</t>
  </si>
  <si>
    <t>Investment Company</t>
  </si>
  <si>
    <t>http://www.investinfinland.fi/uploaded/files/invest_in_finland_horizontal_v01.jpg</t>
  </si>
  <si>
    <t>http://www.investinfinland.fi/home/suomeksi/65</t>
  </si>
  <si>
    <t>Fujitsu</t>
  </si>
  <si>
    <t>http://www.fujitsu.com/global/about/brandmanagement/logo/</t>
  </si>
  <si>
    <t>http://www.fujitsu.com/fi/</t>
  </si>
  <si>
    <t>NCS</t>
  </si>
  <si>
    <t>http://www.ncs.fi/fi/</t>
  </si>
  <si>
    <t>Cargotec</t>
  </si>
  <si>
    <t>http://www.cargotec.com/fi-fi/Sivut/default.aspx</t>
  </si>
  <si>
    <t>Nordnet</t>
  </si>
  <si>
    <t>https://fi.wikipedia.org/wiki/Nordnet</t>
  </si>
  <si>
    <t>www.nordnet.fi</t>
  </si>
  <si>
    <t>OP</t>
  </si>
  <si>
    <t>http://www.op.fi</t>
  </si>
  <si>
    <t>Nordea</t>
  </si>
  <si>
    <t>http://www.nordea.fi</t>
  </si>
  <si>
    <t>Savings_3</t>
  </si>
  <si>
    <t>Aktia</t>
  </si>
  <si>
    <t>http://www.aktia.com/fi/media/kuva-ja-logopankki</t>
  </si>
  <si>
    <t>http://www.aktia.fi/fi/</t>
  </si>
  <si>
    <t>Mortage</t>
  </si>
  <si>
    <t>Mortgage_2</t>
  </si>
  <si>
    <r>
      <rPr>
        <u/>
        <sz val="11"/>
        <color rgb="FF0000FF"/>
        <rFont val="Calibri"/>
        <charset val="134"/>
      </rPr>
      <t>https://en.wikipedia.org/wiki/File:Nordea.svg</t>
    </r>
  </si>
  <si>
    <r>
      <rPr>
        <u/>
        <sz val="11"/>
        <color rgb="FF0000FF"/>
        <rFont val="Calibri"/>
        <charset val="134"/>
      </rPr>
      <t>https://www.op.fi/op/op-ryhma/media/aineistopalvelu/kuvapankki/logot?id=86304&amp;srcpl=8</t>
    </r>
  </si>
  <si>
    <t>Insurance_2</t>
  </si>
  <si>
    <t>If</t>
  </si>
  <si>
    <t>https://www.if.fi/web/fi/tietoaifista/uutishuone/pages/logot.aspx</t>
  </si>
  <si>
    <t>https://www.if.fi/</t>
  </si>
  <si>
    <t>Helsingin Op Pankki Oyj, Lauttasaaren konttori ITÄMERENKATU 21, 00180 HELSINKI</t>
  </si>
  <si>
    <t>Branch</t>
  </si>
  <si>
    <t>Tampereen Seudun Osuuspankki, HÄMEENKATU 12 HÄMEENKATU 12, 33101 TAMPERE</t>
  </si>
  <si>
    <t>Turun Seudun Osuuspankki, Hämeenkadun konttori HÄMEENKATU 2, 20101 TURKU</t>
  </si>
  <si>
    <t>Keski-Suomen Osuuspankki, Pääkonttori KAUPPAKATU 22, 40100 JYVÄSKYLÄ</t>
  </si>
  <si>
    <t>Oulun Osuuspankki, Isonkadun konttori ISOKATU 14, 90100 OULU</t>
  </si>
  <si>
    <t>Otto. Siltasaarenkatu 18, Helsinki</t>
  </si>
  <si>
    <t>https://en.wikipedia.org/wiki/Otto.#/media/File:OttoLogo.png</t>
  </si>
  <si>
    <t>http://otto.fi/</t>
  </si>
  <si>
    <t>Otto.  Mannerheimintie 9, Helsinki</t>
  </si>
  <si>
    <t>Otto. Venuksentie 4, Vantaa</t>
  </si>
  <si>
    <t>Otto. Kauppakatu 22, Jyväskylä</t>
  </si>
  <si>
    <t>Otto. Tullikatu 6, Tampere</t>
  </si>
  <si>
    <t>Otto. Rovakatu 23, Rovaniemi</t>
  </si>
  <si>
    <t>Otto. Kaustintie 3, Kaustinen</t>
  </si>
  <si>
    <t>Otto. Kirkkotanhua 1, Veteli</t>
  </si>
  <si>
    <t>Otto. Revellinkatu 2, Hanko</t>
  </si>
  <si>
    <t>Otto. Opintie 1, Virolahti</t>
  </si>
  <si>
    <t>Otto. Koulukatu 10, Kuhmo</t>
  </si>
  <si>
    <t>Otto. Inarintie 45, Inari</t>
  </si>
  <si>
    <t>Otto. Kauppatie 38, Pello</t>
  </si>
  <si>
    <t>Otto. Tehtaankatu 1, Oulu</t>
  </si>
  <si>
    <t>Otto. Ollintie 14, Pyhäjärvi</t>
  </si>
  <si>
    <t>Otto. Keskuspuistikko 7, Kurikka</t>
  </si>
  <si>
    <t>Otto. Närpesvägen 8, Närpiö</t>
  </si>
  <si>
    <t>Otto. Karjalankatu 5, Rauma</t>
  </si>
  <si>
    <t>Otto. Kalevantie 41, Turku</t>
  </si>
  <si>
    <t>Otto.  Von Knorringsvägen 1, Godby</t>
  </si>
  <si>
    <t>Otto. Virastopiha 1, Espoo</t>
  </si>
  <si>
    <t>Otto. Rautalammintie 11, Suonenjoki</t>
  </si>
  <si>
    <t>Otto. Kesälahdentie 30 A, Kesälahti</t>
  </si>
  <si>
    <t>Otto. Keskustie 1, Ranua</t>
  </si>
  <si>
    <t>Otto. Vanhatie 35, Utajärvi</t>
  </si>
  <si>
    <t>Otto. Kauppakatu 3, Saarijärvi</t>
  </si>
  <si>
    <t>Austria</t>
  </si>
  <si>
    <t>Austrian Airlines</t>
  </si>
  <si>
    <t>http://logodatabases.com/wp-content/uploads/2012/04/Austrian-Airlines-Logo.png</t>
  </si>
  <si>
    <t>http://www.austrian.com</t>
  </si>
  <si>
    <t>Vienna International airport</t>
  </si>
  <si>
    <t>http://www.viennaairport.com/jart/prj3/va/resources/_images/vielogo.svg</t>
  </si>
  <si>
    <t>http://www.viennaairport.com</t>
  </si>
  <si>
    <t>Hofburg</t>
  </si>
  <si>
    <t>http://www.hofburg-wien.at/fileadmin/template/img/logo/logo_hofburg.gif</t>
  </si>
  <si>
    <t>http://www.hofburg-wien.at</t>
  </si>
  <si>
    <t>Eberts</t>
  </si>
  <si>
    <t>http://www.dominikwagerer.eu/sites/default/files/styles/gallery/public/img_0870.jpg?itok=p28Z4tpT</t>
  </si>
  <si>
    <t>http://www.eberts.at</t>
  </si>
  <si>
    <t>http://www.hotelleriejobs.de/bilder/betrieb/10422/7641.jpg/200x</t>
  </si>
  <si>
    <t>http://www.skybox.at</t>
  </si>
  <si>
    <t>Experdia</t>
  </si>
  <si>
    <t>Booking</t>
  </si>
  <si>
    <t>http://travelobservers.com/wp-content/uploads/2015/10/Expedia-logo-and-wordmark.png</t>
  </si>
  <si>
    <r>
      <rPr>
        <u/>
        <sz val="11"/>
        <color rgb="FF0000FF"/>
        <rFont val="Calibri"/>
        <charset val="134"/>
      </rPr>
      <t>https://www.expedia.at/</t>
    </r>
  </si>
  <si>
    <t>http://www.mercedes-benz.at/content/austria/mpc/mpc_austria_website/de/home_mpc/passengercars.html</t>
  </si>
  <si>
    <t>Hope87</t>
  </si>
  <si>
    <t>https://upload.wikimedia.org/wikipedia/de/f/f6/HOPE'87.logo.jpg</t>
  </si>
  <si>
    <t>http://www.hope87.at/</t>
  </si>
  <si>
    <t>ETC Graz</t>
  </si>
  <si>
    <t>http://www.etc-graz.at/typo3/fileadmin/layout/logo-top.gif</t>
  </si>
  <si>
    <t>http://www.etc-graz.at/typo3/index.php</t>
  </si>
  <si>
    <t>Film Casino</t>
  </si>
  <si>
    <t>http://media.gettyimages.com/photos/general-view-of-atmosphere-at-filmcasino-wien-cinema-during-the-press-picture-id164236551</t>
  </si>
  <si>
    <t>http://www.filmcasino.at/</t>
  </si>
  <si>
    <t>Café Landtmann</t>
  </si>
  <si>
    <t>https://s3-media4.fl.yelpcdn.com/bphoto/eAZl6_O_CXWXr0mOPn5Vmg/o.jpg</t>
  </si>
  <si>
    <t>http://www.landtmann.at</t>
  </si>
  <si>
    <t>Jonas Reindl</t>
  </si>
  <si>
    <t>http://www.jonasreindl.at/wp-content/themes/jonasreindl.at/images/logo@2x.png</t>
  </si>
  <si>
    <t>http://www.jonasreindl.at</t>
  </si>
  <si>
    <t>Oko Norm</t>
  </si>
  <si>
    <t>http://www.aurichohg.de/wp-content/uploads/2012/08/oekonorm.jpg</t>
  </si>
  <si>
    <t>http://www.oekonorm.at</t>
  </si>
  <si>
    <t>BMF</t>
  </si>
  <si>
    <t>https://upload.wikimedia.org/wikipedia/commons/thumb/5/50/Bundesministerium_für_Finanzen_logo.svg/2000px-Bundesministerium_für_Finanzen_logo.svg.png</t>
  </si>
  <si>
    <t>https://www.bmf.gv.at</t>
  </si>
  <si>
    <t>Zahnarzt Dr. Werner in Wien</t>
  </si>
  <si>
    <t>http://www.drwerner.at/images/content/start/image9.jpg</t>
  </si>
  <si>
    <t>http://www.drwerner.at</t>
  </si>
  <si>
    <t>Marschall Real Estate</t>
  </si>
  <si>
    <t>http://www.amalgergasse7.wien/images/marschall_logo_gr.jpg</t>
  </si>
  <si>
    <t>http://www.marschall.at/index_ger.html?utm_source=Google&amp;utm_medium=Organic&amp;utm_campaign=Google%20My%20Business</t>
  </si>
  <si>
    <t>Jet</t>
  </si>
  <si>
    <t>https://upload.wikimedia.org/wikipedia/de/thumb/e/e5/JET.svg/220px-JET.svg.png</t>
  </si>
  <si>
    <t>http://www.jet-tankstellen.at/de/index.php</t>
  </si>
  <si>
    <t>http://www.shell.at</t>
  </si>
  <si>
    <t>http://www.easyjet.com/at/</t>
  </si>
  <si>
    <t>https://www.skyscanner.at</t>
  </si>
  <si>
    <t>Logistic Austria</t>
  </si>
  <si>
    <t>http://www.logisticsaustria.com/uploads/nr_photos/2_thump.jpg</t>
  </si>
  <si>
    <t>http://www.logisticsaustria.com/Freight_Austria</t>
  </si>
  <si>
    <t>Billa</t>
  </si>
  <si>
    <t>https://www.billa.at/WNBinaryWeb/120/4514406.png</t>
  </si>
  <si>
    <t>https://www.billa.at/Startseite/Startseite/dd_bi_mainpage.aspx</t>
  </si>
  <si>
    <t>Norma</t>
  </si>
  <si>
    <t>https://upload.wikimedia.org/wikipedia/commons/thumb/a/a5/Norma_Logo.svg/1280px-Norma_Logo.svg.png</t>
  </si>
  <si>
    <t>http://norma.at/at/angebote/</t>
  </si>
  <si>
    <t>Penny</t>
  </si>
  <si>
    <t>https://www.penny.at/wnbinaryweb/141/3595444.png</t>
  </si>
  <si>
    <t>https://www.penny.at/Homepage/Homepage_08_11_/pe_Home.aspx</t>
  </si>
  <si>
    <t>Metro</t>
  </si>
  <si>
    <t>https://www.metrogroup.de/~/assets/mag/images/logos/jpgs/metro-cash-and-carry-logo.jpg</t>
  </si>
  <si>
    <t>https://www.metro.at</t>
  </si>
  <si>
    <t>Hofer</t>
  </si>
  <si>
    <t>https://upload.wikimedia.org/wikipedia/commons/thumb/6/68/Logo_Hofer.svg/2000px-Logo_Hofer.svg.png</t>
  </si>
  <si>
    <t>https://www.hofer.at</t>
  </si>
  <si>
    <t>Euro Gym</t>
  </si>
  <si>
    <t>http://www.eurogym.at/alpha_dir/header/header_club_j.png</t>
  </si>
  <si>
    <t>http://www.eurogym.at</t>
  </si>
  <si>
    <t>Agrana</t>
  </si>
  <si>
    <t>https://upload.wikimedia.org/wikipedia/de/d/dd/Agrana_RIC_Logo_pos.png</t>
  </si>
  <si>
    <t>http://www.agrana.com/investor/agrana-group/</t>
  </si>
  <si>
    <t>Lisec</t>
  </si>
  <si>
    <t>https://www.lisec.com/typo3conf/ext/theme/Resources/Public/Template/img/logo@2x.png</t>
  </si>
  <si>
    <t>https://www.lisec.com/de/news/news.html</t>
  </si>
  <si>
    <t>Grawe</t>
  </si>
  <si>
    <t>http://www.grawe.at/static_files/grawe_at/blobs/en/Kurzlogo_RGB.jpg</t>
  </si>
  <si>
    <t>http://www.grawe.at/de/index.htm</t>
  </si>
  <si>
    <t>Fabasoft</t>
  </si>
  <si>
    <t>https://upload.wikimedia.org/wikipedia/commons/f/f5/Fabasoft-Logo.svg</t>
  </si>
  <si>
    <t>https://www.fabasoft.com/de/</t>
  </si>
  <si>
    <t xml:space="preserve">ABA Invest in Austria </t>
  </si>
  <si>
    <t>https://assets-b2matchgmbh.netdna-ssl.com/attachments/original/c5ac53b85f5e42193884fe87b4f3792c658c7eb7.jpg</t>
  </si>
  <si>
    <t>http://investinaustria.at/de/</t>
  </si>
  <si>
    <t>A1</t>
  </si>
  <si>
    <t>https://upload.wikimedia.org/wikipedia/en/thumb/2/2d/A1_Telekom_Austria_logo.svg/1280px-A1_Telekom_Austria_logo.svg.png</t>
  </si>
  <si>
    <t>https://www.a1.net</t>
  </si>
  <si>
    <t>T-Mobile</t>
  </si>
  <si>
    <t>https://www.t-mobile.nl/global/media/images/facebook/og-image.png</t>
  </si>
  <si>
    <t>http://www.t-mobile.at</t>
  </si>
  <si>
    <t>Golf Club Wien</t>
  </si>
  <si>
    <t>Golf Club</t>
  </si>
  <si>
    <t>http://www.golf.at/_img/logos/901.jpg</t>
  </si>
  <si>
    <t>http://www.gcwien.at</t>
  </si>
  <si>
    <t>https://www.ing-diba.at</t>
  </si>
  <si>
    <t>Bueroprofi</t>
  </si>
  <si>
    <t>http://www.bueroprofi.at/is-bin/intershop.static/WFS/BPAT_Partner1-partnernet-at-Site/-/de_AT/branding/Logo.gif</t>
  </si>
  <si>
    <t>http://www.bueroprofi.at/BPAT-miller/start</t>
  </si>
  <si>
    <t>Mykita</t>
  </si>
  <si>
    <t>https://competition.adesignaward.com/brands/bfc46dafa8f68bc132df5b07cd2fadee33264061.jpg</t>
  </si>
  <si>
    <t>https://mykita.com/de</t>
  </si>
  <si>
    <t>Fielmann</t>
  </si>
  <si>
    <t>https://www.dealdoktor.de/app/uploads/user_deals/Fielmann-Logo.jpg</t>
  </si>
  <si>
    <t>https://www.fielmann.at/niederlassungen/wien/1060-mariahilfer-strasse-67/</t>
  </si>
  <si>
    <t>Parken</t>
  </si>
  <si>
    <t>http://www.bergisel.info/media/media-sonstige/parkplatz-logo.jpg?m=1459254343</t>
  </si>
  <si>
    <t>http://www.parken.at/wien/</t>
  </si>
  <si>
    <t>internationale-apotheke</t>
  </si>
  <si>
    <t>http://m.internationale-apotheke.at/upload/495209_LOGO%20rund.JPG</t>
  </si>
  <si>
    <t>http://www.internationale-apotheke.at</t>
  </si>
  <si>
    <t>Gas Connect</t>
  </si>
  <si>
    <t>http://www.gasconnect.at/assets/media/images/logo.png</t>
  </si>
  <si>
    <t>http://www.gasconnect.at/en/Unser-Netz/Leitungssystem/TAG</t>
  </si>
  <si>
    <t>ruza</t>
  </si>
  <si>
    <t>http://www.rusz.at/wp-content/uploads/2016/04/website_banner.jpg</t>
  </si>
  <si>
    <t>http://www.rusz.at</t>
  </si>
  <si>
    <t>Computer Expert</t>
  </si>
  <si>
    <t>http://i.ebayimg.com/images/i/160634257844-0-1/s-l1000.jpg</t>
  </si>
  <si>
    <t>http://www.computerexpert.at/</t>
  </si>
  <si>
    <t>Fernsehdoktor</t>
  </si>
  <si>
    <t>http://www.fernsehdoktor.co.at/Index_htm_files/4542.jpg</t>
  </si>
  <si>
    <t>http://www.fernsehdoktor.co.at</t>
  </si>
  <si>
    <t>Ofenloch</t>
  </si>
  <si>
    <t>http://assets.sta.io/site_media/u/lo/2009/12/14/logo.gif</t>
  </si>
  <si>
    <t>http://www.restaurant-ofenloch.at/de/</t>
  </si>
  <si>
    <t>Mrs. Ilona Stüberl</t>
  </si>
  <si>
    <t>http://www.pauli.at/wp-content/cache/images/ilona-1/ilona-1-2431544878.jpg</t>
  </si>
  <si>
    <t>http://www.ilonastueberl.at/index.php/de/geschichte</t>
  </si>
  <si>
    <t>Al Borgo</t>
  </si>
  <si>
    <t>http://www.alborgo.to/en/wp-content/themes/alborgo/images/logo.png</t>
  </si>
  <si>
    <t>http://www.alborgo.at/de/</t>
  </si>
  <si>
    <t>lola tapes</t>
  </si>
  <si>
    <t>http://hmsholidays.es/index.php?option=com_jomholiday&amp;format=raw&amp;task=image&amp;ac=4/3&amp;dir=.&amp;src=1609010802141.jpg</t>
  </si>
  <si>
    <t>http://www.lolatapas.at/</t>
  </si>
  <si>
    <t>Plachutta</t>
  </si>
  <si>
    <t>http://www.kobzaintegra.com/wp-content/uploads/2015/08/plachutta.jpg</t>
  </si>
  <si>
    <t>https://www.plachutta.at/de/home/</t>
  </si>
  <si>
    <t>Sperl</t>
  </si>
  <si>
    <t>http://images-resrc.staticlp.com/S=W748/O=75/http://www.lonelyplanet.com/travel-blog/tip-article/wordpress_uploads/2014/07/Hotel-Bazar.jpg</t>
  </si>
  <si>
    <t>http://www.restaurant-sperl.at/</t>
  </si>
  <si>
    <t>https://www.burgerking.at/</t>
  </si>
  <si>
    <t>Neni</t>
  </si>
  <si>
    <t>http://neni.at/booking/application/img/koch_logo_lg.jpg</t>
  </si>
  <si>
    <t>http://neni.at/</t>
  </si>
  <si>
    <t>Pizza Grill</t>
  </si>
  <si>
    <t>http://www.pizza-grill.at/upload/imgproc/781711_head.png</t>
  </si>
  <si>
    <t>http://www.pizza-grill.at/</t>
  </si>
  <si>
    <t>http://www.mcdonalds.at/</t>
  </si>
  <si>
    <t>Zinas</t>
  </si>
  <si>
    <t>https://pbs.twimg.com/profile_images/378800000062416477/45519ae51531e466cd5e618a52a01364_400x400.png</t>
  </si>
  <si>
    <t>http://www.zinas.at/</t>
  </si>
  <si>
    <t>Happy Buddha</t>
  </si>
  <si>
    <t>http://happybuddha.co.at/logo.png</t>
  </si>
  <si>
    <t>http://happybuddha.co.at/</t>
  </si>
  <si>
    <t>https://upload.wikimedia.org/wikipedia/commons/thumb/5/50/Bundesministerium_f%C3%BCr_Finanzen_logo.svg/2000px-Bundesministerium_f%C3%BCr_Finanzen_logo.svg.png</t>
  </si>
  <si>
    <t>https://www.bmf.gv.at/</t>
  </si>
  <si>
    <t>Post</t>
  </si>
  <si>
    <t>https://www.post.at/img/POST_LOGO.jpg</t>
  </si>
  <si>
    <t>https://www.post.at/?gclid=CL-Lwd6nmdACFQEM0wodIxUJnw</t>
  </si>
  <si>
    <t>ING</t>
  </si>
  <si>
    <r>
      <rPr>
        <u/>
        <sz val="11"/>
        <color rgb="FF0000FF"/>
        <rFont val="Calibri"/>
        <charset val="134"/>
      </rPr>
      <t>https://www.ing.at</t>
    </r>
  </si>
  <si>
    <t>Vienna International School</t>
  </si>
  <si>
    <t>https://media.licdn.com/mpr/mpr/shrink_200_200/p/1/005/061/0d3/14e19dd.png</t>
  </si>
  <si>
    <t>http://www.vis.ac.at/</t>
  </si>
  <si>
    <t>SIX</t>
  </si>
  <si>
    <t>http://www.ktc-rostock.de/upload/angebote/original/172.jpg</t>
  </si>
  <si>
    <t>http://www.click-six.com</t>
  </si>
  <si>
    <t>Toys R Us</t>
  </si>
  <si>
    <t>http://logok.org/wp-content/uploads/2014/12/Toysrus-logo-previous.png</t>
  </si>
  <si>
    <t>http://www.toysrus.at/home/index.jsp?categoryId=3994391</t>
  </si>
  <si>
    <t>Thalia</t>
  </si>
  <si>
    <t>http://gutscheine.computerbild.de/uploads/logos/thalia-de.jpg</t>
  </si>
  <si>
    <t>http://www.thalia.at/shop/home/show/</t>
  </si>
  <si>
    <t>Manner</t>
  </si>
  <si>
    <t>http://www.manner.com/sites/brand/files/styles/adaptive/public/1382/default_image.png?itok=1aKScWMT</t>
  </si>
  <si>
    <t>http://www.manner.com</t>
  </si>
  <si>
    <t>Sisi Vienna</t>
  </si>
  <si>
    <t>https://www.sisi-shop.at/skin/frontend/webteam/schoenbrunn/images/logo_sisi_shop.jpg</t>
  </si>
  <si>
    <t>http://www.sisi-vienna.at/sisi-vienna.html</t>
  </si>
  <si>
    <t>Amicis</t>
  </si>
  <si>
    <t>http://www.headline.at/headline/dynFiles/clId67_amicis_anzeigen.jpg</t>
  </si>
  <si>
    <t>http://www.amicis.at</t>
  </si>
  <si>
    <t>http://www.hm.com/at</t>
  </si>
  <si>
    <t>Steffi</t>
  </si>
  <si>
    <t>http://www.steffl-vienna.at/wp-content/themes/steffl/library/images/STEFFL-Vienna-Logo.gif</t>
  </si>
  <si>
    <t>http://www.steffl-vienna.at</t>
  </si>
  <si>
    <t>http://www.zara.com/at/</t>
  </si>
  <si>
    <t>http://www.thebodyshop.at</t>
  </si>
  <si>
    <t>https://www.maccosmetics.at</t>
  </si>
  <si>
    <r>
      <rPr>
        <u/>
        <sz val="11"/>
        <color rgb="FF0000FF"/>
        <rFont val="Calibri"/>
        <charset val="134"/>
      </rPr>
      <t>https://www.amazon.at</t>
    </r>
  </si>
  <si>
    <t>Mueller</t>
  </si>
  <si>
    <t>https://www.mueller-drogerie.at/fileadmin/mount/de/downloads_media/Slogan_cmyk.gif</t>
  </si>
  <si>
    <t>http://www.mueller-drogerie.at/sortiment/parfuemerie/parfuemerie-uebersicht0.html</t>
  </si>
  <si>
    <t>Gerngross</t>
  </si>
  <si>
    <t>http://www.gerngross.at/assets/web/img/gerngross/share_logo.jpg</t>
  </si>
  <si>
    <t>http://www.gerngross.at/de</t>
  </si>
  <si>
    <t>Österreichischen Werkstätten</t>
  </si>
  <si>
    <t>https://www.austrianarts.com/img/7c/42/049ead638d219febdbd4/-_W_LOGO.png</t>
  </si>
  <si>
    <t>https://www.austrianarts.com/online-shop</t>
  </si>
  <si>
    <t>peek-cloppenburg</t>
  </si>
  <si>
    <t>https://upload.wikimedia.org/wikipedia/commons/2/27/Logo_Peek_%26_Cloppenburg.svg</t>
  </si>
  <si>
    <t>https://www.peek-cloppenburg.at</t>
  </si>
  <si>
    <t>C&amp;A</t>
  </si>
  <si>
    <t>http://online-shopping-blog.de/wp-content//canda-cunda.png</t>
  </si>
  <si>
    <t>http://www.c-and-a.com/at/de/shop/index.html</t>
  </si>
  <si>
    <t>Cyberport</t>
  </si>
  <si>
    <t>https://upload.wikimedia.org/wikipedia/de/b/bb/Cyberport_Logo.svg</t>
  </si>
  <si>
    <t>https://www.cyberport.at/wien</t>
  </si>
  <si>
    <t>Ditech</t>
  </si>
  <si>
    <t>https://upload.wikimedia.org/wikipedia/de/a/a5/DiTech_-_Logo.svg</t>
  </si>
  <si>
    <t>http://www.ditech.at/shop/index.php</t>
  </si>
  <si>
    <t>Redzac</t>
  </si>
  <si>
    <t>http://www.roteskreuz.at/uploads/pics/Logo_Red_Zac.jpg</t>
  </si>
  <si>
    <t>http://www.redzac.at/info/portal/ZacCenter/main.ipm</t>
  </si>
  <si>
    <t>Dool's Blumen</t>
  </si>
  <si>
    <t>http://www.florist.at/images/slides/home_01.jpg</t>
  </si>
  <si>
    <t>http://www.florist.at</t>
  </si>
  <si>
    <t>Mastnak</t>
  </si>
  <si>
    <t>http://www.mastnak.at/images/mastnak-logo.png</t>
  </si>
  <si>
    <t>http://www.mastnak.at</t>
  </si>
  <si>
    <t>https://upload.wikimedia.org/wikipedia/en/7/71/Bauhaus_logo.svg</t>
  </si>
  <si>
    <t>https://www.bauhaus.at</t>
  </si>
  <si>
    <t>Scandinavian design House</t>
  </si>
  <si>
    <t>http://sdhouse.ro/wp-content/themes/sdh/assets/images/logo.svg</t>
  </si>
  <si>
    <t>http://www.scandinaviandesignhouse.at</t>
  </si>
  <si>
    <t>Kare Design</t>
  </si>
  <si>
    <t>http://deconlinestore.com/media/wysiwyg/kare/KARE_Logo_3D.jpg</t>
  </si>
  <si>
    <t>https://www.kare-design.com/at/de/</t>
  </si>
  <si>
    <t>Nativo</t>
  </si>
  <si>
    <t>https://d2gn4xht817m0g.cloudfront.net/p/product_screenshots/images/preview505/000/215/691/215691-ebafb7f688e4cf4c3af89b7e6f8b612fcdd5a22c.jpg?1378840958</t>
  </si>
  <si>
    <t>https://nativo.at</t>
  </si>
  <si>
    <t>http://www.ikea.com/at/de/</t>
  </si>
  <si>
    <t>Frey Wille</t>
  </si>
  <si>
    <t>http://www.thelanesofmayfair.com/system/wp-content/uploads/20111130173330Schmuck_logo_frey_wille.png</t>
  </si>
  <si>
    <t>http://www.freywille.com/deutsch/?welcome=1&amp;continent=DE</t>
  </si>
  <si>
    <t>https://i0.wp.com/www.nookmag.com/wp-content/uploads/2012/05/logo-mango.jpg</t>
  </si>
  <si>
    <t>http://shop.mango.com/AT</t>
  </si>
  <si>
    <t>http://disney.at</t>
  </si>
  <si>
    <t>woka</t>
  </si>
  <si>
    <t>https://www.woka.com/files/theme-woka/fe-assets/woka-logo.svg</t>
  </si>
  <si>
    <t>https://www.woka.com/de/</t>
  </si>
  <si>
    <t>Anno</t>
  </si>
  <si>
    <t>http://archive.is/tBEg2/e6d3b00999f0cf6d3a8463a54dfb72e04e2cb791/thumb.png</t>
  </si>
  <si>
    <t>http://anno.onb.ac.at</t>
  </si>
  <si>
    <t>Zapateria</t>
  </si>
  <si>
    <t>http://zapateriaguerrero.com/wp-content/uploads/dt_uploads/1413913170_mobile_logo.png</t>
  </si>
  <si>
    <t>http://zapateria.at</t>
  </si>
  <si>
    <t>Shu</t>
  </si>
  <si>
    <t>http://cdncf-au.fluidretail.net/customers/c1467/56/60/-1/27/38/generated/5660-12738_TAN_01_330x430.jpg</t>
  </si>
  <si>
    <t>http://www.shu.at</t>
  </si>
  <si>
    <t>Inter Sport</t>
  </si>
  <si>
    <t>http://at.sportsdirect.com/images/sportsdirect2016-stacked.svg</t>
  </si>
  <si>
    <t>http://at.sportsdirect.com</t>
  </si>
  <si>
    <t>http://www.sky.at</t>
  </si>
  <si>
    <t>Sans Souci wien</t>
  </si>
  <si>
    <t>https://www.conferencehotelgroup.com/img/hotels/logos/1032/Logo_mit_Schriftzug_RGB1.jpg</t>
  </si>
  <si>
    <t>http://www.sanssouci-wien.com/en/index.html</t>
  </si>
  <si>
    <t>AHT</t>
  </si>
  <si>
    <t>https://www.greentech.at/wp-content/uploads/eco-import/logo/187/AHT_Logo_Claim_NEU_2010.jpg</t>
  </si>
  <si>
    <t>http://www.aht.at/en/</t>
  </si>
  <si>
    <t>Conrad</t>
  </si>
  <si>
    <t>http://www.conrad.com/images/default/default/conrad.gif</t>
  </si>
  <si>
    <t>https://www.conrad.at/?cmp=header_com_austria</t>
  </si>
  <si>
    <t>Pizza Mari</t>
  </si>
  <si>
    <t>https://s3-media2.fl.yelpcdn.com/bphoto/Dlifs5Cd4CnrOIY2bJYhVw/o.jpg</t>
  </si>
  <si>
    <t>http://www.pizzamari.at/home.html</t>
  </si>
  <si>
    <t>Tele2</t>
  </si>
  <si>
    <t>https://www.tele2.at/sites/default/files/tele2_logo_schwarz_300dpi_1.png</t>
  </si>
  <si>
    <t>https://www.tele2.at</t>
  </si>
  <si>
    <t>http://images.google.de/imgres?imgurl=https://www.marketbeat.com/logos/t-mobile-us-inc-logo.jpg&amp;imgrefurl=https://www.marketbeat.com/stocks/NASDAQ/TMUS/&amp;h=1276&amp;w=5547&amp;tbnid=-cx8an4r2esjZM:&amp;vet=1&amp;tbnh=90&amp;tbnw=391&amp;docid=DOVtTf3uGu6HqM&amp;client=safari&amp;usg=__jxKisotnzSqdGMw3YSDix3bWVDA=&amp;sa=X&amp;ved=0ahUKEwjptZmclJ7QAhWGyRQKHfYeDwEQ9QEIKDAC</t>
  </si>
  <si>
    <t>UPC</t>
  </si>
  <si>
    <t>https://upload.wikimedia.org/wikipedia/en/thumb/4/4c/UPC_logo.svg/560px-UPC_logo.svg.png</t>
  </si>
  <si>
    <t>http://www.upc.at</t>
  </si>
  <si>
    <t>Oe ticket</t>
  </si>
  <si>
    <t>http://www.oeticket.com/obj/media/AT-eventim/footer/logo/oeticket_4c_pos.png</t>
  </si>
  <si>
    <t>http://www.oeticket.com</t>
  </si>
  <si>
    <t xml:space="preserve">Terawatt </t>
  </si>
  <si>
    <t>http://www.terawatt.at/images/hg/logo2.jpg</t>
  </si>
  <si>
    <t>http://www.terawatt.at/EN/company.html</t>
  </si>
  <si>
    <t>OEBB</t>
  </si>
  <si>
    <t>http://www.oebb.at/en/leistungen-und-services/im-zug/barrierefreies-reisen</t>
  </si>
  <si>
    <t>Verdund</t>
  </si>
  <si>
    <t>http://logosandbrands.directory/wp-content/themes/directorypress/thumbs/Verbund-logo.jpg</t>
  </si>
  <si>
    <t>https://www.verbund.com/de-at/privatkunden</t>
  </si>
  <si>
    <t>E-Control</t>
  </si>
  <si>
    <t>https://www.e-control.at/econtrol-frontend-theme/images/E-control_logo_full.svg</t>
  </si>
  <si>
    <t>https://www.e-control.at/web/website</t>
  </si>
  <si>
    <t>Wien</t>
  </si>
  <si>
    <t>https://www.wien.gv.at/multimedia/podcast/wienat-logo.png</t>
  </si>
  <si>
    <t>https://www.wien.gv.at</t>
  </si>
  <si>
    <t>Yatch Club Austria</t>
  </si>
  <si>
    <t>http://www.yca.at/fileadmin/Allgemein/Aktivitaeten/images/Logo_YCA.png</t>
  </si>
  <si>
    <t>http://www.yca.at/nc/</t>
  </si>
  <si>
    <t>netherland</t>
  </si>
  <si>
    <t>KLM Airlines</t>
  </si>
  <si>
    <t>http://logok.org/wp-content/uploads/2015/01/KLM-Royal-Dutch-Airlines-Logo.png</t>
  </si>
  <si>
    <t>https://www.klm.com/home/nl/nl</t>
  </si>
  <si>
    <t>http://www.easyjet.com/nl</t>
  </si>
  <si>
    <t>Schiphol</t>
  </si>
  <si>
    <t>https://www.eiseverywhere.com/file_uploads/0f87d38c03dce2e8818a828f12b9f92a_schiphol-logo.png</t>
  </si>
  <si>
    <t>http://www.schiphol.nl</t>
  </si>
  <si>
    <t>Van gogh Museum</t>
  </si>
  <si>
    <t>attraction Amsterdam</t>
  </si>
  <si>
    <t>https://www.vangoghmuseum.nl/static/img/logo-vangogh-museum.png</t>
  </si>
  <si>
    <t>https://www.vangoghmuseum.nl/nl</t>
  </si>
  <si>
    <t>http://minimaps.net/wp-content/uploads/2015/05/belushies.jpg</t>
  </si>
  <si>
    <t>http://www.belushis.com/bars/amsterdam</t>
  </si>
  <si>
    <t>https://secure.booking.com/nl/</t>
  </si>
  <si>
    <t>https://www.mercedes-benz.com/nl/</t>
  </si>
  <si>
    <t>Stichting bio</t>
  </si>
  <si>
    <t>http://www.stichtingbio.nl/Portals/18/Skins/Bio/img/logo-bio.png</t>
  </si>
  <si>
    <t>http://www.stichtingbio.nl</t>
  </si>
  <si>
    <t>Transparency</t>
  </si>
  <si>
    <t>http://www.csr360gpn.org/uploads/images/news/Transparency-International_logo_ok.jpg</t>
  </si>
  <si>
    <t>http://www.transparency.nl</t>
  </si>
  <si>
    <t>Pathe</t>
  </si>
  <si>
    <t>https://pbs.twimg.com/profile_images/1745576775/Pathelogo.png</t>
  </si>
  <si>
    <t>https://www.pathe.nl/bioscoop/eindhoven</t>
  </si>
  <si>
    <t>Damkring Coffee Shop</t>
  </si>
  <si>
    <t>http://amsterdam-coffee-shops.com/wp-content/uploads/dampkring-original-amsterdam-logo.jpg</t>
  </si>
  <si>
    <t>http://dampkring-coffeeshop-amsterdam.nl</t>
  </si>
  <si>
    <t>Coffee Shop Ibiza</t>
  </si>
  <si>
    <t>https://lh3.googleusercontent.com/-EYI0UxUV2g0/AAAAAAAAAAI/AAAAAAAAAAA/t2kvZbRXwTE/photo.jpg</t>
  </si>
  <si>
    <t>http://www.coffeeshopibiza.com/nl/</t>
  </si>
  <si>
    <t>Dorma</t>
  </si>
  <si>
    <t>http://rkfacade.in/images/LOGO/Hardware/dorma_logo.jpg</t>
  </si>
  <si>
    <t>http://www.dorma.com/nl/</t>
  </si>
  <si>
    <t>Belastingdienst</t>
  </si>
  <si>
    <t>http://www.formulierhulp.nl/images/logos/Belastingdienst.jpg</t>
  </si>
  <si>
    <t>http://www.belastingdienst.nl/wps/wcm/connect/nl/home/home</t>
  </si>
  <si>
    <t>De Zuid As</t>
  </si>
  <si>
    <t>http://www.tandartspraktijk-dezuidas.nl/img/Zuidas_logo.png</t>
  </si>
  <si>
    <t>http://www.tandartspraktijk-dezuidas.nl/index_uk.php?gclid=CjwKEAiA6YDBBRDwtpTQnYzx5lASJAC57ObMToi9lOdXzKyY46NEb3OSN6bYQWYY1n18eLsm4oRAkhoCbSbw_wcB</t>
  </si>
  <si>
    <t>Perfect Housing</t>
  </si>
  <si>
    <t>https://images.justlanded.com/directory_images/Netherlands_North-Holland_Amsterdam/9/Perfect-Real-Estate/photo/scaled_85702_39165_logo.jpg</t>
  </si>
  <si>
    <t>https://www.perfecthousing.com/nl/</t>
  </si>
  <si>
    <t>http://www.esso.nl</t>
  </si>
  <si>
    <t>http://www.shell.nl</t>
  </si>
  <si>
    <t>http://www.easyjet.com/nl/</t>
  </si>
  <si>
    <t>https://www.skyscanner.nl</t>
  </si>
  <si>
    <t>The Freight Hero</t>
  </si>
  <si>
    <t>https://www.thefreighthero.nl/storage/freighthero_logo.png</t>
  </si>
  <si>
    <t>https://www.thefreighthero.nl/?gclid=CjwKEAiA6YDBBRDwtpTQnYzx5lASJAC57ObMXdYUgXB7yjJszr_WfmJtAgJ0SqQjwdjnJMawM80H_xoCAJDw_wcB</t>
  </si>
  <si>
    <t>Albert Heijn</t>
  </si>
  <si>
    <t>https://www.lindafoundation.nl/wp-content/uploads/2014/11/Linda-Foundation-logo-Albert-Heijn.jpg</t>
  </si>
  <si>
    <t>http://www.ah.nl</t>
  </si>
  <si>
    <t>Boni Supermarkt</t>
  </si>
  <si>
    <t>http://www.levensmiddelenkrant.nl/sites/default/files/nieuws/boni_logo-a900x525.jpg</t>
  </si>
  <si>
    <t>http://www.bonisupermarkt.nl</t>
  </si>
  <si>
    <t>http://www.lidl.nl/nl/index.htm</t>
  </si>
  <si>
    <t>Dagwinkel</t>
  </si>
  <si>
    <t>https://pbs.twimg.com/profile_images/1700840082/DW_Logo_Pay-Off__RGB__v250311.jpg</t>
  </si>
  <si>
    <t>http://www.dagwinkelvreeswijk.nl</t>
  </si>
  <si>
    <t>Plus</t>
  </si>
  <si>
    <t>https://www.biernet.nl/images/winkel/1254-plus-logo.jpg</t>
  </si>
  <si>
    <t>https://www.plus.nl</t>
  </si>
  <si>
    <t>http://logos-download.com/wp-content/uploads/2016/05/Coop_logo_Netherlands.png</t>
  </si>
  <si>
    <t>https://www.coop.nl</t>
  </si>
  <si>
    <t>Basic-Fit</t>
  </si>
  <si>
    <t>http://www.europeactive.eu/sites/default/files/blog/basic.jpg</t>
  </si>
  <si>
    <t>http://www.basic-fit.com/nl-nl/sportscholen?keyword=amsterdam&amp;gclid=CjwKEAiA6YDBBRDwtpTQnYzx5lASJAC57ObM_iQcyGzD4iaWCBzDIHbK6o-jh_tGnqOdOM0xXKOiGBoCYOrw_wcB</t>
  </si>
  <si>
    <t>Dutch Poulty Centre</t>
  </si>
  <si>
    <t>http://www.dutchpoultrycentre.nl/images/dpc_logo.png</t>
  </si>
  <si>
    <t>http://www.dutchpoultrycentre.nl/preferred-partners/productverwerking</t>
  </si>
  <si>
    <t>Rexroth bosch Group</t>
  </si>
  <si>
    <t>https://upload.wikimedia.org/wikipedia/commons/thumb/b/b4/Bosch_Rexroth.svg/2000px-Bosch_Rexroth.svg.png</t>
  </si>
  <si>
    <t>https://www.boschrexroth.com/nl/nl/</t>
  </si>
  <si>
    <t>Univé Verzekeringen</t>
  </si>
  <si>
    <t>https://upload.wikimedia.org/wikipedia/commons/1/1a/Unive_logo.svg</t>
  </si>
  <si>
    <t>https://www.unive.nl/woonverzekering?adid=154490090573&amp;utm_medium=SEA&amp;utm_source=SEA201407011&amp;advconnect=1568619449-15838321-35744686735-kwd-31032570&amp;ds_lpt_start&amp;ds_lpt_param0=15838321&amp;ds_lpt_param1=35744686735&amp;ds_lpt_param2=kwd-31032570&amp;ds_lpt_end&amp;gclid=CjwKEAiA6YDBBRDwtpTQnYzx5lASJAC57ObM6aDnS3nGQj_tDW2tItVUXicY06FPMuuE7yyzkisU3xoCBXHw_wcB</t>
  </si>
  <si>
    <t>tranfer Solutions</t>
  </si>
  <si>
    <t>https://www.transfer-solutions.com/wp-content/themes/transfersolutions/images/logo.png</t>
  </si>
  <si>
    <t>https://www.transfer-solutions.com</t>
  </si>
  <si>
    <t>NVM</t>
  </si>
  <si>
    <t>http://krk.nl/content/KRK/thumbnails/1031995_NVM-logo.jpg</t>
  </si>
  <si>
    <t>https://www.nvm.nl</t>
  </si>
  <si>
    <t>https://www.vodafone.nl/</t>
  </si>
  <si>
    <t>www.t-mobile.nl</t>
  </si>
  <si>
    <t>Golf Club Anderstein</t>
  </si>
  <si>
    <t>https://www.golfclubanderstein.nl/wp-content/uploads/2015/08/logo-Anderstein.jpg</t>
  </si>
  <si>
    <t>https://www.golfclubanderstein.nl</t>
  </si>
  <si>
    <t>https://www.ing.nl/particulier/index.html</t>
  </si>
  <si>
    <t>Discount Oddice</t>
  </si>
  <si>
    <t>http://www.fecit.nl/images/gallery/46/973X786/DiscountOffice-Logo.png</t>
  </si>
  <si>
    <t>https://discountoffice.nl/?gclid=CjwKEAiA6YDBBRDwtpTQnYzx5lASJAC57ObMUbcLLwbmwjuqBhBmo11dp5I7KkKSSyVgezV5gcLZmBoCHPTw_wcB</t>
  </si>
  <si>
    <t>Polette</t>
  </si>
  <si>
    <t>http://www.polette.com/skin/frontend/lusinealunettes/default/images/polette_logo.png?v=2</t>
  </si>
  <si>
    <t>http://www.polette.com/nl</t>
  </si>
  <si>
    <t>Oog in oog</t>
  </si>
  <si>
    <t>http://www.ooginoog.nl/files/thumbnails/oio-logo-1.350x0.png</t>
  </si>
  <si>
    <t>http://www.ooginoog.nl</t>
  </si>
  <si>
    <t>Q-Park</t>
  </si>
  <si>
    <t>http://www.q-park.co.uk/Portals/7/Park%20Scan%20and%20Save_thumb.jpg</t>
  </si>
  <si>
    <t>https://reserveren.q-park.nl/nl-NL/Parkings/Amsterdam/Byzantium</t>
  </si>
  <si>
    <t>Benu Apotheek</t>
  </si>
  <si>
    <t>https://media.licdn.com/media/p/6/000/1f6/276/0cc2863.png</t>
  </si>
  <si>
    <t>https://dam.benuapotheek.nl/Default.asp?&amp;HTTPSHASH=</t>
  </si>
  <si>
    <t>MRC Golbal</t>
  </si>
  <si>
    <t>http://www.mrcglobal.com/Europe/nl</t>
  </si>
  <si>
    <t>Laptop King</t>
  </si>
  <si>
    <t>https://pbs.twimg.com/profile_images/2218383657/LaptopKing_Logo_avatar.png</t>
  </si>
  <si>
    <t>http://www.laptopkings.nl</t>
  </si>
  <si>
    <t>Fix It</t>
  </si>
  <si>
    <t>http://www.fixit-witgoed.nl/wp-content/uploads/2013/09/reparatie.png</t>
  </si>
  <si>
    <t>http://www.fixit-witgoed.nl</t>
  </si>
  <si>
    <t>La Rive</t>
  </si>
  <si>
    <t>https://pbs.twimg.com/profile_images/709832547145011200/a-IOStuK.jpg</t>
  </si>
  <si>
    <t>http://www.restaurantlarive.nl/nl/</t>
  </si>
  <si>
    <t>Daalder Amsterdam</t>
  </si>
  <si>
    <t>http://www.daalderamsterdam.nl/Restaurants/restaurantdaalderamsterdam/Logo/logo_daalder_scherp.png</t>
  </si>
  <si>
    <t>http://www.daalderamsterdam.nl</t>
  </si>
  <si>
    <t>Bridges</t>
  </si>
  <si>
    <t>http://bridgesrestaurantnl.webhosting.be/en/wp-content/themes/modernize/images/default-logo.png</t>
  </si>
  <si>
    <t>http://www.bridgesrestaurant.nl</t>
  </si>
  <si>
    <t>Vinkeles</t>
  </si>
  <si>
    <t>http://www.alliance.nl/images/restaurants/vinkeles-logo.jpg</t>
  </si>
  <si>
    <t>https://www.vinkeles.com</t>
  </si>
  <si>
    <t>Long Pura</t>
  </si>
  <si>
    <t>http://www.eatdrinketc.com/photos/rad99A58.jpg</t>
  </si>
  <si>
    <t>http://www.restaurant-longpura.com</t>
  </si>
  <si>
    <t>Bazar</t>
  </si>
  <si>
    <t>http://www.hotelbazar.nl</t>
  </si>
  <si>
    <t>http://burgerking.nl</t>
  </si>
  <si>
    <t>Mangiancora Amsterdam</t>
  </si>
  <si>
    <t>http://uploads.ninadinners.nl/2012/04/Houtoven-pizzeria-MangiAncora-Amsterdam.jpg</t>
  </si>
  <si>
    <t>http://www.mangiancora-amsterdam.nl</t>
  </si>
  <si>
    <t>http://www.pizzahut.nl</t>
  </si>
  <si>
    <t>http://www.mcdonalds.nl</t>
  </si>
  <si>
    <t>Bakers and Roasters</t>
  </si>
  <si>
    <t>http://www.bakersandroasters.com/restaurants/bakersandroasters/img/web/bird1f_300px.gif</t>
  </si>
  <si>
    <t>http://www.bakersandroasters.com</t>
  </si>
  <si>
    <t>Midtown Grill</t>
  </si>
  <si>
    <t>http://www.midtowngrill.nl/wp-content/themes/midtowngrill/images/header/logo_new.png</t>
  </si>
  <si>
    <t>http://www.midtowngrill.nl</t>
  </si>
  <si>
    <t>http://www.belastingdienst.nl/wps/wcm/connect/bldcontenten/belastingdienst/individuals/cars/bpm/bpm</t>
  </si>
  <si>
    <t>Post nl</t>
  </si>
  <si>
    <t>http://www.postnl.com/img/logo.png</t>
  </si>
  <si>
    <t>https://www.postnl.nl/locatiewijzer/#/?centerLat=52.304862&amp;centerLng=4.945830999999998&amp;zoom=8</t>
  </si>
  <si>
    <t>British School of Amsterdam</t>
  </si>
  <si>
    <t>https://secure.aadcdn.microsoftonline-p.com/c1c6b6c8-umzlrm8lnkiwzjsq7jixvpqtwpxar46av2l8ahgcij4/logintenantbranding/0/tilelogo?ts=635721234678357397</t>
  </si>
  <si>
    <t>http://www.britams.nl</t>
  </si>
  <si>
    <t>Bugaboo</t>
  </si>
  <si>
    <t>http://site.pishposhbaby.com/blog/wp-content/uploads/2014/01/bugaboo-logo.png</t>
  </si>
  <si>
    <t>https://www.bugaboo.com/NL/nl_NL/store-locator</t>
  </si>
  <si>
    <t>Java Bookshop</t>
  </si>
  <si>
    <t>https://pbs.twimg.com/profile_images/1429078083/javabookshop_logoM.jpg</t>
  </si>
  <si>
    <t>http://www.javabookshop.nl/java.html</t>
  </si>
  <si>
    <t>Puccini Bomboni</t>
  </si>
  <si>
    <t>https://puccinibomboni.com/app/uploads/2015/12/header-logo@2x.png</t>
  </si>
  <si>
    <t>https://puccinibomboni.com</t>
  </si>
  <si>
    <t>Scotch &amp; Soda</t>
  </si>
  <si>
    <t>https://upload.wikimedia.org/wikipedia/commons/2/26/Scotch_and_Soda_logo.gif</t>
  </si>
  <si>
    <t>https://www.scotch-soda.com/nl/nl/dames/rokken</t>
  </si>
  <si>
    <t>Patta</t>
  </si>
  <si>
    <t>http://www.brandsoftheworld.com/sites/default/files/styles/logo-thumbnail/public/022012/patta.png?itok=GzPMVOPX</t>
  </si>
  <si>
    <t>https://www.patta.nl</t>
  </si>
  <si>
    <t>https://de.allsaints.com/?gclid=CjwKEAiA6YDBBRDwtpTQnYzx5lASJAC57ObMWjkBMK7QFAgiqD1f3QWmnahPCAHRBcty3QEdWVVI1BoC8UDw_wcB</t>
  </si>
  <si>
    <t>C &amp; A</t>
  </si>
  <si>
    <t>http://www.c-and-a.com/nl/nl/shop/index.html</t>
  </si>
  <si>
    <t>http://www.zara.com/nl/</t>
  </si>
  <si>
    <t>http://www.thebodyshop.nl/#</t>
  </si>
  <si>
    <r>
      <rPr>
        <u/>
        <sz val="11"/>
        <color rgb="FF0000FF"/>
        <rFont val="Calibri"/>
        <charset val="134"/>
      </rPr>
      <t>https://www.amazon.nl</t>
    </r>
  </si>
  <si>
    <t>Hutspot</t>
  </si>
  <si>
    <t>http://www.innitmagazine.com/wp-content/uploads/2013/02/HUTSPOT-LOGO-11-11-12.jpg</t>
  </si>
  <si>
    <t>http://www.hutspotamsterdam.com</t>
  </si>
  <si>
    <t>http://www.citycentrum.nl/assets/Uploads/Winkels/hema.jpg</t>
  </si>
  <si>
    <t>http://www.hema.nl</t>
  </si>
  <si>
    <t>de Dijenkorf</t>
  </si>
  <si>
    <t>http://wccc2016.com/wp-content/uploads/2016/07/Logo-de-Bijenkorf.jpg</t>
  </si>
  <si>
    <t>https://www.debijenkorf.nl</t>
  </si>
  <si>
    <t>Home is</t>
  </si>
  <si>
    <t>http://www.homeis.nl/images/home-logo.png</t>
  </si>
  <si>
    <t>http://www.homeis.nl</t>
  </si>
  <si>
    <t>Dept</t>
  </si>
  <si>
    <t>https://pbs.twimg.com/profile_images/470324338/DEPT_NEW_LOGO_PMS5487.jpg</t>
  </si>
  <si>
    <t>https://www.deptwomen.com</t>
  </si>
  <si>
    <t>http://www.chanel.com/nl_NL/</t>
  </si>
  <si>
    <t>https://upload.wikimedia.org/wikipedia/commons/thumb/8/83/Conrad-Electronic-Logo.svg/2000px-Conrad-Electronic-Logo.svg.png</t>
  </si>
  <si>
    <t>https://www.conrad.nl/?cmp=header_com_netherlands</t>
  </si>
  <si>
    <t>Hecke</t>
  </si>
  <si>
    <t>https://www.hecke.com/802-thickbox_default/velleman-dvm9912-digitale-multimeter.jpg</t>
  </si>
  <si>
    <t>https://www.hecke.com</t>
  </si>
  <si>
    <t>https://www.euronics.nl</t>
  </si>
  <si>
    <t>Ivy</t>
  </si>
  <si>
    <t>http://www.brandcrowd.com/gallery/brands/pictures/picture12245814342015.jpg</t>
  </si>
  <si>
    <t>http://www.ivy.nl</t>
  </si>
  <si>
    <t>Paperchase</t>
  </si>
  <si>
    <t>https://www.cheapsideprivilegecard.co.uk/wp-content/uploads/2014/08/Paperchase-Logo.jpg</t>
  </si>
  <si>
    <t>http://www.paperchase.eu</t>
  </si>
  <si>
    <t>gamma</t>
  </si>
  <si>
    <t>https://upload.wikimedia.org/wikipedia/commons/2/2a/Gamma_logo_2010.png</t>
  </si>
  <si>
    <t>https://www.gamma.nl</t>
  </si>
  <si>
    <t>Odesi</t>
  </si>
  <si>
    <t>http://www.odesi.nl/media/wysiwyg/Beeldmerken/195_odesi.jpg</t>
  </si>
  <si>
    <t>http://www.odesi.nl</t>
  </si>
  <si>
    <t>moooi</t>
  </si>
  <si>
    <t>http://www.cserni.at/fileadmin/public/images/logo-20moooi_sw.jpg</t>
  </si>
  <si>
    <t>https://www.moooi.com</t>
  </si>
  <si>
    <t xml:space="preserve"> Friday Next Shop</t>
  </si>
  <si>
    <t>https://lh4.googleusercontent.com/-IlOdomKL3hA/AAAAAAAAAAI/AAAAAAAAADQ/LTvx7ctIfYI/photo.jpg</t>
  </si>
  <si>
    <t>https://www.fridaynextshop.com/nl/23-interieur</t>
  </si>
  <si>
    <t>http://www.ikea.com/nl/nl/</t>
  </si>
  <si>
    <t>Tiffany &amp; Co</t>
  </si>
  <si>
    <t>http://www.sunglasshut.com/wcsstore/MadisonsStorefrontAssetStore/Attachment/SGH_US-CA_Redesign/PLP/Header/_PLP_eSpot_NewSize_Tiffany_922.jpg</t>
  </si>
  <si>
    <t>http://nl.tiffany.com/?omcid=Y479&amp;utm_source=yext&amp;utm_medium=local&amp;utm_campaign=Y479</t>
  </si>
  <si>
    <t>Blender</t>
  </si>
  <si>
    <t>http://www.blenderamsterdam.nl/img/blender_logo.jpg</t>
  </si>
  <si>
    <t>http://www.blenderamsterdam.nl</t>
  </si>
  <si>
    <t>http://disney.nl</t>
  </si>
  <si>
    <t>360 Volt</t>
  </si>
  <si>
    <t>https://a.1stdibscdn.com/dealer_images/9302/360volt.jpg</t>
  </si>
  <si>
    <t>https://360volt.com/nl/home</t>
  </si>
  <si>
    <t>de Volkskrant</t>
  </si>
  <si>
    <t>http://ttcmobile.com/wp-content/uploads/2015/02/2volkskrant_logo.jpg</t>
  </si>
  <si>
    <t>http://www.volkskrant.nl</t>
  </si>
  <si>
    <t>Sacha</t>
  </si>
  <si>
    <t>https://media.licdn.com/mpr/mpr/shrink_200_200/AAEAAQAAAAAAAAVkAAAAJDdiNjgwOGJiLTkwZjAtNDY5MC1iMjIzLTM4NGY4ZTNiZGJmYQ.png</t>
  </si>
  <si>
    <t>https://www.sacha.nl</t>
  </si>
  <si>
    <t>Mipacha</t>
  </si>
  <si>
    <t>http://cdna.tid.al/cacd276cffad90dd34de1551f79ebc5c7f8fb459_320.jpg</t>
  </si>
  <si>
    <t>http://www.mipacha.com/nl/</t>
  </si>
  <si>
    <r>
      <rPr>
        <u/>
        <sz val="11"/>
        <color rgb="FF0000FF"/>
        <rFont val="Calibri"/>
        <charset val="134"/>
      </rPr>
      <t>https://www.decathlon.nl</t>
    </r>
  </si>
  <si>
    <t>Bever</t>
  </si>
  <si>
    <t>http://d2kfedarckqqa2.cloudfront.net/cache/advertiser_logo_lg/Bever-Logo.gif</t>
  </si>
  <si>
    <t>http://www.bever.nl/index.cfm/fuseaction/main.shopdetail/id_shop/113</t>
  </si>
  <si>
    <t>Ziggo</t>
  </si>
  <si>
    <t>https://www.ziggo.com/resources/images/ziggo_share_logo.png</t>
  </si>
  <si>
    <t>https://www.ziggo.com/nl/</t>
  </si>
  <si>
    <t>Sauna Deco</t>
  </si>
  <si>
    <t>http://saunadeco.nl/wp-content/themes/sauna/images/logo.png</t>
  </si>
  <si>
    <t>http://saunadeco.nl</t>
  </si>
  <si>
    <t>Gamko</t>
  </si>
  <si>
    <t>http://www.gamko.com/assets/img/main-logo-engb.jpg</t>
  </si>
  <si>
    <t>http://www.gamko.com/nl-nl</t>
  </si>
  <si>
    <t>http://www.digikey.nl</t>
  </si>
  <si>
    <t>https://www.dominos.nl</t>
  </si>
  <si>
    <t>https://www.vodafone.nl</t>
  </si>
  <si>
    <t>https://www.tele2.nl/</t>
  </si>
  <si>
    <t>http://www.lycamobile.nl/nl/</t>
  </si>
  <si>
    <t>ticket Master</t>
  </si>
  <si>
    <t>http://www.ticketmaster.nl</t>
  </si>
  <si>
    <t>OTC Holland</t>
  </si>
  <si>
    <t>http://pictures.attention-ngn.com/portal/30/53626/logo/035278a1e6a64824d8368014354499c1_01_07_o.jpg</t>
  </si>
  <si>
    <t>http://otcholland.com</t>
  </si>
  <si>
    <t>OV Chip Kaart</t>
  </si>
  <si>
    <t>https://cdn.downdetector.com/static/uploads/c/300/37722/ovchip-logo_1.png</t>
  </si>
  <si>
    <t>https://www.ov-chipkaart.nl/aanvragen/welke-kaart-past-bij-jou/toeristen.htm</t>
  </si>
  <si>
    <t>E-on</t>
  </si>
  <si>
    <t>http://www.eon.pl/etc/designs/eon/static/images/eon-logo-print.gif</t>
  </si>
  <si>
    <t>https://www.eon.nl</t>
  </si>
  <si>
    <t>Engie</t>
  </si>
  <si>
    <t>http://www.engie-na.com/wp-content/themes/engie-solutions/library/images/ENGIE_logo.png</t>
  </si>
  <si>
    <t>http://www.engie.nl/nl/</t>
  </si>
  <si>
    <t>nuon</t>
  </si>
  <si>
    <t>https://mijn.nuon.nl/resources/images/logos/energieleverancier-nuon.png</t>
  </si>
  <si>
    <t>https://www.nuon.nl/producten/gas/?cmp=SEM-711-228&amp;keyword=%2Bgas</t>
  </si>
  <si>
    <t>Vewin</t>
  </si>
  <si>
    <t>http://www.vewin.nl/SiteCollectionImages/Logo%20waterbedrijven/logoVewinFB.png</t>
  </si>
  <si>
    <t>http://www.vewin.nl</t>
  </si>
  <si>
    <t>NLE</t>
  </si>
  <si>
    <t>https://www.nle.nl/sites/portal/files/theme/logo/logo-nle_4.svg</t>
  </si>
  <si>
    <t>https://www.nle.nl/Energie-Maatschappij%E2%80%8E</t>
  </si>
  <si>
    <t>International Yacht Club Amsterdam</t>
  </si>
  <si>
    <t>http://internationalyachtclubamsterdam.nl/wp-content/uploads/2016/04/IYCA210x155.jpg</t>
  </si>
  <si>
    <t>http://internationalyachtclubamsterdam.nl</t>
  </si>
  <si>
    <t>Australia</t>
  </si>
  <si>
    <t xml:space="preserve">Malaysia Airlines </t>
  </si>
  <si>
    <t>http://logok.org/wp-content/uploads/2014/03/Malaysia-airlines-logo-1987.png</t>
  </si>
  <si>
    <t>http://www.malaysiaairlines.com/au/en.html?gclid=CIrfwpWtzdACFVMDvAodkwYODg&amp;s_kwcid=AL!10!3!151698319343!b!!g!!air%20tickets%20to%20%2Baustralia&amp;ef_id=VsRAIAAAAR8HHiUM:20161129063732:s</t>
  </si>
  <si>
    <t>Virgin Australia</t>
  </si>
  <si>
    <t>https://www.ppca.com.au/IgnitionSuite/uploads/images/Virgin%20Australia%20logo.jpg</t>
  </si>
  <si>
    <t>https://www.virginaustralia.com/au/en/</t>
  </si>
  <si>
    <t>Sydney Airport</t>
  </si>
  <si>
    <t>https://upload.wikimedia.org/wikipedia/en/thumb/c/ce/Sydney_Airport_logo.svg/1280px-Sydney_Airport_logo.svg.png</t>
  </si>
  <si>
    <t>http://www.sydneyairport.com.au</t>
  </si>
  <si>
    <t>Sydney Bridge</t>
  </si>
  <si>
    <t>Australia arttraction</t>
  </si>
  <si>
    <t>http://www.sydney.com/destinations/sydney/sydney-city/sydney-harbour/sydney-harbour-bridge?nst=0&amp;gclid=CPmY2v-3z9ACFYdhvQodFFACgw&amp;gclsrc=aw.ds</t>
  </si>
  <si>
    <t>Grandma's</t>
  </si>
  <si>
    <t>http://www.grandmasbarsydney.com.au/images/tree.png</t>
  </si>
  <si>
    <t>http://www.grandmasbarsydney.com.au</t>
  </si>
  <si>
    <t>https://lh3.googleusercontent.com/proxy/n_Q5CoVdGJt0YdV9jCAY-2Q7v6HoCCVw2w7Fr5bkV5NsvHK6uBkmFr7io6hUC9cnvQZtu_O3T39-FQJKTMQ_TGCb7tg=w426-h240-n</t>
  </si>
  <si>
    <t>https://www.kingpinbowling.com.au/venues/nsw/darling-harbour</t>
  </si>
  <si>
    <t>Jetcost</t>
  </si>
  <si>
    <t>http://theflightreviews.com/wp-content/uploads/2015/12/logo-7.jpg</t>
  </si>
  <si>
    <t>http://www.jetcost.com.au</t>
  </si>
  <si>
    <t>http://www.mercedes-benz.com.au/content/australia/mpc/mpc_australia__website/en/home_mpc/passengercars/home/service_parts/service_repairs/capped_price_servicing.html</t>
  </si>
  <si>
    <t>Australian Red Cross</t>
  </si>
  <si>
    <t>Elderly People Charity</t>
  </si>
  <si>
    <t>https://yt3.ggpht.com/-_XnlulAEalY/AAAAAAAAAAI/AAAAAAAAAAA/yfXdZ1JUW6A/s900-c-k-no-mo-rj-c0xffffff/photo.jpg</t>
  </si>
  <si>
    <t>http://www.redcross.org.au/community-visitors-scheme.aspx</t>
  </si>
  <si>
    <t>World Vision</t>
  </si>
  <si>
    <t>https://upload.wikimedia.org/wikipedia/en/thumb/5/58/World_Vision_Logo.svg/1280px-World_Vision_Logo.svg.png</t>
  </si>
  <si>
    <t>https://www.worldvision.com.au</t>
  </si>
  <si>
    <t>Moonlight Cinema</t>
  </si>
  <si>
    <t>http://travlifestyle.com/wp-content/uploads/2014/12/Moonlight_Cinema_Logo.jpeg</t>
  </si>
  <si>
    <t>https://www.moonlight.com.au</t>
  </si>
  <si>
    <t>Mecca Coffee</t>
  </si>
  <si>
    <t>http://lamarzoccome.com/wp-content/uploads/2015/11/12227570_864113147043507_276571607360777485_n.jpg</t>
  </si>
  <si>
    <t>http://meccacoffee.com.au</t>
  </si>
  <si>
    <t>Coffee Alchemy</t>
  </si>
  <si>
    <t>https://coffeealchemy.com.au/wp-content/uploads/2016/05/logo.png</t>
  </si>
  <si>
    <t>https://coffeealchemy.com.au</t>
  </si>
  <si>
    <t>Australian Commercial Doors</t>
  </si>
  <si>
    <t>http://www.acdoors.com.au/images/logo.png</t>
  </si>
  <si>
    <t>http://www.acdoors.com.au</t>
  </si>
  <si>
    <t>Australian Taxation Office</t>
  </si>
  <si>
    <t>https://data.gov.au/uploads/group/20140505-035445.915211atostacked.jpg</t>
  </si>
  <si>
    <t>https://www.ato.gov.au/General/Property/</t>
  </si>
  <si>
    <t>Smile Concepts</t>
  </si>
  <si>
    <t>http://www.smileconcepts.com.au/files/images/logo.svg</t>
  </si>
  <si>
    <t>http://www.smileconcepts.com.au</t>
  </si>
  <si>
    <t>Life Style Property Agency</t>
  </si>
  <si>
    <t>http://www.fluxx.com.au/assets/Uploads/Logos/Lifestyle-property-agency-FINAL2.jpg</t>
  </si>
  <si>
    <t>http://lifestylepropertyagency.com</t>
  </si>
  <si>
    <t>Speedway Petroleum</t>
  </si>
  <si>
    <t>http://www.speedwaypetroleum.com.au/wp-content/themes/welcare/images/c2a-1.jpg</t>
  </si>
  <si>
    <t>http://www.speedwaypetroleum.com.au/store-locator</t>
  </si>
  <si>
    <t>http://www.shell.com.au/motorists/fuel-finder.html</t>
  </si>
  <si>
    <t>Flight Centre</t>
  </si>
  <si>
    <t>http://www.rhodeswaterside.com.au/uploadedImages/rhodes.retail.mirvac.com/Content/Flight%20Centre%20Logo.png</t>
  </si>
  <si>
    <t>http://www.flightcentre.com.au/flights/domestic/iqrb</t>
  </si>
  <si>
    <t>https://www.skyscanner.com.au</t>
  </si>
  <si>
    <t>Direct Freight</t>
  </si>
  <si>
    <t>https://seekcdn.com/pacman/company-profiles/logos/433856/direct-freight-express-logo.jpg</t>
  </si>
  <si>
    <t>http://www.directfreight.com.au</t>
  </si>
  <si>
    <t>Coles</t>
  </si>
  <si>
    <t>https://www.coles.com.au/www.coles.com.au/~/media/images/colesa/about-coles/coles-logo.jpg</t>
  </si>
  <si>
    <t>https://www.coles.com.au</t>
  </si>
  <si>
    <t>Woolworths</t>
  </si>
  <si>
    <t>https://upload.wikimedia.org/wikipedia/en/thumb/7/7d/Woolworths_logo_2014.svg/1122px-Woolworths_logo_2014.svg.png</t>
  </si>
  <si>
    <t>https://www.woolworths.com.au</t>
  </si>
  <si>
    <t>IGA</t>
  </si>
  <si>
    <t>https://igav3-metcdn-com.global.ssl.fastly.net/content/uploads/2016/10/19231144/iga-australia-logo.png</t>
  </si>
  <si>
    <t>http://www.iga.com.au</t>
  </si>
  <si>
    <t>Drakes</t>
  </si>
  <si>
    <t>https://mars-metcdn-com.global.ssl.fastly.net/content/uploads/sites/57/2015/02/09140755/logo.png</t>
  </si>
  <si>
    <t>http://www.drakes.com.au</t>
  </si>
  <si>
    <t>http://www.campaigncentre.com.au/_client/_images/ROCKDALE0773/outlet/logo/sh40a-aldi_logo.png</t>
  </si>
  <si>
    <t>https://www.aldi.com.au</t>
  </si>
  <si>
    <t>Foodworks</t>
  </si>
  <si>
    <t>http://www.foodworks.com.au/img/Foodworks-Logo.jpg</t>
  </si>
  <si>
    <t>http://www.foodworks.com.au</t>
  </si>
  <si>
    <t>City Gym</t>
  </si>
  <si>
    <t>http://www.citygym.com.au/themes/citygym/images/cg-circle.png</t>
  </si>
  <si>
    <t>http://www.citygym.com.au</t>
  </si>
  <si>
    <t xml:space="preserve">FoodProcessing Equipment </t>
  </si>
  <si>
    <t>http://crm.fpe.net.au/assets/img/fpelogo-large.png</t>
  </si>
  <si>
    <t>http://www.fpe.net.au</t>
  </si>
  <si>
    <t>Glass Processing Australia</t>
  </si>
  <si>
    <t>http://www.glassprocessing.com.au/images/logo.jpg</t>
  </si>
  <si>
    <t>http://www.glassprocessing.com.au</t>
  </si>
  <si>
    <t>https://www.allianz.com/v_1341145622000/media/press/media_database/allianz_logo.jpg</t>
  </si>
  <si>
    <t>https://www.allianz.com.au/car-insurance/</t>
  </si>
  <si>
    <t>Motionwave Technologies</t>
  </si>
  <si>
    <t>http://www.motionwave.com.au/wp-content/uploads/2014/12/MOTIONWAVETECHNOLOGIESLogoNEWCOLOUR.png</t>
  </si>
  <si>
    <t>http://www.motionwave.com.au</t>
  </si>
  <si>
    <t>Australian Investors Association</t>
  </si>
  <si>
    <t>http://www.investors.asn.au/themes/aia/images/logo_aia.png</t>
  </si>
  <si>
    <t>http://www.investors.asn.au/education/property/commercial-property/</t>
  </si>
  <si>
    <t>Optus</t>
  </si>
  <si>
    <t>http://www.optus.com.au/dafiles/OCA/AboutOptus/MediaCentre/SharedStaticFiles/SharedImages/yesoptus_Logo.gif</t>
  </si>
  <si>
    <t>http://www.optus.com.au</t>
  </si>
  <si>
    <t>Telstra</t>
  </si>
  <si>
    <t>http://www.connectedhome.com.au/wp-content/uploads/2016/06/Telstra-logo.png</t>
  </si>
  <si>
    <t>https://www.telstra.com.au</t>
  </si>
  <si>
    <t>Royal Sydney Golf Club</t>
  </si>
  <si>
    <t>http://www.rsgc.com.au/cms/wp-content/themes/Royal-Sydney/images/logo.png</t>
  </si>
  <si>
    <t>http://www.rsgc.com.au/cms/</t>
  </si>
  <si>
    <t>https://www.netflix.com/au/</t>
  </si>
  <si>
    <t>Austral Mortgage</t>
  </si>
  <si>
    <t>http://www.australmortgage.com.au/images/sized/images/product_images/austral-mortgage-logo-290x140.png</t>
  </si>
  <si>
    <t>http://www.australmortgage.com.au</t>
  </si>
  <si>
    <t>COS</t>
  </si>
  <si>
    <t>http://www.cos.net.au/wp-content/uploads/2016/07/COS.jpg</t>
  </si>
  <si>
    <t>http://www.cos.net.au</t>
  </si>
  <si>
    <t>Optometrist</t>
  </si>
  <si>
    <t>http://www.ballinaoptometry.com.au/wp-content/themes/lightfast-child/images/ballina-optometry-logo.png</t>
  </si>
  <si>
    <t>http://optometrist.com.au/testing-eye-glass-prescription/</t>
  </si>
  <si>
    <t>OPSM</t>
  </si>
  <si>
    <t>http://www.northernsydneycataract.com.au/wp-content/uploads/2015/01/OPSM.jpg</t>
  </si>
  <si>
    <t>http://www.opsm.com.au</t>
  </si>
  <si>
    <t>Secure P</t>
  </si>
  <si>
    <t>https://d13esfgglb25od.cloudfront.net/secure.jpg</t>
  </si>
  <si>
    <t>http://www.secureparking.com.au/secure-a-spot/sydney?gclid=Cj0KEQiA1b7CBRDjmIPL4u-Zy6gBEiQAsJhTMBgpn_JKztXSJ_3Y4zsns2wDrFc0otyvirAA-kzwKlUaAps58P8HAQ</t>
  </si>
  <si>
    <t>Chempro</t>
  </si>
  <si>
    <t>http://www.chempro.com.au/WebRoot/Store/Shops/shop/MediaGallery/New_Chempro_Logos/Chempro_Logo_2013_PNG.png</t>
  </si>
  <si>
    <t>http://www.chempro.com.au/</t>
  </si>
  <si>
    <t>Australian Pipelining Supplies</t>
  </si>
  <si>
    <t>https://storage.designcrowd.com/design_img/1269728/458713/458713_6582802_1269728_0de81222_image.jpg</t>
  </si>
  <si>
    <t>http://pipeliningsupplies.com.au</t>
  </si>
  <si>
    <t>Bravo Repair Centre</t>
  </si>
  <si>
    <t>http://bravorepairs.com.au/wp-content/uploads/2014/10/Bravo-Logo-web.png</t>
  </si>
  <si>
    <t>http://bravorepairs.com.au</t>
  </si>
  <si>
    <t>Laptop Rescue</t>
  </si>
  <si>
    <t>https://lh3.googleusercontent.com/-g2chckoiJG8/VhCD4mpRbnI/AAAAAAAAAKY/lbCfRj-RsHU/w800-h800/Laptop%2BRescue%2BLogo2.png</t>
  </si>
  <si>
    <t>http://www.laptoprescue.com.au</t>
  </si>
  <si>
    <t>Sydney Appliance Service</t>
  </si>
  <si>
    <t>https://lh6.googleusercontent.com/-p5pM0bIGkw0/AAAAAAAAAAI/AAAAAAAAACA/rkwi95tdLlw/photo.jpg</t>
  </si>
  <si>
    <t>http://www.sydneyappliance.com.au</t>
  </si>
  <si>
    <t>Mamak</t>
  </si>
  <si>
    <t>http://sydneyfoodlovers.com.au/images/Mamak-logo1.JPG</t>
  </si>
  <si>
    <t>http://www.mamak.com.au</t>
  </si>
  <si>
    <t>Café Sydney</t>
  </si>
  <si>
    <t>http://cafesydney.com/resources/images/landing_logo.png</t>
  </si>
  <si>
    <t>http://cafesydney.com</t>
  </si>
  <si>
    <t>360 Bar &amp; Dining</t>
  </si>
  <si>
    <t>https://www.trippaswhitegroup.com.au/data/assets/blog/104/360%20Bar%20and%20Dining.jpg</t>
  </si>
  <si>
    <t>https://www.360dining.com.au</t>
  </si>
  <si>
    <t>The Terrace on Kent</t>
  </si>
  <si>
    <t>http://www.theterraceonkent.com/wp-content/uploads/2016/04/the-terrace-on-kent-black-logo.png</t>
  </si>
  <si>
    <t>http://www.theterraceonkent.com</t>
  </si>
  <si>
    <t>Buger Project</t>
  </si>
  <si>
    <t>http://burgerproject.com/wp-content/themes/_TBST-BusinessAccelerator-v3/library/images/logo_new.png</t>
  </si>
  <si>
    <t>http://burgerproject.com</t>
  </si>
  <si>
    <t>Jamie's Italian</t>
  </si>
  <si>
    <t>https://www.jamieoliver.com/italian/images/front-end/common/jamies-italian-green.svg</t>
  </si>
  <si>
    <t>https://www.jamieoliver.com/italian/australia/restaurants/sydney/</t>
  </si>
  <si>
    <t>http://www.bk.com/home</t>
  </si>
  <si>
    <t>Frankie's Pizza</t>
  </si>
  <si>
    <t>http://www.voltagemedia.com.au/wp-content/uploads/2016/10/Frankies-Pizza.jpg</t>
  </si>
  <si>
    <t>http://frankiespizzabytheslice.com</t>
  </si>
  <si>
    <t>https://www.pizzahut.com.au/store-details/1904/Sutherland?utm_campaign=sem</t>
  </si>
  <si>
    <t>https://mcdonalds.com.au</t>
  </si>
  <si>
    <t>Rosso Pomodora</t>
  </si>
  <si>
    <t>http://www.euroquip.com.au/wp-content/uploads/Rosso-Pomodoro.jpg</t>
  </si>
  <si>
    <t>http://www.rossopomodoro.com.au</t>
  </si>
  <si>
    <t>A Tavola</t>
  </si>
  <si>
    <t>http://atavolawinchester.com/sites/default/files/atavola-logo_0.png</t>
  </si>
  <si>
    <t>http://atavola.com.au</t>
  </si>
  <si>
    <t>Vechicle Regulation Australia</t>
  </si>
  <si>
    <t>http://www.arc.gov.au/sites/default/files/filedepot/Public/Media%20&amp;%20Resources%20Centre/Images/ARC_logos/STACKED/PC/ARC_stacked.jpg</t>
  </si>
  <si>
    <t>http://www.australia.gov.au/information-and-services/transport-and-regional/registration-and-licences</t>
  </si>
  <si>
    <t>Nab</t>
  </si>
  <si>
    <t>https://www.carloanworld.com.au/wp-content/uploads/2013/12/nab_logo.gif</t>
  </si>
  <si>
    <t>http://www.nab.com.au</t>
  </si>
  <si>
    <t>Bank Australia</t>
  </si>
  <si>
    <t>https://bankaust.com.au/static/theme/images/logo-horizontal-mobile.svg</t>
  </si>
  <si>
    <t>https://bankaust.com.au/personal/save/savings-accounts/</t>
  </si>
  <si>
    <t>St Luke's Grammar School</t>
  </si>
  <si>
    <t>http://www.stlukes.nsw.edu.au/images/2015-logo.png</t>
  </si>
  <si>
    <t>http://www.stlukes.nsw.edu.au</t>
  </si>
  <si>
    <t>Five Star Shipping</t>
  </si>
  <si>
    <t>http://www.fivestarshipping.com.au/themes/fivestarshipping/images/logo.png</t>
  </si>
  <si>
    <t>http://www.coscoshipping.com.au</t>
  </si>
  <si>
    <t>Colette</t>
  </si>
  <si>
    <t>http://www.pacificfair.com.au/PacificFair/media/contents/04_Stores/01_Store_Logos/logo_Colette_by_Colette_Hayman.png?ext=.png</t>
  </si>
  <si>
    <t>http://www.colettehayman.com.au</t>
  </si>
  <si>
    <t>Banana Baby</t>
  </si>
  <si>
    <t>http://s.productreview.com.au/products/images/2014710010478716f846ebc.jpg</t>
  </si>
  <si>
    <t>http://bananababy.com.au</t>
  </si>
  <si>
    <t>Abbey's Bookshop</t>
  </si>
  <si>
    <t>http://www.eisau.com.au/uploads/62948/abbeys-logo.png</t>
  </si>
  <si>
    <t>http://www.abbeys.com.au/abbeys/home.do;jsessionid=2572A9D86567DB3E417D1E4C62DFB2C0</t>
  </si>
  <si>
    <t>Haigh's Chocolates</t>
  </si>
  <si>
    <t>http://www.goldnetwork.com.au/Images/UserUploadedImages/381/HAIGHS%20LOGO%20TO%20USE.jpg</t>
  </si>
  <si>
    <t>http://www.haighschocolates.com.au</t>
  </si>
  <si>
    <t>Politix</t>
  </si>
  <si>
    <t>https://www.trustmus.com/_theme/uploads/x1449924489566c17894168b566c1789416d7.jpg.pagespeed.ic.R8Kr1f1nzz.jpg</t>
  </si>
  <si>
    <t>https://www.politix.com.au</t>
  </si>
  <si>
    <t>Cue</t>
  </si>
  <si>
    <t>https://www.cue.cc/assets/rebuild/images/logos/logo.jpg</t>
  </si>
  <si>
    <t>https://www.cue.cc</t>
  </si>
  <si>
    <t>Pretty Little Thing</t>
  </si>
  <si>
    <t>https://www.prettylittlething.com/media/logopltsig.jpg</t>
  </si>
  <si>
    <t>https://www.prettylittlething.com.au</t>
  </si>
  <si>
    <t>Forcast</t>
  </si>
  <si>
    <t>http://www.thebodyshop.com.au/</t>
  </si>
  <si>
    <t>http://www.maccosmetics.com.au</t>
  </si>
  <si>
    <t>https://www.pacificfair.com.au/PacificFair/media/contents/08_PDFs/sephora-logo.png?width=640&amp;height=350&amp;ext=.png</t>
  </si>
  <si>
    <t>http://www.sephora.com.au/</t>
  </si>
  <si>
    <t>http://cars.ebay.com.au</t>
  </si>
  <si>
    <t>https://www.amazon.com.au/</t>
  </si>
  <si>
    <t>Ezibuy</t>
  </si>
  <si>
    <t>https://res.cloudinary.com/crunchbase-production/image/upload/v1460676161/zfxqlefedjajumkptztz.jpg</t>
  </si>
  <si>
    <t>https://www.ezibuy.com/shop/au/</t>
  </si>
  <si>
    <t>DFS Galleria</t>
  </si>
  <si>
    <t>https://www.dfs.com/~/media/images/consumer/internal%20content/about%20us/t%20galleria%20by%20dfs/dfsgalleria220x80px.gif</t>
  </si>
  <si>
    <t>Myer</t>
  </si>
  <si>
    <t>https://www.myer.com.au</t>
  </si>
  <si>
    <t>Peters of Kensington</t>
  </si>
  <si>
    <t>http://www.petersofkensington.com.au/php/nova/lladro_poklogo_trans.gif</t>
  </si>
  <si>
    <t>https://www.petersofkensington.com.au/Public/Default.aspx</t>
  </si>
  <si>
    <t>Kmart</t>
  </si>
  <si>
    <t>https://www.pacificfair.com.au/PacificFair/media/contents/04_Stores/01_Store_Logos/logo_Kmart.png?ext=.png</t>
  </si>
  <si>
    <t>http://www.kmart.com.au</t>
  </si>
  <si>
    <t>http://www.chanel.com/en_AU/</t>
  </si>
  <si>
    <t>Harvey Norman</t>
  </si>
  <si>
    <t>http://www.cli-mate.com.au/uploads/images/harveynormanlogo.jpg</t>
  </si>
  <si>
    <t>http://www.harveynorman.com.au</t>
  </si>
  <si>
    <t>JB Hi-fi</t>
  </si>
  <si>
    <t>https://www.jbhifi.com.au/Global/images/logos/3-JB_HORIZONTAL_CMYK_notag-nobracket.jpg</t>
  </si>
  <si>
    <t>https://www.jbhifi.com.au</t>
  </si>
  <si>
    <t>Jaycar Electronics</t>
  </si>
  <si>
    <t>https://www.interflora.com.au</t>
  </si>
  <si>
    <t>The Card Shop</t>
  </si>
  <si>
    <t>http://www.avalonpalmbeachbusinesschamber.com.au/wp-content/uploads/2015/10/The-card-shop.jpg</t>
  </si>
  <si>
    <t>http://www.thecardshop.com.au</t>
  </si>
  <si>
    <t>Bunnings Warehouse</t>
  </si>
  <si>
    <t>https://www.bunnings.com.au/assets/img/bunnings-logo-og.png</t>
  </si>
  <si>
    <t>https://www.bunnings.com.au</t>
  </si>
  <si>
    <t>Domayne</t>
  </si>
  <si>
    <t>http://s.productreview.com.au/products/images/untitled_4f5f0727de273.png</t>
  </si>
  <si>
    <t>http://www.domayneonline.com.au</t>
  </si>
  <si>
    <t>Home Furniture on consignment</t>
  </si>
  <si>
    <t>Fanuli</t>
  </si>
  <si>
    <t>Dollar King</t>
  </si>
  <si>
    <t>http://www.marketown.com.au/SiteFiles/marketowncomau/Dollar-King-logo.jpg</t>
  </si>
  <si>
    <t>http://www.dollarking.com.au</t>
  </si>
  <si>
    <t>Moimoi</t>
  </si>
  <si>
    <t>Infancy</t>
  </si>
  <si>
    <t>http://www.disney.com.au</t>
  </si>
  <si>
    <t>Lighting Centre</t>
  </si>
  <si>
    <t>http://www.brasnetwork.com.au/wp-content/uploads/2013/02/The-Lighting-Centre-Logo.jpg</t>
  </si>
  <si>
    <t>http://www.lightingcentre.com.au</t>
  </si>
  <si>
    <t>Humphreys</t>
  </si>
  <si>
    <t>https://www.humphreysoffice.com.au/images/TemplateImages/logos/logo_HUMPHREYS.png</t>
  </si>
  <si>
    <t>http://www.humphreys.com.au/html/s01_home/home.asp?id=home</t>
  </si>
  <si>
    <t>https://www.clarks.com.au</t>
  </si>
  <si>
    <t>Florsheim</t>
  </si>
  <si>
    <t>http://www.quickdeal.com/businessimages/8510.new%20Florsheim%20logo.jpg</t>
  </si>
  <si>
    <t>http://www.florsheim.com.au/shop/index.html</t>
  </si>
  <si>
    <t>Sports Direct</t>
  </si>
  <si>
    <t>http://au.sportsdirect.com</t>
  </si>
  <si>
    <t>Sports co</t>
  </si>
  <si>
    <t>https://res.cloudinary.com/wlabs/image/upload/mzeyqdhv1mqricoghgy3.png</t>
  </si>
  <si>
    <t>http://www.sportsco.com.au</t>
  </si>
  <si>
    <t>Foxtel</t>
  </si>
  <si>
    <t>https://www.foxtel.com.au/content/dam/foxtel/shared/open-graph/foxtel-default.jpg</t>
  </si>
  <si>
    <t>https://www.foxtel.com.au/index.html</t>
  </si>
  <si>
    <t>The Spa</t>
  </si>
  <si>
    <t>https://www.hyatt.com/content/minisite/corporate/spas/The-Spa-Sydney/en/_jcr_content/footer-wrap/footer_wrapper/footer_logo/image.img.png/1470245024469.png</t>
  </si>
  <si>
    <t>https://www.hyatt.com/corporate/spas/The-Spa-Sydney/en/home.html</t>
  </si>
  <si>
    <t>Auqa Cooler</t>
  </si>
  <si>
    <t>http://www.aquacooler.com.au/app/public/interface/aqua_logo.jpg</t>
  </si>
  <si>
    <t>http://www.aquacooler.com.au</t>
  </si>
  <si>
    <t>http://www.iica.org.au/members/cap/RS_Components_Pty_Ltd.jpg</t>
  </si>
  <si>
    <t>http://au.rs-online.com/web/</t>
  </si>
  <si>
    <t>https://www.dominos.com.au</t>
  </si>
  <si>
    <t>iinet</t>
  </si>
  <si>
    <t>http://www.pertharena.com.au/~/media/Perth%20Arena/Images/iinet-page-logo-perth-arena.ashx?la=en&amp;hash=07A326B8C4017BAA82A85C5307E1A6E2A167F629</t>
  </si>
  <si>
    <t>https://www.iinet.net.au/home/</t>
  </si>
  <si>
    <t>http://www.vodafone.com.au</t>
  </si>
  <si>
    <t>https://www.telstra.com.au/home-phone</t>
  </si>
  <si>
    <t>Virgin Mobile</t>
  </si>
  <si>
    <t>http://more-sky.com/data/out/6/IMG_89447.png</t>
  </si>
  <si>
    <t>http://www.virginmobile.com.au</t>
  </si>
  <si>
    <t>http://www.ticketmaster.com.au</t>
  </si>
  <si>
    <t>Comm Sec</t>
  </si>
  <si>
    <t>http://www.userlogos.org/files/logos/morg.smith/Untitled_0.png</t>
  </si>
  <si>
    <t>https://www.commsec.com.au</t>
  </si>
  <si>
    <t>Load &amp; Go Card</t>
  </si>
  <si>
    <t>http://s.productreview.com.au/products/images/australia-post-load-go_51ec73f731235.jpg</t>
  </si>
  <si>
    <t>https://auspost.com.au/money-insurance/prepaid-cards/loadgo-cards?fm=search-featured</t>
  </si>
  <si>
    <t>AGL</t>
  </si>
  <si>
    <t>https://www.agl.com.au/residential</t>
  </si>
  <si>
    <t>Simply Energy</t>
  </si>
  <si>
    <t>http://tracker.simplyenergy.com.au/assets/simply-logo-4a9c12f8f11ccd46c5d873e31cfdf993d3a9cf69621df5c3ab16178587a8e205.jpg</t>
  </si>
  <si>
    <t>https://www.simplyenergy.com.au</t>
  </si>
  <si>
    <t>Alinta Energy</t>
  </si>
  <si>
    <t>https://alintaenergy.com.au/Content/Images/alinta-energy-logo-landscape.png</t>
  </si>
  <si>
    <t>https://alintaenergy.com.au/home</t>
  </si>
  <si>
    <t>South East Water</t>
  </si>
  <si>
    <t>http://sustainability.ceres.org.au/wp-content/uploads/group-avatars/899/5ad537cc8d39515c83e5f87072d76c9b-bpfull.jpg</t>
  </si>
  <si>
    <t>http://southeastwater.com.au/Pages/Home.aspx</t>
  </si>
  <si>
    <t>City West Water</t>
  </si>
  <si>
    <t>http://greeningthewest.org.au/wp-content/uploads/cache/2014/11/logo-cww/641876942.png</t>
  </si>
  <si>
    <t>https://www.citywestwater.com.au</t>
  </si>
  <si>
    <t>Origin Energy</t>
  </si>
  <si>
    <t>https://www.originenergy.com.au/content/dam/origin/shared/logo/origin.jpg</t>
  </si>
  <si>
    <t>https://www.originenergy.com.au</t>
  </si>
  <si>
    <t>Middle Harbour Yatch Club</t>
  </si>
  <si>
    <t>http://old.thinklocal.com.au/wp-content/uploads/2015/04/mhyc-logo.jpg</t>
  </si>
  <si>
    <t>http://www.mhyc.com.au</t>
  </si>
  <si>
    <t>Adorne</t>
  </si>
  <si>
    <t>https://www.pacificfair.com.au/PacificFair/media/contents/08_PDFs/22F042F201233A403A51PM_1.jpg?width=640&amp;height=350&amp;ext=.jpg</t>
  </si>
  <si>
    <t>http://www.adorne.com.au</t>
  </si>
  <si>
    <t>NAB ATM</t>
  </si>
  <si>
    <t>Donation Miss Dean</t>
  </si>
  <si>
    <t>Donation Mr and Mrs Martin</t>
  </si>
  <si>
    <t>Donation Mr and Mrs Page</t>
  </si>
  <si>
    <t>Donation Mr Andre</t>
  </si>
  <si>
    <t>Donation Wright Family</t>
  </si>
  <si>
    <t>Donation SmileTrain</t>
  </si>
  <si>
    <t>Donation Cure Cancer</t>
  </si>
  <si>
    <t>Donation Sydney Eye Hospital</t>
  </si>
  <si>
    <t>Donation Shelter NSW</t>
  </si>
  <si>
    <t>Donation Wesley Mission</t>
  </si>
  <si>
    <t>Mr D Patel</t>
  </si>
  <si>
    <t>Palliative Care</t>
  </si>
  <si>
    <t>MNS Hospital</t>
  </si>
  <si>
    <t>Salary Mr R Vincent</t>
  </si>
  <si>
    <t>Salary Mrs F Masson</t>
  </si>
  <si>
    <t>Paid Invoice Mr Moda</t>
  </si>
  <si>
    <t>Paid Invoice Mr Nicolas</t>
  </si>
  <si>
    <t>Paid Invoice Miss Cook</t>
  </si>
  <si>
    <t>Paid Invoice 76542 Mr Donald</t>
  </si>
  <si>
    <t>Paid Invoice 986 Mr Wesley</t>
  </si>
  <si>
    <t>Paid Invoice 2297 Miss Warren</t>
  </si>
  <si>
    <t>NSW TrainLink</t>
  </si>
  <si>
    <t>Dat</t>
  </si>
  <si>
    <t>https://dat.dk/wp-content/uploads/2013/08/DAT_logo-300x150.jpg</t>
  </si>
  <si>
    <t>https://dat.dk</t>
  </si>
  <si>
    <t>http://www.easyjet.com/da/</t>
  </si>
  <si>
    <t>Copenhagen Airport</t>
  </si>
  <si>
    <t>https://upload.wikimedia.org/wikipedia/commons/thumb/c/c8/CPH-logo-no-text.svg/2000px-CPH-logo-no-text.svg.png</t>
  </si>
  <si>
    <t>https://www.cph.dk</t>
  </si>
  <si>
    <t>Trvoli</t>
  </si>
  <si>
    <t>http://www.tivoli.dk/~/media/images/tivoli/tivoli-logo-300x300.jpg</t>
  </si>
  <si>
    <t>http://www.tivoli.dk</t>
  </si>
  <si>
    <t>Ruby</t>
  </si>
  <si>
    <t>https://www.aucklandairport.co.nz/~/media/Images/Traveller/Retail/Stores/Store-Main-Images/RUBY.ashx?h=0&amp;w=0&amp;mw=1300&amp;hash=378A6D13D329715F471AC3C0D30B8079E2E1FF77</t>
  </si>
  <si>
    <t>https://rby.dk</t>
  </si>
  <si>
    <t>La Tequila Bar</t>
  </si>
  <si>
    <t>https://lh6.googleusercontent.com/-z0o5Dgt6YLE/AAAAAAAAAAI/AAAAAAAAABE/JjYO8bwZNGA/photo.jpg</t>
  </si>
  <si>
    <t>http://www.latequilabar.dk</t>
  </si>
  <si>
    <t>http://www.booking.com/country/dk.da.html?label=gen173nr-1DEgJnbyg9QgJYWEgzYgVub3JlZmg7iAEBmAEuuAEHyAEN2AED6AEB-AECqAID;sid=955ad7186ef2cd47ce3113d9dab48ea3;inac=0;=;lang=da;lang_click=other;cdl=en-gb</t>
  </si>
  <si>
    <t>https://www.mercedesbenzcph.dk</t>
  </si>
  <si>
    <t>SFI The Danish National Centre for Social Research</t>
  </si>
  <si>
    <t>http://gl.sfi.dk/Files/System/SFI_UK_logo-top.gif</t>
  </si>
  <si>
    <t>http://www.sfi.dk</t>
  </si>
  <si>
    <t>Unicef</t>
  </si>
  <si>
    <t>http://www.psi.org/wp-content/uploads/2014/10/UNICEF.jpeg</t>
  </si>
  <si>
    <t>https://www.unicef.dk</t>
  </si>
  <si>
    <t>Nordisk Film Biografer</t>
  </si>
  <si>
    <t>http://www.nfbio.dk/sites/default/files/styles/list_image/public/primary_pictures/NordiskFilmBiografer_797x448_0.jpg?itok=PsORnjvK</t>
  </si>
  <si>
    <t>http://www.nfbio.dk/imperial</t>
  </si>
  <si>
    <t>Copenhagen Coffee Lab</t>
  </si>
  <si>
    <t>https://static1.squarespace.com/static/5560e1dae4b07a2428ee290e/t/57f93a5fc534a5767e9a7d6f/1475951205663/</t>
  </si>
  <si>
    <t>http://copenhagencoffeelab.com/kaffebaren/</t>
  </si>
  <si>
    <t>Kaffe</t>
  </si>
  <si>
    <t>https://s3-media1.fl.yelpcdn.com/bphoto/AItBVFGVPe9goy3FxfVfgQ/o.jpg</t>
  </si>
  <si>
    <t>http://kaffeistedgade.dk</t>
  </si>
  <si>
    <t>Nassau</t>
  </si>
  <si>
    <t>https://c2.staticflickr.com/6/5259/5410166939_ce3b478779_b.jpg</t>
  </si>
  <si>
    <t>http://www.nassau.dk</t>
  </si>
  <si>
    <t>http://international.kk.dk/artikel/how-much-do-i-have-pay-taxes</t>
  </si>
  <si>
    <t>City Dent</t>
  </si>
  <si>
    <t>http://citydent.dk/wp-content/uploads/citydent_logo_A_low-facebook.jpg</t>
  </si>
  <si>
    <t>http://citydent.dk</t>
  </si>
  <si>
    <t>Nybolig Erhvern</t>
  </si>
  <si>
    <t>https://media.licdn.com/mpr/mpr/shrink_200_200/AAEAAQAAAAAAAAL7AAAAJGYxYTMzZjA4LTg0NzgtNDg4Zi1hM2QxLWZhOGE0N2NjYzU5OQ.png</t>
  </si>
  <si>
    <t>http://www.nyboligerhverv.dk/ejendomsmaeglere/forretninger/nybolig-erhverv-koebenhavn</t>
  </si>
  <si>
    <t>Circle K Filling Station</t>
  </si>
  <si>
    <t>http://www.underconsideration.com/brandnew/archives/circle_k_logo_detail.png</t>
  </si>
  <si>
    <t>http://www.circlek.dk</t>
  </si>
  <si>
    <t>http://www.shell.dk</t>
  </si>
  <si>
    <t>https://www.skyscanner.dk/</t>
  </si>
  <si>
    <t>Jeuro</t>
  </si>
  <si>
    <t>http://www.jctrans.net/Content/uploadpics/smallimg/1ccdca3c521a44b6a1582ab7ccf7233b.jpg</t>
  </si>
  <si>
    <t>http://www.jeuro.dk</t>
  </si>
  <si>
    <t>Irma</t>
  </si>
  <si>
    <t>https://irma.dk/resources/svg/oirmalogo_primary.svg</t>
  </si>
  <si>
    <t>https://irma.dk</t>
  </si>
  <si>
    <t>Fakta</t>
  </si>
  <si>
    <t>http://vignette4.wikia.nocookie.net/logopedia/images/8/87/App_fakta.png/revision/latest?cb=20160418062507</t>
  </si>
  <si>
    <t>http://fakta.dk</t>
  </si>
  <si>
    <t>Foetex</t>
  </si>
  <si>
    <t>https://media.licdn.com/mpr/mpr/shrink_200_200/AAEAAQAAAAAAAAY5AAAAJDgxODk2NTY5LWRlOGQtNDNjYy1hZWNkLTkyZGRkZGE5OGRlYw.png</t>
  </si>
  <si>
    <t>https://www.foetex.dk/?intcmpid=logo</t>
  </si>
  <si>
    <t>Super Marco</t>
  </si>
  <si>
    <t>http://www.supermarco.dk/media/47521/logo-supermarco1.jpg?height=95</t>
  </si>
  <si>
    <t>http://www.supermarco.dk/da/</t>
  </si>
  <si>
    <t>Netto</t>
  </si>
  <si>
    <t>https://upload.wikimedia.org/wikipedia/de/5/56/Netto-logo.svg</t>
  </si>
  <si>
    <t>https://netto.dk</t>
  </si>
  <si>
    <t>https://upload.wikimedia.org/wikipedia/en/thumb/b/be/Lidl_Stiftung_%26_Co._KG_logo.svg/1024px-Lidl_Stiftung_%26_Co._KG_logo.svg.png</t>
  </si>
  <si>
    <t>http://www.lidl.dk/da/index.htm</t>
  </si>
  <si>
    <t>Fitness dk</t>
  </si>
  <si>
    <t>https://www.fitnessdk.dk/profiles/fitfe/themes/custom/fitfe_theme/logo.png</t>
  </si>
  <si>
    <t>https://www.fitnessdk.dk</t>
  </si>
  <si>
    <t>Pro Denmark</t>
  </si>
  <si>
    <t>http://www.prodenmark.com/typo3temp/fl_realurl_image/depalletising-system-glass-jars-be.png</t>
  </si>
  <si>
    <t>http://www.prodenmark.com/dk/</t>
  </si>
  <si>
    <t>Rexroth Bosch Group</t>
  </si>
  <si>
    <t>https://www.boschrexroth.com/da/dk/</t>
  </si>
  <si>
    <t>IDA Forsikring</t>
  </si>
  <si>
    <t>https://idaforsikring.dk/images/Logo.png</t>
  </si>
  <si>
    <t>https://idaforsikring.dk/bilforsikring</t>
  </si>
  <si>
    <t>All Office</t>
  </si>
  <si>
    <t>http://www.gomedia.dk/images/stories/referencer/all-office.jpg</t>
  </si>
  <si>
    <t>http://all-office.dk/</t>
  </si>
  <si>
    <t>Homman</t>
  </si>
  <si>
    <t>http://homannlaw.dk/fileadmin/templates/homann/images/web/kontakt_2.jpg</t>
  </si>
  <si>
    <t>http://homannlaw.dk/da/artikel/investment-in-commercial-properties-residential-rental-properties-in-denmark/</t>
  </si>
  <si>
    <t>OK</t>
  </si>
  <si>
    <t>http://www.ok.dk/_layouts/OK.Wok4/css/img/wok/ok-logo.svg</t>
  </si>
  <si>
    <t>http://www.ok.dk/privat/produkter/mobil/</t>
  </si>
  <si>
    <t>Call me</t>
  </si>
  <si>
    <t>https://www.callme.dk/images/logo_facebook.png</t>
  </si>
  <si>
    <t>https://www.callme.dk</t>
  </si>
  <si>
    <t>Royal Golf Club</t>
  </si>
  <si>
    <t>http://www.royalgolf.dk/wp-content/uploads/2013/10/royalgolf_logo_ny_sort.png</t>
  </si>
  <si>
    <t>http://royalgolf.dk</t>
  </si>
  <si>
    <t>https://www.netflix.com/dk/</t>
  </si>
  <si>
    <t>Danske</t>
  </si>
  <si>
    <t>https://www.danskebank.com/SiteCollectionImages/History-Images/2000_big.jpg</t>
  </si>
  <si>
    <t>https://danskebank.dk/privat</t>
  </si>
  <si>
    <t>Office Suppliers Denmark</t>
  </si>
  <si>
    <t>http://www.osd-as.dk/app/webroot/uploads/Design/logo.png</t>
  </si>
  <si>
    <t>http://www.osd-as.dk</t>
  </si>
  <si>
    <t>Koldby Optik</t>
  </si>
  <si>
    <t>https://s3-eu-west-1.amazonaws.com/tpd/screenshots/48c16bbd0000640005037175/198x149.png</t>
  </si>
  <si>
    <t>http://koldbyoptik.dk</t>
  </si>
  <si>
    <t>Synoptik</t>
  </si>
  <si>
    <t>http://www.synoptik.dk/images/gfx/synoptik_logo_16.svg</t>
  </si>
  <si>
    <t>http://www.synoptik.dk</t>
  </si>
  <si>
    <t>Euro Park</t>
  </si>
  <si>
    <t>http://europark.dk/mediearkiv/EuroPark_APCOA_logo20131014124922.jpg</t>
  </si>
  <si>
    <t>http://www.europark.dk</t>
  </si>
  <si>
    <t>Apoteket Trianglen</t>
  </si>
  <si>
    <t>http://www.apotekettrianglen.dk/theme/Apoteket-trianglen/img/logo.svg?1462950366</t>
  </si>
  <si>
    <t>http://www.apotekettrianglen.dk</t>
  </si>
  <si>
    <t>Pipe Life</t>
  </si>
  <si>
    <t>http://www.pipelife.de/de/media/Pipelife/Logo-rgb-print.jpg</t>
  </si>
  <si>
    <t>http://www.pipelife.dk/dk/</t>
  </si>
  <si>
    <t>Eviteq</t>
  </si>
  <si>
    <t>http://trepol.eviteq.dk/webfine/eviteq_big.png</t>
  </si>
  <si>
    <t>http://eviteq.dk/electrician/?gclid=Cj0KEQiA-_HDBRD2lomhoufc1JkBEiQA0TVMminBoE9yTG1NQEDFKR0QPt4dNN0FVWaoyQFVaCDm07YaArXA8P8HAQ</t>
  </si>
  <si>
    <t>Computer Titans</t>
  </si>
  <si>
    <t>http://titansmacreparation.dk/templates/allrounder-j1.6/images/logo/lonewtrm1.png</t>
  </si>
  <si>
    <t>http://www.computertitans.dk/index.php</t>
  </si>
  <si>
    <t>Number 1 Service</t>
  </si>
  <si>
    <t>https://media.licdn.com/media/AAEAAQAAAAAAAAV2AAAAJGM1ZjA1YzVlLTJmYWEtNDIzYi1iYWE3LWJmOGU1NjhhM2QyYw.png</t>
  </si>
  <si>
    <t>http://www.n1s.dk</t>
  </si>
  <si>
    <t>Noma</t>
  </si>
  <si>
    <t>http://marvwoodhouse.com/wp-content/uploads/2010/04/copenhagen-denmark-restaurant-noma.jpg</t>
  </si>
  <si>
    <t>http://noma.dk</t>
  </si>
  <si>
    <t>KoD</t>
  </si>
  <si>
    <t>http://koedkbh.dk/wp-content/uploads/2012/11/logokoed.jpg</t>
  </si>
  <si>
    <t>http://koedkbh.dk</t>
  </si>
  <si>
    <t>Schonnemann</t>
  </si>
  <si>
    <t>http://www.restaurantschonnemann.dk/gfx/content_images/Logo%20Engelsk%20forenklet.jpg</t>
  </si>
  <si>
    <t>http://www.restaurantschonnemann.dk/?ulang=1</t>
  </si>
  <si>
    <t>The Red Box</t>
  </si>
  <si>
    <t>https://media-cdn.tripadvisor.com/media/photo-s/02/c8/a9/63/the-red-box.jpg</t>
  </si>
  <si>
    <t>http://www.theredbox.dk</t>
  </si>
  <si>
    <t>Umami</t>
  </si>
  <si>
    <t>http://www.umamiharborne.com/assets/Uploads/_resampled/SetHeight458-1920x965-083.jpg</t>
  </si>
  <si>
    <t>http://www.restaurantumami.dk</t>
  </si>
  <si>
    <t>Itzi Pitzi Pizza</t>
  </si>
  <si>
    <t>https://s3-media1.fl.yelpcdn.com/bphoto/T6xrdH2jLvxfnJTsQxza8g/348s.jpg</t>
  </si>
  <si>
    <t>http://www.itzipitzipizza.dk</t>
  </si>
  <si>
    <t>http://www.burgerking.dk</t>
  </si>
  <si>
    <t>Astro Pizza</t>
  </si>
  <si>
    <t>http://astorpizza.dk/wp-content/uploads/logo_small_partial_bg-1.png</t>
  </si>
  <si>
    <t>http://astorpizza.dk</t>
  </si>
  <si>
    <t>Non Solo</t>
  </si>
  <si>
    <t>https://s-media-cache-ak0.pinimg.com/736x/20/70/69/20706941e82237c297868e0f2bbd87c7.jpg</t>
  </si>
  <si>
    <t>http://www.nonsolo.dk</t>
  </si>
  <si>
    <t>http://www.mcdonalds.dk/dk.html</t>
  </si>
  <si>
    <t>Amass</t>
  </si>
  <si>
    <t>https://pbs.twimg.com/profile_images/3348765773/b4e859635350731711e36e668c87b44e.jpeg</t>
  </si>
  <si>
    <t>http://amassrestaurant.com</t>
  </si>
  <si>
    <t xml:space="preserve">Hiko Pizza </t>
  </si>
  <si>
    <t>http://a5.mzstatic.com/us/r30/Purple71/v4/6f/a8/af/6fa8af8c-74b8-f881-5f41-8596a8a8f8ee/screen696x696.jpeg</t>
  </si>
  <si>
    <t>https://www.hikopizza.dk</t>
  </si>
  <si>
    <t>SKAT</t>
  </si>
  <si>
    <t>https://upload.wikimedia.org/wikipedia/en/thumb/a/a6/Logo_skat.svg/1280px-Logo_skat.svg.png</t>
  </si>
  <si>
    <t>http://www.skat.dk/SKAT.aspx?oId=134405</t>
  </si>
  <si>
    <t>Danske Bank</t>
  </si>
  <si>
    <t>http://logos-download.com/wp-content/uploads/2016/10/Danske_Bank_logo_gradient.png</t>
  </si>
  <si>
    <t>http://www.nordea.dk</t>
  </si>
  <si>
    <t>Copenhagen International School</t>
  </si>
  <si>
    <t>http://www.cis.dk/uploaded/NewsAndEventsImages/logowithText.jpg</t>
  </si>
  <si>
    <t>http://www.cis.dk</t>
  </si>
  <si>
    <t>MCS</t>
  </si>
  <si>
    <t>https://yt3.ggpht.com/-KR8wZUJsy9k/AAAAAAAAAAI/AAAAAAAAAAA/qeULO0kWTb8/s900-c-k-no-mo-rj-c0xffffff/photo.jpg</t>
  </si>
  <si>
    <t>https://www.msc.com/dnk</t>
  </si>
  <si>
    <t>Erfurt</t>
  </si>
  <si>
    <t>http://sw13175.smartweb-static.com/upload_dir/pics/site/logo.jpg</t>
  </si>
  <si>
    <t>http://www.erfurtluxury.com</t>
  </si>
  <si>
    <t>http://www.disneystore.dk</t>
  </si>
  <si>
    <t>Molo</t>
  </si>
  <si>
    <t>http://www.littlesunflowers.com/blog/wp-content/uploads/2014/10/Molo_logo_grey.jpg</t>
  </si>
  <si>
    <t>https://www.molo.dk</t>
  </si>
  <si>
    <t>Arnold Busck</t>
  </si>
  <si>
    <t>https://dejligedays.files.wordpress.com/2016/01/ab.jpg?w=584</t>
  </si>
  <si>
    <t>http://www.arnoldbusck.dk</t>
  </si>
  <si>
    <t>Peter Beier</t>
  </si>
  <si>
    <t>http://www.pbchokolade.dk/Resources/Files/Products/Silver%20Collection/602_4xtroeffelkugler_web.jpg?width=500&amp;</t>
  </si>
  <si>
    <t>http://www.pbchokolade.dk</t>
  </si>
  <si>
    <t>http://www.topshop.com/?geoip=home#</t>
  </si>
  <si>
    <t>Acne Studios</t>
  </si>
  <si>
    <t>https://pbs.twimg.com/profile_images/563356562773639168/Pru0lzy3.png</t>
  </si>
  <si>
    <t>http://www.acnestudios.com/dk/en/home?redirectTo=DK</t>
  </si>
  <si>
    <t>http://www.newlook.com/row/homepage?language=de&amp;currency=EUR&amp;country=DK</t>
  </si>
  <si>
    <t>http://www.zara.com/dk/</t>
  </si>
  <si>
    <t>https://www.thebodyshop.com/da-dk/</t>
  </si>
  <si>
    <t>http://www.maccosmetics.dk</t>
  </si>
  <si>
    <t>Matas</t>
  </si>
  <si>
    <t>https://upload.wikimedia.org/wikipedia/en/6/66/Matas_logo.jpg</t>
  </si>
  <si>
    <t>https://www.matas.dk</t>
  </si>
  <si>
    <t>http://www.ebay.com</t>
  </si>
  <si>
    <t>Angulus</t>
  </si>
  <si>
    <t>http://modefabriek-online.nl/wp-content/uploads/angulus_logo.png</t>
  </si>
  <si>
    <t>http://www.angulus.dk</t>
  </si>
  <si>
    <t>Illum</t>
  </si>
  <si>
    <t>http://illum.demo.supertusch.com/wp-content/uploads/2015/05/Logo_low.png</t>
  </si>
  <si>
    <t>http://illum.dk</t>
  </si>
  <si>
    <t>Magasin</t>
  </si>
  <si>
    <t>https://secure.viewer.zmags.com/services/image.do?id=ff0185fe580d9117542ebef6616852a3</t>
  </si>
  <si>
    <t>http://www.magasin.dk/sider/om-magasin/find-forretning/aarhus.html</t>
  </si>
  <si>
    <t>Holly Golightly</t>
  </si>
  <si>
    <t>https://resources.the3rdstreet.com/FranchiseContent/8/Shops/13/logo.png?date=635301390628870000&amp;mw=250&amp;mh=200&amp;cx=0&amp;cy=0&amp;cw=1&amp;ch=1&amp;forceMaxValues=False</t>
  </si>
  <si>
    <t>http://www.hollygolightly.dk</t>
  </si>
  <si>
    <t>https://upload.wikimedia.org/wikipedia/commons/5/53/H%26M-Logo.svg</t>
  </si>
  <si>
    <t>http://www.hm.com/dk/</t>
  </si>
  <si>
    <t>Burberry</t>
  </si>
  <si>
    <t>https://vrdigitalprodcmsmedia.blob.core.windows.net/prod-bv/2266/burberry_logo_300.png</t>
  </si>
  <si>
    <t>https://dk.burberry.com/store-locator/denmark</t>
  </si>
  <si>
    <t>Storm</t>
  </si>
  <si>
    <t>http://stormfashion.dk/images/logo@2x.png</t>
  </si>
  <si>
    <t>http://stormfashion.dk</t>
  </si>
  <si>
    <t>Elgiganten</t>
  </si>
  <si>
    <t>http://www.elgiganten.dk/INTERSHOP/static/WFS/store-elgigantenDK-Site/-/-/da_DK/images/site/elgigantenDK/logo-large.png?v=3</t>
  </si>
  <si>
    <t>http://www.elgiganten.dk</t>
  </si>
  <si>
    <t>Humac</t>
  </si>
  <si>
    <t>https://www.humac.dk/sites/default/files/styles/toppicture/public/img_status_top_humac.png?itok=0ObwuUL3</t>
  </si>
  <si>
    <t>https://www.humac.dk/privat/shop</t>
  </si>
  <si>
    <t>http://www.euronics.dk</t>
  </si>
  <si>
    <t>https://www.interflora.dk</t>
  </si>
  <si>
    <t>Copenhagen Card</t>
  </si>
  <si>
    <t>http://www.visitcopenhagen.com/sites/default/files/styles/galleries_ratio/public/asp/visitcopenhagen/cphcard_runde_hjorner_adultv1.jpg?itok=j8VLFuM8</t>
  </si>
  <si>
    <t>http://www.copenhagencard.dk/?ld=0&amp;_ga=1.159995001.515106144.1484605522</t>
  </si>
  <si>
    <t>Kop-Kande</t>
  </si>
  <si>
    <t>http://www.astc.dk/Storage/cache/img/Storage/plugin_files/society/10/6a74d75a4757eb08175aa1abaa934c99.jpg</t>
  </si>
  <si>
    <t>http://www.kop-kande.dk</t>
  </si>
  <si>
    <t>Hay</t>
  </si>
  <si>
    <t>http://hay.dk/m/images/logo.jpg</t>
  </si>
  <si>
    <t>http://hay.dk/m/</t>
  </si>
  <si>
    <t>Bo Concept</t>
  </si>
  <si>
    <t>http://www.danishfashion.info/re_images/1422265170_logo.jpg</t>
  </si>
  <si>
    <t>https://www.boconcept.com/dk-dk/homepage</t>
  </si>
  <si>
    <t>Ilva</t>
  </si>
  <si>
    <t>http://www.yardcph.com/cgi-files/mdmgfx/nyhed1-15695-1-12587.jpg</t>
  </si>
  <si>
    <t>https://ilva.dk</t>
  </si>
  <si>
    <t>Chanti</t>
  </si>
  <si>
    <t>http://www.chanti.dk/smykkeblog/wp-content/uploads/2015/03/chanti-dibs-400px-white.png</t>
  </si>
  <si>
    <t>http://www.chanti.dk</t>
  </si>
  <si>
    <t>Kids World</t>
  </si>
  <si>
    <t>http://www.rabatkortet.dk/images/logo/kids-world-dk-logo.png</t>
  </si>
  <si>
    <t>http://www.kids-world.dk</t>
  </si>
  <si>
    <t>Light Years</t>
  </si>
  <si>
    <t>https://nordiclite.com/media/amshopby/resized/size190/big15.png</t>
  </si>
  <si>
    <t>http://en.lightyears.dk</t>
  </si>
  <si>
    <t>https://vrdigitalprodcmsmedia.blob.core.windows.net/prod-bv/2273/clarks_logo_300.png</t>
  </si>
  <si>
    <t>http://www.clarks.co.dk</t>
  </si>
  <si>
    <t>Hudson Shoes</t>
  </si>
  <si>
    <t>Shoe Store</t>
  </si>
  <si>
    <t>https://d2yvax3dh4gmzj.cloudfront.net/skin/frontend/default/hudson2014/images/bgi/logo_hudson.png</t>
  </si>
  <si>
    <t>https://www.hudsonshoes.com/dk/</t>
  </si>
  <si>
    <t>Sport Master</t>
  </si>
  <si>
    <t>Sport Store</t>
  </si>
  <si>
    <t>http://img.shopalike.dk/img/Shoplogos/198x100/shop-sportmaster.gif</t>
  </si>
  <si>
    <t>https://sportmaster.dk</t>
  </si>
  <si>
    <t>Sport 24</t>
  </si>
  <si>
    <t>https://www.spotdeal.dk/pictures/suppliers/sport24/logo_sport24.v20140115140246.jpg</t>
  </si>
  <si>
    <t>https://www.sport24.dk</t>
  </si>
  <si>
    <t>YouSee</t>
  </si>
  <si>
    <t>https://www.viasat.dk/sites/viasat.dk/files/styles/promo_1_of_3/public/yousee_0.png?itok=_k-QQThu</t>
  </si>
  <si>
    <t>https://yousee.dk/tv.aspx</t>
  </si>
  <si>
    <t>Samadhi</t>
  </si>
  <si>
    <t>https://samadhi-spa.dk/wp-content/uploads/2013/11/samadhispa_logo.png</t>
  </si>
  <si>
    <t>https://samadhi-spa.dk</t>
  </si>
  <si>
    <t>Carvavell</t>
  </si>
  <si>
    <t>https://ffdresource-fridgefreezerdir.netdna-ssl.com/media/catalog/category/caravell_logo_1.jpg</t>
  </si>
  <si>
    <t>http://www.caravell.dk</t>
  </si>
  <si>
    <t>Mouser Electronics</t>
  </si>
  <si>
    <t>http://www.knowlescapacitors.com/Image%20Library//Dilabs/English/GlobalNavigation/Contact%20Us/Distributors/Mouser-PrimaryHorizontal.jpg</t>
  </si>
  <si>
    <t>http://www.mouser.dk</t>
  </si>
  <si>
    <t>https://www.dominos.dk</t>
  </si>
  <si>
    <t>Telenor</t>
  </si>
  <si>
    <t>https://www.telenor.rs/media/TelenorSrbija/media/Telenor_horizontalni.jpg</t>
  </si>
  <si>
    <t>https://www.telenor.dk</t>
  </si>
  <si>
    <t>Cbb Mobil</t>
  </si>
  <si>
    <t>https://s3-eu-west-1.amazonaws.com/tpd/logos-domain/46995464000064000500446e/255x0.png</t>
  </si>
  <si>
    <t>https://www.cbb.dk/velkommen</t>
  </si>
  <si>
    <t>Fullrate</t>
  </si>
  <si>
    <t>http://www.onlinerabatkoder.com/wp-content/uploads/2015/04/fullrate.jpg</t>
  </si>
  <si>
    <t>https://www.fullrate.dk</t>
  </si>
  <si>
    <t>Telia</t>
  </si>
  <si>
    <t>http://www.tt-network.dk/wwwroot/telialogo.jpeg</t>
  </si>
  <si>
    <t>https://www.telia.dk/privat/</t>
  </si>
  <si>
    <t>http://www.ticketmaster.dk/</t>
  </si>
  <si>
    <t>Din Offentlige Transport</t>
  </si>
  <si>
    <t>https://www.jobunivers.dk/Shared/services/logos/DK/2757593_logo_large.jpg</t>
  </si>
  <si>
    <t>Dong Energy</t>
  </si>
  <si>
    <t>https://upload.wikimedia.org/wikipedia/commons/thumb/c/cd/DONG_Energy_logo.svg/2000px-DONG_Energy_logo.svg.png</t>
  </si>
  <si>
    <t>https://www.dongenergy.dk/</t>
  </si>
  <si>
    <t>Hofor</t>
  </si>
  <si>
    <t>http://urbantransform.eu/wp-content/uploads/sites/2/2013/10/hofor.jpg</t>
  </si>
  <si>
    <t>http://www.hofor.dk</t>
  </si>
  <si>
    <t>Gasnet</t>
  </si>
  <si>
    <t>https://gasnet.dk/~/media/logo/gasnet_web.ashx?h=98&amp;la=da-DK&amp;w=143&amp;hash=867E91F0432474CB320993EEA65062B8FFB13899</t>
  </si>
  <si>
    <t>https://gasnet.dk/omhmngasnet/</t>
  </si>
  <si>
    <t>Danva</t>
  </si>
  <si>
    <t>http://www.danva.dk/files/billeder/DDV/Forside/DANVA_logo.gif</t>
  </si>
  <si>
    <t>http://www.danva.dk/Default.aspx</t>
  </si>
  <si>
    <t>Vand Center Syd</t>
  </si>
  <si>
    <t>http://www.vandcenter.dk/-/media/vandcenter/logo/vcs_logo_payoff_cmyk2.jpg?la=da&amp;hash=A7D7818C8E02EEF6CD262901D25C1E312976442A</t>
  </si>
  <si>
    <t>http://www.vandcenter.dk</t>
  </si>
  <si>
    <t>Kongelig Dansk Yachtklub</t>
  </si>
  <si>
    <t>http://www.summit-consulting.dk/Files/Billeder/KDYlogo.jpg</t>
  </si>
  <si>
    <t>http://kdy.dk</t>
  </si>
  <si>
    <t>Bank_ID</t>
  </si>
  <si>
    <t>branch_ID</t>
  </si>
  <si>
    <t>Name</t>
  </si>
  <si>
    <t>Address 1</t>
  </si>
  <si>
    <t>Address 2</t>
  </si>
  <si>
    <t>Address 3</t>
  </si>
  <si>
    <t>City</t>
  </si>
  <si>
    <t>County/district</t>
  </si>
  <si>
    <t>State (Super Region)</t>
  </si>
  <si>
    <t>Postcode (Zip)</t>
  </si>
  <si>
    <t>Country code (2 letter ISO 3166-1 alpha-2)</t>
  </si>
  <si>
    <t>Lobby Hours</t>
  </si>
  <si>
    <t>Drive-up Hours</t>
  </si>
  <si>
    <t>latitude_real</t>
  </si>
  <si>
    <t>longitude_real</t>
  </si>
  <si>
    <t>phone_number</t>
  </si>
  <si>
    <t>info</t>
  </si>
  <si>
    <t>update_date</t>
  </si>
  <si>
    <t>dk Bank</t>
  </si>
  <si>
    <t>Nørrebrogade 26, 2200 København N, Denmark</t>
  </si>
  <si>
    <t>København N</t>
  </si>
  <si>
    <t>DK</t>
  </si>
  <si>
    <t>Torvegade 45, 1400 København K, Denmark</t>
  </si>
  <si>
    <t>København K</t>
  </si>
  <si>
    <t>Nørre Voldgade 68, 1358 København K, Denmark</t>
  </si>
  <si>
    <t>Vesterbrogade 10, 1620 København V, Denmark</t>
  </si>
  <si>
    <t>København V</t>
  </si>
  <si>
    <t>Amagerbrogade 193, 2300 København S, Denmark</t>
  </si>
  <si>
    <t>København S</t>
  </si>
  <si>
    <t>dk ATM</t>
  </si>
  <si>
    <t>Finsensvej 12, 2000 Frederiksberg, Denmark</t>
  </si>
  <si>
    <t>Frederiksberg</t>
  </si>
  <si>
    <t>Kirkevej 137, 2791 Dragør, Denmark</t>
  </si>
  <si>
    <t>Dragør</t>
  </si>
  <si>
    <t>Frederikssundsvej 322A, 2700 Brønshøj, Denmark</t>
  </si>
  <si>
    <t>Brønshøj</t>
  </si>
  <si>
    <t>Vangede Bygade 96, 2820 Gentofte, Denmark</t>
  </si>
  <si>
    <t>Gentofte</t>
  </si>
  <si>
    <t>Halmtorvet 27B, 1700 København V, Denmark</t>
  </si>
  <si>
    <t>Ukraine</t>
  </si>
  <si>
    <t>Dniproavia</t>
  </si>
  <si>
    <t>https://yandex.st/rasp/media/data/company/logo/logo.png</t>
  </si>
  <si>
    <t>http://dniproavia.com/en/</t>
  </si>
  <si>
    <t>Khors Air</t>
  </si>
  <si>
    <t>Borispol airport Shuttle Bus</t>
  </si>
  <si>
    <t>http://www.charter-a.com/wp-content/uploads/2016/01/borispol_logo.jpg</t>
  </si>
  <si>
    <t>https://kbp.kiev.ua/ru/transport/sbus/</t>
  </si>
  <si>
    <t>Kiev Caves Lavra</t>
  </si>
  <si>
    <t>Ukrain Attraction</t>
  </si>
  <si>
    <t>http://biblioteka.lavra.ua/image/kplrus.jpg</t>
  </si>
  <si>
    <t>https://lavra.ua/en/</t>
  </si>
  <si>
    <t>B-Hush</t>
  </si>
  <si>
    <t>http://s.gvult.com/uploads/posts/2014-09/launzh-bar-bi-hash_logo.jpg</t>
  </si>
  <si>
    <t>http://b-hush.com/index_en.php</t>
  </si>
  <si>
    <t>Banka</t>
  </si>
  <si>
    <t>https://bankabar.hoo.com.ua/uploads/2/10199-banka_bar_logo.png</t>
  </si>
  <si>
    <t>Bookit</t>
  </si>
  <si>
    <t>http://www.bookit.com.ua/images/logo.jpg</t>
  </si>
  <si>
    <t>Sto “100”</t>
  </si>
  <si>
    <t>http://media.vse-sto.com.ua/autoservices/100_logo_1_1.png</t>
  </si>
  <si>
    <t>http://sto100.com.ua</t>
  </si>
  <si>
    <t>United world cultures foundation</t>
  </si>
  <si>
    <t>https://pp.vk.me/c630827/v630827142/2dea0/xgFxvh8uPiU.jpg</t>
  </si>
  <si>
    <t>http://uwcfoundation.com</t>
  </si>
  <si>
    <t>Red Cross</t>
  </si>
  <si>
    <t>https://prozoro.info/wp-content/uploads/2016/04/1404734349_red_cross_logo.jpg</t>
  </si>
  <si>
    <t>http://redcross.org.ua</t>
  </si>
  <si>
    <t>Oscar Dream Town</t>
  </si>
  <si>
    <t>https://pbs.twimg.com/profile_images/1246515796/_________-1.jpg</t>
  </si>
  <si>
    <t>http://oskar.kiev.ua/ua/cinema/dream-town</t>
  </si>
  <si>
    <t>Druzi</t>
  </si>
  <si>
    <t>http://druzicafe.com.ua/wp-includes/img/logo.png</t>
  </si>
  <si>
    <t>http://druzicafe.com.ua</t>
  </si>
  <si>
    <t>Zolotoi dukat</t>
  </si>
  <si>
    <t>http://s.gvult.com/uploads/posts/2014-03/kofeynya-zolotoy-dukat_logo.jpg</t>
  </si>
  <si>
    <t>http://www.freshcoffee.com.ua/indexen.html</t>
  </si>
  <si>
    <t>Kievdveri</t>
  </si>
  <si>
    <t>https://lh5.googleusercontent.com/-ZA4rU3v8Xik/AAAAAAAAAAI/AAAAAAAAABM/RRFo8CtHK8o/photo.jpg</t>
  </si>
  <si>
    <t>http://www.kievdveri.com</t>
  </si>
  <si>
    <t>n/a</t>
  </si>
  <si>
    <t>Europe-stomatolog-centre</t>
  </si>
  <si>
    <t>http://www.europe-stomatolog-centre.com.ua/img/logo_3.png</t>
  </si>
  <si>
    <t>Pickard Homes</t>
  </si>
  <si>
    <t>http://pickardhomes.kiev.ua/sites/default/files/images/Pickard-logo-big-bottom.jpg</t>
  </si>
  <si>
    <t>Socar</t>
  </si>
  <si>
    <t>http://asset1.mapia.ua/assets/features/000/948/761/logos/medium/socar.jpg</t>
  </si>
  <si>
    <t>http://www.socar.ua</t>
  </si>
  <si>
    <t>AZS Narodna</t>
  </si>
  <si>
    <t>http://infocars.org/imglib/_newimage/_site_settings/network_brands/narodna/657.jpg</t>
  </si>
  <si>
    <t>http://www.narodna.net</t>
  </si>
  <si>
    <t>Flyuia</t>
  </si>
  <si>
    <t>https://www.flyuia.com/assets/images/flyuia-mob.jpg</t>
  </si>
  <si>
    <t>http://www.flyuia.com/rus/main-russian.html</t>
  </si>
  <si>
    <t>Lowcost</t>
  </si>
  <si>
    <t>http://www.avia-tourism.com.ua/assets/images/special_offer/lowcost_v_ukraine.jpg</t>
  </si>
  <si>
    <t>http://www.avia-tourism.com.ua/airticket/low-cost_ukraine.html</t>
  </si>
  <si>
    <t>Gruzovozka</t>
  </si>
  <si>
    <t>http://gruzovozka.com/templates/zoka/images/s5_logo.png</t>
  </si>
  <si>
    <t>http://gruzovozka.com</t>
  </si>
  <si>
    <t>Klass</t>
  </si>
  <si>
    <t>http://irecommend.ru.q5.r-99.com/sites/default/files/imagecache/200x200/product-images/111571/klass_01.jpg</t>
  </si>
  <si>
    <t>http://www.klass.com.ua</t>
  </si>
  <si>
    <t>Narodny</t>
  </si>
  <si>
    <t>http://img.otzyvua.net/2011/11/26/supermarket-narodniy.jpg</t>
  </si>
  <si>
    <t>Absolut</t>
  </si>
  <si>
    <t>http://irecommend.ru/sites/default/files/product-images/32035/1332929823_absolut.jpg</t>
  </si>
  <si>
    <t>http://absolut.lg.ua</t>
  </si>
  <si>
    <t>Silpo</t>
  </si>
  <si>
    <t>http://irecommend.ru/sites/default/files/product-images/421874/9DV08vioIqhpNTg3Vwp7ng.jpg</t>
  </si>
  <si>
    <t>http://silpo.ua/ru/actions/priceoftheweek/</t>
  </si>
  <si>
    <t>Novus</t>
  </si>
  <si>
    <t>http://atmbud.ru/wp-content/uploads/2013/05/OOO-«Novus-Ukraina»-otkryla-eshhe-din-supermarket-v-Kieve.jpg</t>
  </si>
  <si>
    <t>http://www.novus.com.ua/uk</t>
  </si>
  <si>
    <t>Lotok</t>
  </si>
  <si>
    <t>http://img.otzyvua.net/2014/12/05/set-supermarketov-lotok.jpg</t>
  </si>
  <si>
    <t>https://lotok.ua</t>
  </si>
  <si>
    <t>BodyArt Fitness</t>
  </si>
  <si>
    <t>http://bodyartfitness.com.ua/wp-content/themes/baf_mobile/images/logo-print.jpg</t>
  </si>
  <si>
    <t>http://bodyartfitness.com.ua/infrastructure/</t>
  </si>
  <si>
    <t>Flexicon</t>
  </si>
  <si>
    <t>http://mdcreps.com/newspace/wp-content/uploads/2015/11/Flexicon-Logo.jpg</t>
  </si>
  <si>
    <t>http://www.flexicon.co.uk/index.html</t>
  </si>
  <si>
    <t>Glassteam</t>
  </si>
  <si>
    <t>https://okna.ua/tmp/1/glassteam-logo.jpeg</t>
  </si>
  <si>
    <t>http://glassteam.com.ua</t>
  </si>
  <si>
    <t>PZU</t>
  </si>
  <si>
    <t>http://myagent.com.ua/images/companylogos/12.10.2015_12_32_21.268.jpg</t>
  </si>
  <si>
    <t>https://www.pzu.com.ua/ru/</t>
  </si>
  <si>
    <t>Ciklum</t>
  </si>
  <si>
    <t>https://www.ciklum.com/ciklum-brand/ciklum-logo.svg</t>
  </si>
  <si>
    <t>https://www.ciklum.com</t>
  </si>
  <si>
    <t>Spetsosenka-Ukraine</t>
  </si>
  <si>
    <t>http://spetsocenka.com.ua/eng/frics2/</t>
  </si>
  <si>
    <t>Kyivstar</t>
  </si>
  <si>
    <t>https://upload.wikimedia.org/wikipedia/commons/e/e0/Kyivstar_logo15.png</t>
  </si>
  <si>
    <t>http://business.kyivstar.ua/en/kr-620/mm/</t>
  </si>
  <si>
    <t>MTS Ukraine</t>
  </si>
  <si>
    <t>http://www.mts.ua/images/logo-mts-ukraine-ua-fb.png</t>
  </si>
  <si>
    <t>http://www.mts.ua/ru/</t>
  </si>
  <si>
    <t>Golf Stream</t>
  </si>
  <si>
    <t>http://www.ukrgolf.org/i/cat/cat_53398ea9e06f4.png</t>
  </si>
  <si>
    <t>http://kievgolfclub.com</t>
  </si>
  <si>
    <t>Golf Kiev</t>
  </si>
  <si>
    <t>http://www.ukrgolf.org/i/cat/cat_53398e5ba5426.jpg</t>
  </si>
  <si>
    <t>http://golfkiev.com</t>
  </si>
  <si>
    <t>Privatbank</t>
  </si>
  <si>
    <t>http://itc.ua/wp-content/uploads/2012/11/logo-privatbank.jpg</t>
  </si>
  <si>
    <t>https://privatbank.ua/ru/kredity/zhilje-v-kredit/</t>
  </si>
  <si>
    <t>Trodat</t>
  </si>
  <si>
    <t>http://www.stampdesigner.co.uk/c/83-tm_home_default/trodat.jpg</t>
  </si>
  <si>
    <t>http://trodat.kiev.ua</t>
  </si>
  <si>
    <t>Opt Optika</t>
  </si>
  <si>
    <t>https://images.ua.prom.st/509650721_w640_h640_opravy9.jpg</t>
  </si>
  <si>
    <t>http://optoptika.com/about_us</t>
  </si>
  <si>
    <t>Kievlinza +optika</t>
  </si>
  <si>
    <t>https://yt3.ggpht.com/-uZcVpk4y-PA/AAAAAAAAAAI/AAAAAAAAAAA/LQwXd4zUKU4/s900-c-k-no-mo-rj-c0xffffff/photo.jpg</t>
  </si>
  <si>
    <t>http://kievlinza.ua</t>
  </si>
  <si>
    <t>Sea</t>
  </si>
  <si>
    <t>http://www.ukr-prom.com/img/firm_logo/9650_437.jpg</t>
  </si>
  <si>
    <t>http://www.sea.com.ua/parkovochnoe_oborudovanie/modernizacia-parkovok</t>
  </si>
  <si>
    <t>http://depharm.com.ua/i/depharm-logo.png</t>
  </si>
  <si>
    <t>http://depharm.com.ua</t>
  </si>
  <si>
    <t>Standardsteel</t>
  </si>
  <si>
    <t>http://www.ua.all.biz/img/ua/pred/logo/91089.png</t>
  </si>
  <si>
    <t>http://standardsteel.com.ua</t>
  </si>
  <si>
    <t>Proffix</t>
  </si>
  <si>
    <t>http://avtomatizator.com.ua/images/proffix.jpg</t>
  </si>
  <si>
    <t>http://proffix.com.ua</t>
  </si>
  <si>
    <t>MUK Service</t>
  </si>
  <si>
    <t>https://yt3.ggpht.com/-8JnHIn2VVl4/AAAAAAAAAAI/AAAAAAAAAAA/LqU-lKVVn6k/s900-c-k-no-mo-rj-c0xffffff/photo.jpg</t>
  </si>
  <si>
    <t>http://www.service.muk.ua/repair/</t>
  </si>
  <si>
    <t>Fixcenter</t>
  </si>
  <si>
    <t>http://www.fixcenter.com.ua/wp-content/uploads/logo.png</t>
  </si>
  <si>
    <t>http://www.fixcenter.com.ua</t>
  </si>
  <si>
    <t>Pivcoff</t>
  </si>
  <si>
    <t>http://www.pivcoff.com/templates/pivkov/img/logo.png</t>
  </si>
  <si>
    <t>http://pivcoff.com</t>
  </si>
  <si>
    <t>Odessa</t>
  </si>
  <si>
    <t>http://s.gvult.com/uploads/posts/2014-06/restoran-odessa_logo.jpg</t>
  </si>
  <si>
    <t>http://odessarest.com.ua/en/</t>
  </si>
  <si>
    <t>Panorama</t>
  </si>
  <si>
    <t>http://topclub.ua/images/uploads/panorama_logo_c.jpg</t>
  </si>
  <si>
    <t>http://panorama-rest.com</t>
  </si>
  <si>
    <t>Evrasia</t>
  </si>
  <si>
    <t>http://evrasia.in.ua/sites/all/themes/evrasia_theme/images/evrasia_theme_logo.png</t>
  </si>
  <si>
    <t>http://evrasia.in.ua/ru/restaurants</t>
  </si>
  <si>
    <t>Leo</t>
  </si>
  <si>
    <t>http://leo.ua/images/logo.png</t>
  </si>
  <si>
    <t>http://leo.ua/en/</t>
  </si>
  <si>
    <t>Pervak</t>
  </si>
  <si>
    <t>http://restmap.com.ua/upload_picture/pervaklogo.jpg</t>
  </si>
  <si>
    <t>http://www.pervak.kiev.ua</t>
  </si>
  <si>
    <t>Chorne Porosya</t>
  </si>
  <si>
    <t>http://www.chorne-porosya.com.ua/wp-content/uploads/2016/08/BP_Logotype400.png</t>
  </si>
  <si>
    <t>http://www.chorne-porosya.com.ua/rezerv-stolika/</t>
  </si>
  <si>
    <t>Flamber</t>
  </si>
  <si>
    <t>http://rsd.com.ua/dbfiles/275241/FL-logo-end.jpg</t>
  </si>
  <si>
    <t>https://flamber.com.ua</t>
  </si>
  <si>
    <t>Mario</t>
  </si>
  <si>
    <t>http://guide-cafe.in.ua/wp-content/uploads//2016/12/mario-084f780a5d5e2770e742c5de6057c2d8.jpg</t>
  </si>
  <si>
    <t>http://mario.kiev.ua</t>
  </si>
  <si>
    <t>Monaco</t>
  </si>
  <si>
    <t>http://www.opi24.com.ua/upload/iblock/9e0/9e02eda55f1bc7fd064a4dd8e1ce840c.jpg</t>
  </si>
  <si>
    <t>http://www.monaco.com.ua/ru/restaurant/</t>
  </si>
  <si>
    <t>Chervona Kalina</t>
  </si>
  <si>
    <t>http://asset1.mapia.ua/assets/features/000/035/726/logos/medium/Chervona-Kalyna-generala-vatutina-logo.png</t>
  </si>
  <si>
    <t>http://www.chervonakalina.com.ua/ru/restaurant/</t>
  </si>
  <si>
    <t>Sauvage</t>
  </si>
  <si>
    <t>http://asset1.mapia.ua/assets/features/000/952/861/logos/medium/лого_Саваж.jpg</t>
  </si>
  <si>
    <t>http://sauvage.ua/restoran/</t>
  </si>
  <si>
    <t>State Fiscal Service of Ukraine</t>
  </si>
  <si>
    <t>https://upload.wikimedia.org/wikipedia/commons/b/b8/DFS_Ukraine_logo.png</t>
  </si>
  <si>
    <t>http://sfs.gov.ua</t>
  </si>
  <si>
    <t>National Bank of Ukraine</t>
  </si>
  <si>
    <t>https://www.wmclub.com.ua/uploads/news/5d93259ba69156c44cdc814c9a960290.png</t>
  </si>
  <si>
    <t>https://www.bank.gov.ua/control/uk/index</t>
  </si>
  <si>
    <t>Alfa Bank</t>
  </si>
  <si>
    <t>http://classiclife.com.ua/sites/default/files/images/logo_gorizont_print_UA1.jpg</t>
  </si>
  <si>
    <t>https://alfabank.ua/ru</t>
  </si>
  <si>
    <t>Eidos</t>
  </si>
  <si>
    <t>https://zp.rated.ua/images/2176-35222250x.jpg</t>
  </si>
  <si>
    <t>http://www.eidos.zp.ua</t>
  </si>
  <si>
    <t>CSM</t>
  </si>
  <si>
    <t>http://csm-ua.com/wp-content/uploads/2016/07/Logo_Columbia.png</t>
  </si>
  <si>
    <t>http://csm-ua.com</t>
  </si>
  <si>
    <t>https://pbs.twimg.com/profile_images/562224421134274560/faG3ysMg.png</t>
  </si>
  <si>
    <t>http://www.24k.ua</t>
  </si>
  <si>
    <t>Babyzone</t>
  </si>
  <si>
    <t>http://club.edinstvennaya.ua/pictures/uploads/images/LOGO_BABYZONE_CMYK-Converted.jpg</t>
  </si>
  <si>
    <t>http://babyzone.ua</t>
  </si>
  <si>
    <t>Bukva</t>
  </si>
  <si>
    <t>http://buyonline.co.ua/wp-content/uploads/2015/08/Bukva_ua.jpg</t>
  </si>
  <si>
    <t>http://bukva.ua/catalog/browse/445</t>
  </si>
  <si>
    <t>Shoko Smile</t>
  </si>
  <si>
    <t>http://news.liga.net/upload/iblock/081/081e086278ef50a4d61e293cf53c7b2e.jpg</t>
  </si>
  <si>
    <t>http://shokosmile.com.ua</t>
  </si>
  <si>
    <t>Shafa</t>
  </si>
  <si>
    <t>http://wiki.rademade.com/uploads/project/57c6acaa3152b74338f701b8/logo/0cad6bb3df93339f1403ec50bdce5a35.jpg</t>
  </si>
  <si>
    <t>http://shafa.ua/women</t>
  </si>
  <si>
    <t>MFS</t>
  </si>
  <si>
    <t>http://img.otzyvua.net/2015/07/30/internet-magazin-mfsua.png</t>
  </si>
  <si>
    <t>http://www.mfs.ua</t>
  </si>
  <si>
    <t>Le Boutique</t>
  </si>
  <si>
    <t>http://adbow.com.ua/eng/logo/slide_9.jpg</t>
  </si>
  <si>
    <t>https://leboutique.com/women</t>
  </si>
  <si>
    <t>Ostriv</t>
  </si>
  <si>
    <t>https://pbs.twimg.com/profile_images/722394911560114176/GD7YDt-k.jpg</t>
  </si>
  <si>
    <t>https://ostriv.ua</t>
  </si>
  <si>
    <t>Top Secret</t>
  </si>
  <si>
    <t>http://blackfridayukraine.com.ua/wp-content/uploads/2016/11/Top-Sekret-black-friday-ukraine-1.png</t>
  </si>
  <si>
    <t>http://www.topsecret.ua</t>
  </si>
  <si>
    <t>Isei</t>
  </si>
  <si>
    <t>https://www.intercharm.kiev.ua/images/111/15092016_111.png</t>
  </si>
  <si>
    <t>http://isei.com.ua</t>
  </si>
  <si>
    <t>Bomond</t>
  </si>
  <si>
    <t>http://bomond.com.ua/images/shop_images/shop_image_id_30.jpg</t>
  </si>
  <si>
    <t>http://bomond.com.ua/ru/</t>
  </si>
  <si>
    <t>Nyx</t>
  </si>
  <si>
    <t>http://www.joancorner.com/image/cache/data/test/NYX_logo-250x250.jpg</t>
  </si>
  <si>
    <t>http://nyx.com.ua</t>
  </si>
  <si>
    <t>Butlers</t>
  </si>
  <si>
    <t>https://www.svatebniasistentka.cz/wp-content/uploads/butlers-logo.jpg</t>
  </si>
  <si>
    <t>http://butlers-online.com.ua</t>
  </si>
  <si>
    <t>Domadom</t>
  </si>
  <si>
    <t>http://domadom.com.ua/img/logo.png</t>
  </si>
  <si>
    <t>http://domadom.com.ua</t>
  </si>
  <si>
    <t>Metropolis</t>
  </si>
  <si>
    <t>http://mall-expo.ua/sites/default/files/imagecache/mall-logo/category_pictures/metropolis_small_1334734768.jpg</t>
  </si>
  <si>
    <t>http://metropolis.ua</t>
  </si>
  <si>
    <t>Metrograd</t>
  </si>
  <si>
    <t>http://365.net.ua/wp-content/uploads/2013/07/metrograd-preview.jpg</t>
  </si>
  <si>
    <t>http://metrograd.kiev.ua</t>
  </si>
  <si>
    <t>Kiev</t>
  </si>
  <si>
    <t>http://leaderstvo.com.ua/uploads_images/partners/kiev.png</t>
  </si>
  <si>
    <t>http://trc-kiev.com/index.php/en/</t>
  </si>
  <si>
    <t>Dream Town</t>
  </si>
  <si>
    <t>http://otzyvchik.com/site_media/media/logos/2012/03/14/logo_dremtown.png</t>
  </si>
  <si>
    <t>http://dreamtown.ua</t>
  </si>
  <si>
    <t>Polarniy</t>
  </si>
  <si>
    <t>http://mall-expo.ua/sites/default/files/imagecache/mall-logo/category_pictures/polyarniy_001.jpg</t>
  </si>
  <si>
    <t>http://polarniy.com.ua</t>
  </si>
  <si>
    <t>Kapsula</t>
  </si>
  <si>
    <t>http://marchi.com.ua/wp-content/uploads/2013/10/Kapsula-logo-whtbg2-1024x419.jpg</t>
  </si>
  <si>
    <t>https://kapsula.com.ua</t>
  </si>
  <si>
    <t>Dolcedonna</t>
  </si>
  <si>
    <t>http://kiev.karavan.com.ua/wp-content/uploads/stores/dolcedonna/Bez-imeni-1.jpg</t>
  </si>
  <si>
    <t>https://dolcedonna.com.ua</t>
  </si>
  <si>
    <t>Rozetka</t>
  </si>
  <si>
    <t>http://8-themes.com/wp-content/uploads/2016/02/logo-rozetka-ua.png</t>
  </si>
  <si>
    <t>http://bt.rozetka.com.ua</t>
  </si>
  <si>
    <t>Allo</t>
  </si>
  <si>
    <t>https://hh.ua/employer-logo/1517255.jpeg</t>
  </si>
  <si>
    <t>http://allo.ua</t>
  </si>
  <si>
    <t>Comfy</t>
  </si>
  <si>
    <t>http://zakupy.lviv.ua/wp-content/uploads/2016/04/comfy-logo-new.png</t>
  </si>
  <si>
    <t>http://comfy.ua</t>
  </si>
  <si>
    <t>http://blog.florist.ru/wp-content/uploads/2007/12/logo2.jpg</t>
  </si>
  <si>
    <t>https://www.florist.ru/sluzhba-dostavki-cvetov.html</t>
  </si>
  <si>
    <t>PostCross</t>
  </si>
  <si>
    <t>https://pp.vk.me/c308531/g40123581/a_974651bb.jpg</t>
  </si>
  <si>
    <t>http://postcross.com.ua</t>
  </si>
  <si>
    <t>SeviTrade</t>
  </si>
  <si>
    <t>http://images.ua.prom.st/9648283_w0_h120_1.png</t>
  </si>
  <si>
    <t>http://sevi-trade.com/skobyanie-izdeliya</t>
  </si>
  <si>
    <t>Fayni-mebli</t>
  </si>
  <si>
    <t>https://hh.ua/employer-tab-picture-resized/313341.jpg</t>
  </si>
  <si>
    <t>http://fayni-mebli.com/файні-меблі.html</t>
  </si>
  <si>
    <t>Veneto</t>
  </si>
  <si>
    <t>http://giraffemall.com.ua/wp-content/uploads/2016/12/veneto.jpg</t>
  </si>
  <si>
    <t>http://veneto.ua/mebel?gclid=CLOt1PesldICFZG6GwodCgYPKg</t>
  </si>
  <si>
    <t>Taburetka</t>
  </si>
  <si>
    <t>https://www.taburetka.ua/images/logo_taburetka.png</t>
  </si>
  <si>
    <t>https://www.taburetka.ua</t>
  </si>
  <si>
    <t>Viland</t>
  </si>
  <si>
    <t>http://viland.ua/skin/frontend/default/viland/images/logo.png</t>
  </si>
  <si>
    <t>http://viland.ua/about</t>
  </si>
  <si>
    <t>Serebro</t>
  </si>
  <si>
    <t>https://pp.vk.me/c630624/v630624607/1a6da/bb7MwMhQz8c.jpg</t>
  </si>
  <si>
    <t>https://serebro.ua/o-nas.html</t>
  </si>
  <si>
    <t>Antoshka</t>
  </si>
  <si>
    <t>http://www.lookit.com.ua/chains_thumbnails/95/thumbnail_chain_logo.png</t>
  </si>
  <si>
    <t>http://antoshka.ua/?gclid=CJv1xvCyldICFcLGGwodB2wGPA</t>
  </si>
  <si>
    <t>Kapitoshik</t>
  </si>
  <si>
    <t>http://www.ua.all.biz/img/ua/pred/logo/90326.png</t>
  </si>
  <si>
    <t>http://kapitoshik.ua</t>
  </si>
  <si>
    <t>Eglo</t>
  </si>
  <si>
    <t>http://www.yellowpages.rs/komitent_multimedia/48700/48719/logo/eglo_rasveta-logo.png</t>
  </si>
  <si>
    <t>http://eglo.ua</t>
  </si>
  <si>
    <t>Segodnya</t>
  </si>
  <si>
    <t>http://segodnya-multimedia.com/sml.jpg</t>
  </si>
  <si>
    <t>http://segodnya-multimedia.com/</t>
  </si>
  <si>
    <t>Litma</t>
  </si>
  <si>
    <t>http://www.litma.com.ua/img/logo_en.jpg</t>
  </si>
  <si>
    <t>http://www.litma.com.ua/about.php?lan=ua</t>
  </si>
  <si>
    <t>Belsta</t>
  </si>
  <si>
    <t>http://belsta.shoes/wp-content/uploads/2015/11/belsta-logo-en1.png</t>
  </si>
  <si>
    <t>http://belsta.shoes/</t>
  </si>
  <si>
    <t>RN-Sports</t>
  </si>
  <si>
    <t>http://rn-sport.com.ua/</t>
  </si>
  <si>
    <t>Insport</t>
  </si>
  <si>
    <t>http://www.insport.com.ua/</t>
  </si>
  <si>
    <t>UKR inform</t>
  </si>
  <si>
    <t>https://www.ukrinform.ua/img/logo_ukr.svg</t>
  </si>
  <si>
    <t>https://www.ukrinform.ua/</t>
  </si>
  <si>
    <t>Sosnovayaroscha</t>
  </si>
  <si>
    <t>http://sosnovayaroscha.com/d/1070864/t/v1172/images/images/logo.png</t>
  </si>
  <si>
    <t>http://sosnovayaroscha.com/</t>
  </si>
  <si>
    <t>KAM Ltd</t>
  </si>
  <si>
    <t>http://kam.com.ua/</t>
  </si>
  <si>
    <t>Mobiliti</t>
  </si>
  <si>
    <t>http://www.mobiliti.com.ua/img/logo.gif</t>
  </si>
  <si>
    <t>http://www.mobiliti.com.ua/</t>
  </si>
  <si>
    <t>Musafir</t>
  </si>
  <si>
    <t>https://static.wixstatic.com/media/d37705_c4e09621090c41c69b0d0247a3cc0a93.png/v1/fill/w_222,h_121,al_c,usm_0.66_1.00_0.01/d37705_c4e09621090c41c69b0d0247a3cc0a93.png</t>
  </si>
  <si>
    <t>http://www.musafir.com.ua/</t>
  </si>
  <si>
    <t>People Net</t>
  </si>
  <si>
    <t>http://new.peoplenet.ua/file/services/logo.png</t>
  </si>
  <si>
    <t>http://peoplenet.ua/</t>
  </si>
  <si>
    <t>Vega Telecom</t>
  </si>
  <si>
    <t>http://www.vegatele.com/imglib/logo/logo-new.gif</t>
  </si>
  <si>
    <t>http://www.vegatele.com/ukr/for_home</t>
  </si>
  <si>
    <t>UKR telecom</t>
  </si>
  <si>
    <t>http://en.ukrtelecom.ua/media/img/design_2014_1/logo_en.jpg</t>
  </si>
  <si>
    <t>http://ukrtelecom.ua/</t>
  </si>
  <si>
    <t>https://kyivstar.ua/f/1/logo.jpg</t>
  </si>
  <si>
    <t>https://kyivstar.ua/uk/mm</t>
  </si>
  <si>
    <t>Kiyavia</t>
  </si>
  <si>
    <t>https://mrm.ua/uploads/assets/files/%d0%ba%d0%b8%d0%b9%d0%b0%d0%b2%d0%b8%d0%b0_%d0%bb%d0%be%d0%b3%d0%be.png</t>
  </si>
  <si>
    <t>https://www.kiyavia.com/en/index.htm</t>
  </si>
  <si>
    <t>Ukranian Exchange</t>
  </si>
  <si>
    <t>https://www.metatrader5.com/c/17/2012/11/ukrainian_exchange_1.png</t>
  </si>
  <si>
    <t>http://www.ux.ua/ua/</t>
  </si>
  <si>
    <t>Sputnik Kiev</t>
  </si>
  <si>
    <t>http://kyivcity.travel/Sputnik-eng-.JPG</t>
  </si>
  <si>
    <t>http://travel-to-ukraine.info/en/</t>
  </si>
  <si>
    <t>Dniproenergo</t>
  </si>
  <si>
    <t>http://dniproenergo.ua/index.php</t>
  </si>
  <si>
    <t>Donbasenergo</t>
  </si>
  <si>
    <t>http://de.com.ua/</t>
  </si>
  <si>
    <t>Burisma</t>
  </si>
  <si>
    <t>http://burisma.com/wp-content/uploads/2016/07/logo-burisma-png.png</t>
  </si>
  <si>
    <t>http://burisma.com/</t>
  </si>
  <si>
    <t>Vodokanal Kiev</t>
  </si>
  <si>
    <t>http://vodokanal.kiev.ua/img/logo.png</t>
  </si>
  <si>
    <t>http://vodokanal.kiev.ua/ua</t>
  </si>
  <si>
    <t>Vodokanal DP</t>
  </si>
  <si>
    <t>http://vodokanal.dp.ua/</t>
  </si>
  <si>
    <t>Atom</t>
  </si>
  <si>
    <t>http://www.atom.gov.ua/images/logo.png</t>
  </si>
  <si>
    <t>http://www.atom.gov.ua/en/index_eng.htm</t>
  </si>
  <si>
    <t>Kiev Racing Yacht club</t>
  </si>
  <si>
    <t>https://yt3.ggpht.com/-old54N_GR0E/AAAAAAAAAAI/AAAAAAAAAAA/8OWNvJHb6mE/s900-c-k-no-mo-rj-c0xffffff/photo.jpg</t>
  </si>
  <si>
    <t>http://www.kryc.com.ua/index.php?lang=ru</t>
  </si>
  <si>
    <t>Buy Ukrainian</t>
  </si>
  <si>
    <t>Online</t>
  </si>
  <si>
    <t>http://buy-ukrainian.com/image/data/logo.png</t>
  </si>
  <si>
    <t>http://buy-ukrainian.com/</t>
  </si>
  <si>
    <t>Privat Bank - Kiev ATM</t>
  </si>
  <si>
    <t>https://www.google.com/maps/d/viewer?mid=1V-i_6uS8LgC6YLIOvJdUGS4SZEg&amp;hl=en&amp;ll=50.432179621078774%2C30.549410999999964&amp;z=11</t>
  </si>
  <si>
    <t>Deltabank - Kiev ATM</t>
  </si>
  <si>
    <t>https://www.google.com/maps/d/viewer?mid=1if5uys4U1U9WLrCu8jjy0RqSjxg&amp;hl=en_US&amp;ll=50.45079955782529%2C30.535292000000027&amp;z=13</t>
  </si>
  <si>
    <t>Donation Miss Andruko</t>
  </si>
  <si>
    <t>Donation Mr and Mrs Kovalenko</t>
  </si>
  <si>
    <t>Donation Mr and Mrs Pipenko</t>
  </si>
  <si>
    <t>Donation Mr Skripchenko</t>
  </si>
  <si>
    <t>Donation Serben Family</t>
  </si>
  <si>
    <t>Donation Smiles</t>
  </si>
  <si>
    <t>https://image.slidesharecdn.com/smileukrainepresentation-121016031328-phpapp02/95/smile-ukraine-presentation-11-638.jpg?cb=1385011407</t>
  </si>
  <si>
    <t>http://www.smile-ukraine.com/</t>
  </si>
  <si>
    <t>Donation Laska</t>
  </si>
  <si>
    <t>http://www.topsolution.kiev.ua/wp-content/uploads/2016/01/Laskastore-%D0%91%D0%BB%D0%B0%D0%B3%D0%BE%D1%82%D0%B2%D0%BE%D1%80%D0%B8%D1%82%D0%B5%D0%BB%D1%8C%D0%BD%D1%8B%D0%B9-%D0%BC%D0%B0%D0%B3%D0%B0%D0%B7%D0%B8%D0%BD.jpg</t>
  </si>
  <si>
    <t>http://laskastore.com/</t>
  </si>
  <si>
    <t>Donation ukrainian women's fund</t>
  </si>
  <si>
    <t>http://www.womensfundingnetwork.org/wp-content/uploads/1970/01/ukranian.jpg</t>
  </si>
  <si>
    <t>http://www.uwf.org.ua/</t>
  </si>
  <si>
    <t>Donation Raziotel Kyiv</t>
  </si>
  <si>
    <t>https://reikartz.com/files/_thumbs/6869_700x500_dim1.jpg</t>
  </si>
  <si>
    <t>https://raziotel.com/ua/</t>
  </si>
  <si>
    <t>Donation Mission of Ukraine to the European Union
Mission of Ukraine to the European Union
Mission of Ukraine to the European Union
Mission of Ukraine to the European Union</t>
  </si>
  <si>
    <t>http://ukraine-eu.mfa.gov.ua/mediafiles/sites/ukraine-eu/images/news/tmbs/eu-tmb-270x180.jpg</t>
  </si>
  <si>
    <t>http://ukraine-eu.mfa.gov.ua/en/ukraine-eu/relations</t>
  </si>
  <si>
    <t>Mr D Holub</t>
  </si>
  <si>
    <t>Hospice</t>
  </si>
  <si>
    <t>http://stopassistedsuicidemd.org/app/uploads/2015/11/Hospice_Media_Logo.png</t>
  </si>
  <si>
    <t>http://hospice.com.ua</t>
  </si>
  <si>
    <t>medikom</t>
  </si>
  <si>
    <t>http://medikom.ua/img/logo_index_for_google_big.png</t>
  </si>
  <si>
    <t>http://medikom.ua</t>
  </si>
  <si>
    <t>Salary Mr R Gogol</t>
  </si>
  <si>
    <t>Salary Mrs F Vovk</t>
  </si>
  <si>
    <t>Paid Invoice Mr Bakaj</t>
  </si>
  <si>
    <t>Paid Invoice Mr Antonenko</t>
  </si>
  <si>
    <t>Paid Invoice Miss Yelyuk</t>
  </si>
  <si>
    <t>Paid Invoice 76542 Mr Ivanenko</t>
  </si>
  <si>
    <t>Paid Invoice  986 Mr Vovk</t>
  </si>
  <si>
    <t>Paid Invoice 2297 Miss Bublik</t>
  </si>
  <si>
    <t>uz</t>
  </si>
  <si>
    <t>http://www.uz.gov.ua</t>
  </si>
  <si>
    <t>INGO</t>
  </si>
  <si>
    <t>http://probability.univ.kiev.ua/msta2conf/images/ingo.png</t>
  </si>
  <si>
    <t>http://ingo.kiev.ua</t>
  </si>
  <si>
    <t>Turkey</t>
  </si>
  <si>
    <t>Izair</t>
  </si>
  <si>
    <t>http://izair.com.tr/images/iz-logo.png</t>
  </si>
  <si>
    <t>http://www.izair.com.tr/en/</t>
  </si>
  <si>
    <t>Onur</t>
  </si>
  <si>
    <t>http://www.onurair.com/tr/images/logo/logo.png</t>
  </si>
  <si>
    <t>http://www.onurair.com/tr/default.aspx</t>
  </si>
  <si>
    <t>Çelebi</t>
  </si>
  <si>
    <t>http://www.celebiaviation.com/images/logo.png</t>
  </si>
  <si>
    <t>http://www.celebiaviation.com/tr/yazi.php?id=75</t>
  </si>
  <si>
    <t>Great Mosque of Divriği</t>
  </si>
  <si>
    <t>Turkish attraction</t>
  </si>
  <si>
    <t>http://www.divrigiulucamii.com/en/images/logo_kaymakamlik.png</t>
  </si>
  <si>
    <t>http://www.divrigiulucamii.com/en/</t>
  </si>
  <si>
    <t>Haspa Bar</t>
  </si>
  <si>
    <t>http://i2.wp.com/istanbulbear.org/wp-content/uploads/2015/02/haspalogo.jpg?fit=320%2C320</t>
  </si>
  <si>
    <t>http://www.haspabar.com/</t>
  </si>
  <si>
    <t>Tektekci Bar</t>
  </si>
  <si>
    <t>http://english.cesme.net/dosyalar/resimler/firma_resimleri/643868-tektekci-alacati.jpg</t>
  </si>
  <si>
    <t>http://www.tektekci.com.tr/</t>
  </si>
  <si>
    <t>The DJ list</t>
  </si>
  <si>
    <t>https://d1qb2nb5cznatu.cloudfront.net/startups/i/265560-2cb8e366981b7a73c016b5f3a21ce656-medium_jpg.jpg?buster=1389140183</t>
  </si>
  <si>
    <t>http://thedjlist.com/agents/dbs-turkey/</t>
  </si>
  <si>
    <t>Delphi</t>
  </si>
  <si>
    <t>http://www.delphi.com/images/default-source/site-design/delphi-logo-white.png?sfvrsn=2</t>
  </si>
  <si>
    <t>http://www.delphi.com/about/locations/turkey</t>
  </si>
  <si>
    <t>TTKDER</t>
  </si>
  <si>
    <t>Animal Conservation Charity</t>
  </si>
  <si>
    <t>http://www.ttkder.org.tr/templates/ttkder/images/logo.png</t>
  </si>
  <si>
    <t>http://www.ttkder.org.tr/</t>
  </si>
  <si>
    <t>TIHV</t>
  </si>
  <si>
    <t>http://tihv.org.tr/wp-content/uploads/2015/04/thiv-left.png</t>
  </si>
  <si>
    <t>http://tihv.org.tr/</t>
  </si>
  <si>
    <t>Cinemaximum</t>
  </si>
  <si>
    <t>https://www.cinemaximum.com.tr/Assets/Web/build/assets/images/logos/cinemaximum-main.png</t>
  </si>
  <si>
    <t>https://www.cinemaximum.com.tr/</t>
  </si>
  <si>
    <t>Simdi</t>
  </si>
  <si>
    <t>http://www.simdi.com.tr/img/logo.png</t>
  </si>
  <si>
    <t>http://www.simdi.com.tr/</t>
  </si>
  <si>
    <t>Midpoint</t>
  </si>
  <si>
    <t>http://www.midpoint.com.tr/assets/images/global/logo.png</t>
  </si>
  <si>
    <t>http://www.midpoint.com.tr/tr</t>
  </si>
  <si>
    <t>TAS</t>
  </si>
  <si>
    <t>http://www.steeldoorturkey.com/images/en_logo.png</t>
  </si>
  <si>
    <t>http://www.steeldoorturkey.com/steel-door/index.php</t>
  </si>
  <si>
    <t>IBB</t>
  </si>
  <si>
    <t>https://www.ibb.istanbul/Content/Frontend/svg/istanbul-buyuksehir-belediyesi-logo.svg</t>
  </si>
  <si>
    <t>https://www.ibb.istanbul/</t>
  </si>
  <si>
    <t>Istanbulagizdis</t>
  </si>
  <si>
    <t>http://v2.istanbulagizdis.gov.tr/img/logo.png</t>
  </si>
  <si>
    <t>http://v2.istanbulagizdis.gov.tr/SayfaDetay.aspx?SayfaId=16</t>
  </si>
  <si>
    <t>Domaza</t>
  </si>
  <si>
    <t>http://www.internationalpropertyshow.ae/wp-content/uploads/2014/09/domaza-org-218x210.-Logo.jpg</t>
  </si>
  <si>
    <t>https://www.domaza.com.tr/</t>
  </si>
  <si>
    <t>Petrol Ofisi</t>
  </si>
  <si>
    <t>https://en.wikipedia.org/wiki/Petrol_Ofisi#/media/File:Petrol_Ofisi_logo.png</t>
  </si>
  <si>
    <t>http://www.omvpetrolofisiholding.com.tr/index.html</t>
  </si>
  <si>
    <t>Shell</t>
  </si>
  <si>
    <t>http://logodatabases.com/wp-content/uploads/2012/03/shell-logo-1024x948.png</t>
  </si>
  <si>
    <t>Turkish Airlines</t>
  </si>
  <si>
    <t>https://turkishairlines.ssl.cdn.sdlmedia.com/image/635941403774999399ID.png</t>
  </si>
  <si>
    <t>https://p.turkishairlines.com/</t>
  </si>
  <si>
    <t>Pegasus</t>
  </si>
  <si>
    <t>https://images.seeklogo.net/2013/04/pegasus-airlines-eps-vector-logo.png</t>
  </si>
  <si>
    <t>https://www.flypgs.com/</t>
  </si>
  <si>
    <t>Genel Transport</t>
  </si>
  <si>
    <t>http://www.geneltransport.com.tr/images/dunya.jpg?crc=179122214</t>
  </si>
  <si>
    <t>http://www.geneltransport.com.tr/</t>
  </si>
  <si>
    <t>BIM</t>
  </si>
  <si>
    <t>http://www.bim.com.tr/templates/page/bimtr/css/images/logo.fw.png</t>
  </si>
  <si>
    <t>http://www.bim.com.tr/default.aspx</t>
  </si>
  <si>
    <t>https://www.carrefoursa.com/resources/img/logo.gif</t>
  </si>
  <si>
    <t>https://www.carrefoursa.com/</t>
  </si>
  <si>
    <t>http://www.makromarket.com.tr/Content/images/makro_new_logo.png</t>
  </si>
  <si>
    <t>http://www.makromarket.com.tr</t>
  </si>
  <si>
    <t>Kipa</t>
  </si>
  <si>
    <t>http://www.kipa.com.tr/images/kipa-logo.png</t>
  </si>
  <si>
    <t>http://www.kipa.com.tr/</t>
  </si>
  <si>
    <t>Migros</t>
  </si>
  <si>
    <t>https://www.migroskurumsal.com/images/logo.png</t>
  </si>
  <si>
    <t>https://www.migroskurumsal.com/default.aspx</t>
  </si>
  <si>
    <t>Real</t>
  </si>
  <si>
    <t>http://www.real.com.tr/img/structure/logos/logo_real.gif</t>
  </si>
  <si>
    <t>http://www.real.com.tr/</t>
  </si>
  <si>
    <t>Noagym</t>
  </si>
  <si>
    <t>http://www.noagym.com/Assets/images/logo.png</t>
  </si>
  <si>
    <t>http://www.noagym.com/</t>
  </si>
  <si>
    <t>WiCo</t>
  </si>
  <si>
    <t>http://www.wico.com.es/wp-content/uploads/2014/05/logo-wico11.png</t>
  </si>
  <si>
    <t>http://wico.com.es/tr/sirketimiz/</t>
  </si>
  <si>
    <t>Royalcam</t>
  </si>
  <si>
    <t>http://www.royalcam.com.tr/Content/images/logo.png</t>
  </si>
  <si>
    <t>http://www.royalcam.com.tr/Product/EndustriyelCamlar</t>
  </si>
  <si>
    <t>Anadolusigorta</t>
  </si>
  <si>
    <t>http://www.bselitsigorta.com/images/sigorta/anadolu-sigorta-logo-kare.jpg</t>
  </si>
  <si>
    <t>http://www.anadolusigorta.com.tr/</t>
  </si>
  <si>
    <t>Hizliyol</t>
  </si>
  <si>
    <t>http://www.hizliyol.com/images/logo.png</t>
  </si>
  <si>
    <t>http://www.hizliyol.com/</t>
  </si>
  <si>
    <t>Side Development</t>
  </si>
  <si>
    <t>http://www.sidedevelopment.com/images/sil.jpg</t>
  </si>
  <si>
    <t>http://www.sidedevelopment.com/tr</t>
  </si>
  <si>
    <t>Turkcell</t>
  </si>
  <si>
    <t>http://numarabil.com/home/images/team6.png</t>
  </si>
  <si>
    <t>http://www.turkcell.com.tr/</t>
  </si>
  <si>
    <t>Vodafone Tr</t>
  </si>
  <si>
    <t>http://www.vodafone.com.tr/img/logo60.png</t>
  </si>
  <si>
    <t>http://www.vodafone.com.tr/</t>
  </si>
  <si>
    <t>Carya Golf Club</t>
  </si>
  <si>
    <t>http://www.caryagolf.com/assets/img/general/logo.png</t>
  </si>
  <si>
    <t>http://www.caryagolf.com/tr/ana-sayfa/</t>
  </si>
  <si>
    <t>Turkcell ADSL</t>
  </si>
  <si>
    <t>http://www.superonline.net/internet/adsl</t>
  </si>
  <si>
    <t>DenizBank</t>
  </si>
  <si>
    <t>http://www.denizbank.com/en/about-us/_i/logolar/denizbank.jpg</t>
  </si>
  <si>
    <t>http://www.denizbank.com/</t>
  </si>
  <si>
    <t>http://www.sgs.com.tr/images/homepage/logo.png</t>
  </si>
  <si>
    <t>http://www.sgs.com.tr/</t>
  </si>
  <si>
    <t>YellAli</t>
  </si>
  <si>
    <t>http://www.yellali.com/assets/img/top_logo.png</t>
  </si>
  <si>
    <t>http://www.yellali.com/</t>
  </si>
  <si>
    <t>Ser Optik</t>
  </si>
  <si>
    <t>http://www.yasam-tasarimi.com/site_images/references/seroptik_logo.png</t>
  </si>
  <si>
    <t>http://www.seroptik.com.tr/</t>
  </si>
  <si>
    <t>Eltis</t>
  </si>
  <si>
    <t>http://www.eltis.org/sites/eltis/files/newlogoeltisv4.png</t>
  </si>
  <si>
    <t>http://www.eltis.org/</t>
  </si>
  <si>
    <t>Istanbulsaglik</t>
  </si>
  <si>
    <t>http://www.istanbulsaglik.gov.tr/resim/logoTam.jpg</t>
  </si>
  <si>
    <t>http://www.istanbulsaglik.gov.tr/index.asp</t>
  </si>
  <si>
    <t>Umran</t>
  </si>
  <si>
    <t>http://www.umran.com/images/template/logo_EN.png</t>
  </si>
  <si>
    <t>http://www.umran.com/</t>
  </si>
  <si>
    <t>Turkish Technic</t>
  </si>
  <si>
    <t>http://www.turkishtechnic.com/assets/img/logo_top.png</t>
  </si>
  <si>
    <t>http://www.turkishtechnic.com/tr/index.html</t>
  </si>
  <si>
    <t>Omron</t>
  </si>
  <si>
    <t>https://industrial.omron.com.tr/images/2015/omron-logo.svg</t>
  </si>
  <si>
    <t>https://industrial.omron.com.tr/tr/home</t>
  </si>
  <si>
    <t>Harem</t>
  </si>
  <si>
    <t>https://haremistanbulcafe.files.wordpress.com/2015/10/harem_istanbul_logosadfinal.jpg</t>
  </si>
  <si>
    <t>https://haremistanbulrestaurant.com/</t>
  </si>
  <si>
    <t>Ciya</t>
  </si>
  <si>
    <t>http://www.ciya.com.tr/cliparts/top/top01.gif</t>
  </si>
  <si>
    <t>http://www.ciya.com.tr/</t>
  </si>
  <si>
    <t>Asitane</t>
  </si>
  <si>
    <t>http://www.asitanerestaurant.com/images/asitane_restaurant_logo_web.gif</t>
  </si>
  <si>
    <t>https://www.asitanerestaurant.com/</t>
  </si>
  <si>
    <t>Three Sixty Istanbul</t>
  </si>
  <si>
    <t>http://www.360istanbul.com/eng/wp-content/uploads/2015/03/logo_elixir.png</t>
  </si>
  <si>
    <t>http://www.360istanbul.com/tr/index.html</t>
  </si>
  <si>
    <t>Neyzade</t>
  </si>
  <si>
    <t>http://www.neyzaderestaurant.com/wp-content/themes/MyCuisine/images/logo.png</t>
  </si>
  <si>
    <t>http://www.neyzaderestaurant.com/</t>
  </si>
  <si>
    <t>FiveKat</t>
  </si>
  <si>
    <t>http://www.5kat.com/img/logo.png</t>
  </si>
  <si>
    <t>http://www.5kat.com/</t>
  </si>
  <si>
    <t>Amedros</t>
  </si>
  <si>
    <t>https://www.amedroscafe.com/wp-content/uploads/2014/11/amedros-cafe-logo-main1.png</t>
  </si>
  <si>
    <t>https://www.amedroscafe.com/tr/</t>
  </si>
  <si>
    <t>Gelik</t>
  </si>
  <si>
    <t>http://www.gelik.com.tr/images/logo.png</t>
  </si>
  <si>
    <t>http://www.gelik.com.tr/index.html</t>
  </si>
  <si>
    <t>Nisantasi Baskose</t>
  </si>
  <si>
    <t>http://www.nisantasibaskose.com/assets/img/masterPage/logo.png</t>
  </si>
  <si>
    <t>http://www.nisantasibaskose.com/</t>
  </si>
  <si>
    <t>Sirvan Sofrasi</t>
  </si>
  <si>
    <t>http://sirvansofrasi.com/images/logo.png</t>
  </si>
  <si>
    <t>http://sirvansofrasi.com/</t>
  </si>
  <si>
    <t>Tugra</t>
  </si>
  <si>
    <t>https://awscloudfront.kempinski.com/1208/ist_logo.png;autorotate=true;quality=90;scale=both;progressive=true;encoder=freeimage</t>
  </si>
  <si>
    <t>https://www.kempinski.com/tr/istanbul/ciragan-palace/dining/restaurants/tugra/</t>
  </si>
  <si>
    <t>Beyoglukalamar</t>
  </si>
  <si>
    <t>http://www.beyoglukalamarrestaurant.com.tr/images/Logo.gif</t>
  </si>
  <si>
    <t>http://www.beyoglukalamarrestaurant.com.tr/Tr.asp</t>
  </si>
  <si>
    <t>Akbukturkey</t>
  </si>
  <si>
    <t>http://www.akbukturkey.com/top/logo.png</t>
  </si>
  <si>
    <t>http://www.akbukturkey.com/road_tax.html</t>
  </si>
  <si>
    <t>Ziraat Banski</t>
  </si>
  <si>
    <t>https://upload.wikimedia.org/wikipedia/commons/6/69/Ziraat_Bankas%C4%B1_logo.png</t>
  </si>
  <si>
    <t>http://www.ziraat.com.tr/en/Retail/DepositProducts/Pages/TurkishLiraTimeDepositAccounts.aspx</t>
  </si>
  <si>
    <t>Akbank</t>
  </si>
  <si>
    <t>https://www.edremitfirmarehberi.com/uploads/logo/akbank.png</t>
  </si>
  <si>
    <t>http://www.akbank.com/tr-tr/Sayfalar/default.aspx</t>
  </si>
  <si>
    <t>IICS</t>
  </si>
  <si>
    <t>http://www.iics-k12.net/infographic/images/Istanbul-International-Community-School.png</t>
  </si>
  <si>
    <t>http://www.iics-k12.net/</t>
  </si>
  <si>
    <t>Albros</t>
  </si>
  <si>
    <t>http://popeye-crew.com/upload/crew16/logo_Albros.png</t>
  </si>
  <si>
    <t>http://www.albros.com.tr/</t>
  </si>
  <si>
    <t>TheIA silver</t>
  </si>
  <si>
    <t>http://www.theiasilver.com/image/data/aa4.jpg</t>
  </si>
  <si>
    <t>http://www.theiasilver.com/index.php?route=common/home</t>
  </si>
  <si>
    <t>Istanbul Kids</t>
  </si>
  <si>
    <t>http://www.istanbulkidsfashion.com/images/logo.png?v=22112016</t>
  </si>
  <si>
    <t>http://www.istanbulkidsfashion.com/?lng=tr</t>
  </si>
  <si>
    <t>Turkishbooks.com</t>
  </si>
  <si>
    <t>http://www.turkishbooks.com/templates/turkishbooks/i/logo.jpg</t>
  </si>
  <si>
    <t>http://www.turkishbooks.com/</t>
  </si>
  <si>
    <t>https://cdn.godivatr.com/godiva/Content/img/godiva-logo.png</t>
  </si>
  <si>
    <t>https://www.godivatr.com/tr</t>
  </si>
  <si>
    <t>The Guide shop</t>
  </si>
  <si>
    <t>https://cdn.shopify.com/s/files/1/0451/7109/t/15/assets/logo.png?11221497324178050183</t>
  </si>
  <si>
    <t>https://www.shoptheguide.com/</t>
  </si>
  <si>
    <t>Shopi go</t>
  </si>
  <si>
    <t>https://yt3.ggpht.com/-h7TOZ0k5IEw/AAAAAAAAAAI/AAAAAAAAAAA/ncw9eUPSh8k/s900-c-k-no-mo-rj-c0xffffff/photo.jpg</t>
  </si>
  <si>
    <t>https://shopigo.com/?lang=tr#indirim_item</t>
  </si>
  <si>
    <t>Beymen</t>
  </si>
  <si>
    <t>http://bullseyeww.com/wp-content/uploads/2016/11/beymen_logo.png</t>
  </si>
  <si>
    <t>https://www.beymen.com/</t>
  </si>
  <si>
    <t>Truproject</t>
  </si>
  <si>
    <t>https://cdn.shopify.com/s/files/1/0715/4441/t/8/assets/logo.png?4922823038081822882</t>
  </si>
  <si>
    <t>https://truproject.net/</t>
  </si>
  <si>
    <t>365ist</t>
  </si>
  <si>
    <t>https://www.365ist.com/images/logolar/365ist_Logo_300x250.png</t>
  </si>
  <si>
    <t>https://www.365ist.com/</t>
  </si>
  <si>
    <t>Turkish Cosmetics</t>
  </si>
  <si>
    <t>http://www.turkishcosmetics.org/images/logo.png</t>
  </si>
  <si>
    <t>http://www.turkishcosmetics.org/</t>
  </si>
  <si>
    <t>http://nd20.sephora.fr/image/73/8/logo-sephora.header.640.10738.jpg</t>
  </si>
  <si>
    <t>http://www.sephora.com.tr/</t>
  </si>
  <si>
    <t>Hunca</t>
  </si>
  <si>
    <t>http://www.hunca.com.tr/assets/images/logo5.png</t>
  </si>
  <si>
    <t>http://www.hunca.com.tr/default.aspx</t>
  </si>
  <si>
    <t>https://www.beymen.com/home-gift-33655</t>
  </si>
  <si>
    <t>Vakko</t>
  </si>
  <si>
    <t>https://fimgs.net/images/dizajneri/o.1238.jpg</t>
  </si>
  <si>
    <t>http://www.vakko.com/</t>
  </si>
  <si>
    <t>http://www.harveynichols.com.tr/imgs/common/hnlogo.jpg</t>
  </si>
  <si>
    <t>http://www.harveynichols.com.tr/tr/</t>
  </si>
  <si>
    <t>Mudo</t>
  </si>
  <si>
    <t>https://static.multiscreen.technology/mudo//img/logo/15-07/27/mudo-main-logo-1428676656-1438008139.jpg</t>
  </si>
  <si>
    <t>https://www.mudo.com.tr/</t>
  </si>
  <si>
    <t>Boyner</t>
  </si>
  <si>
    <t>https://www.boyner.com.tr/assets/images/boyner.png</t>
  </si>
  <si>
    <t>https://www.boyner.com.tr/</t>
  </si>
  <si>
    <t>Shaya</t>
  </si>
  <si>
    <t>http://www.logovector.org/wp-content/uploads/logos/png/s/shaya_logo.png</t>
  </si>
  <si>
    <t>http://www.shaya.com.tr/tr</t>
  </si>
  <si>
    <t>Grand Bazaar</t>
  </si>
  <si>
    <t>http://www.grandbazaaristanbul.org/Grand_Bazaar_Istanbul_files/GBazaarPanelSmall.jpg</t>
  </si>
  <si>
    <t>http://www.grandbazaaristanbul.org/Grand_Bazaar_Istanbul.html</t>
  </si>
  <si>
    <t>Ece Gozen</t>
  </si>
  <si>
    <t>http://boynergrup.com/web/wp-content/uploads/2014/10/Untitled-2-700x352.jpg</t>
  </si>
  <si>
    <t>http://www.ecegozen.com/</t>
  </si>
  <si>
    <t>Neijla Guvenc</t>
  </si>
  <si>
    <t>https://4.bp.blogspot.com/-Udwo9AD6Mx0/VSQQwG9sWkI/AAAAAAAAA8s/DCeoUq62kOk/s1600/Nejla%2BG%C3%BCven%C3%A7%2BAmerika'da%2BKad%C4%B1n%2BGiri%C5%9Fimciler%2Bkitab%C4%B1nda.jpg</t>
  </si>
  <si>
    <t>http://www.nej.com.tr/</t>
  </si>
  <si>
    <t>http://2.bp.blogspot.com/-ls0K3Q3A-L4/VgEQWsp8CxI/AAAAAAAADUY/4vuuk60VgDI/s1600/Media-Markt-vector-logo.png</t>
  </si>
  <si>
    <t>http://www.mediamarkt.com.tr/?rbtc=mmc|but|headernavigation-link~turkey||||</t>
  </si>
  <si>
    <t>Baff</t>
  </si>
  <si>
    <t>http://intercomtr.com/ORTA%20SAYFA/baff-tr-logo.jpg</t>
  </si>
  <si>
    <t>http://www.baff.com.tr/</t>
  </si>
  <si>
    <t>Yumatu</t>
  </si>
  <si>
    <t>http://www.yumatu.com.tr/wp-content/uploads/2017/01/Header_logo.png</t>
  </si>
  <si>
    <t>http://www.yumatu.com.tr/</t>
  </si>
  <si>
    <t>MG Floral design</t>
  </si>
  <si>
    <t>https://static.wixstatic.com/media/4bccf0_45b854dd44314022b770287182c0c977~mv2.png/v1/fill/w_128,h_169,al_c,usm_0.66_1.00_0.01/4bccf0_45b854dd44314022b770287182c0c977~mv2.png</t>
  </si>
  <si>
    <t>http://www.mgfloraldesign.net/</t>
  </si>
  <si>
    <t>Partidukkanim</t>
  </si>
  <si>
    <t>https://partidukkanim.com/image/cache/catalog/gallery/logo-parti-dukkanim-orta-400x234.png</t>
  </si>
  <si>
    <t>https://partidukkanim.com/?route=common/home</t>
  </si>
  <si>
    <t>Fraenkische</t>
  </si>
  <si>
    <t>https://www.fraenkische.com/portal/pics/layout/logo_fraenkische.svg</t>
  </si>
  <si>
    <t>https://www.fraenkische-tr.com/index.php</t>
  </si>
  <si>
    <t>Ersamobilya</t>
  </si>
  <si>
    <t>http://www.ersamobilya.com/bundles/atlcommon/ersa/img/logo.png?v=1</t>
  </si>
  <si>
    <t>www.ersamobilya.com/en/page/we</t>
  </si>
  <si>
    <t>Ndesign</t>
  </si>
  <si>
    <t>http://ndesign.com.tr/wp-content/uploads/2016/10/nd-svg-white.svg</t>
  </si>
  <si>
    <t>http://ndesign.com.tr/</t>
  </si>
  <si>
    <t>Armonna furniture</t>
  </si>
  <si>
    <t>http://armonnafurniture.com/wp-content/uploads/2015/05/LOGO.png</t>
  </si>
  <si>
    <t>http://armonnafurniture.com/</t>
  </si>
  <si>
    <t>Halitlar</t>
  </si>
  <si>
    <t>http://www.halitlar.com/resimler/halitlar_logo.jpg</t>
  </si>
  <si>
    <t>http://www.halitlar.com/index.html</t>
  </si>
  <si>
    <t>Grand Bazaar Jewelers</t>
  </si>
  <si>
    <t>https://www.grandbazaarjewelers.com/Images/gbj_logosite@2x.png</t>
  </si>
  <si>
    <t>https://www.grandbazaarjewelers.com/</t>
  </si>
  <si>
    <t>http://www.nextplc.co.uk/~/media/Images/N/Next-PLC-V2/content-images/image-gallery/logos/Next-Thin-Master-Logo-2014.jpg?w=767</t>
  </si>
  <si>
    <t>http://www.nextdirect.com/tr/en</t>
  </si>
  <si>
    <t>Napapijiri</t>
  </si>
  <si>
    <t>https://www.lilado.de/images/gallery/herstellerlogos/NAPAPIJRI.jpg</t>
  </si>
  <si>
    <t>http://www.napapijri.com/tr/</t>
  </si>
  <si>
    <t>Mosaic Lamp Store</t>
  </si>
  <si>
    <t>http://www.mosaiclampstore.com/content/images/thumbs/0000894.png</t>
  </si>
  <si>
    <t>http://www.mosaiclampstore.com/</t>
  </si>
  <si>
    <t>Ay Gazete</t>
  </si>
  <si>
    <t>http://www.aygazete.com/images/logo.png</t>
  </si>
  <si>
    <t>http://www.aygazete.com/</t>
  </si>
  <si>
    <t>Turquoise shoes</t>
  </si>
  <si>
    <t>https://s-media-cache-ak0.pinimg.com/originals/62/a8/f7/62a8f70510ea6a6dc67aa1776bc99e9a.png</t>
  </si>
  <si>
    <t>http://www.turquoise.me/</t>
  </si>
  <si>
    <t>Nursace</t>
  </si>
  <si>
    <t>http://www.nursace.com/Uploads/Images/logo.png</t>
  </si>
  <si>
    <t>http://www.nursace.com/</t>
  </si>
  <si>
    <t>Flo</t>
  </si>
  <si>
    <t>http://www.babaimage.com/images/flo-download-logo.jpg</t>
  </si>
  <si>
    <t>http://ziylan.com.tr/</t>
  </si>
  <si>
    <t>Digiturk</t>
  </si>
  <si>
    <t>http://www.digiturk.com.tr/assets/img/logo-bein.png</t>
  </si>
  <si>
    <t>http://www.digiturk.com.tr/</t>
  </si>
  <si>
    <t>Ayasofyahamami</t>
  </si>
  <si>
    <t>https://lh3.googleusercontent.com/-qENopjf-xaQ/VUvdqb-AvtI/AAAAAAAAADo/BnNqaevXM_I/s512-p/Ayasofya-Hurrem-Sultan-LogoFull.jpg</t>
  </si>
  <si>
    <t>http://www.ayasofyahamami.com/</t>
  </si>
  <si>
    <t>Ugur</t>
  </si>
  <si>
    <t>http://www.ugur.com/images/logo.png</t>
  </si>
  <si>
    <t>http://www.ugur.com/</t>
  </si>
  <si>
    <t>Vestel</t>
  </si>
  <si>
    <t>http://www.photos.apo-opa.com/plog-content/images/apo/logos/vestel.png</t>
  </si>
  <si>
    <t>http://vestelinternational.com/en/</t>
  </si>
  <si>
    <t>Nunoodle</t>
  </si>
  <si>
    <t>http://www.nunoodle.com/images/img-logo01.gif</t>
  </si>
  <si>
    <t>http://www.nunoodle.com/default.asp</t>
  </si>
  <si>
    <t>Telsim Vodafone</t>
  </si>
  <si>
    <t>http://logosandbrands.directory/wp-content/themes/directorypress/thumbs/Turkcell-logo.jpg</t>
  </si>
  <si>
    <t>Turk Telecom</t>
  </si>
  <si>
    <t>https://www.turktelekom.com.tr/assets/img/TTLogo.png</t>
  </si>
  <si>
    <t>https://www.turktelekom.com.tr/Sayfalar/Ana-Sayfa.aspx</t>
  </si>
  <si>
    <t>Avea</t>
  </si>
  <si>
    <t>https://www.brandsoftheworld.com/sites/default/files/styles/logo-thumbnail/public/062013/logo.3d.slogan.png?itok=-Ra6PXku</t>
  </si>
  <si>
    <t>http://www.avea.com.tr/web/</t>
  </si>
  <si>
    <t>Efendi Travel</t>
  </si>
  <si>
    <t>http://www.efenditravel.com/images/efendi-travel-logo.jpg</t>
  </si>
  <si>
    <t>http://www.efenditravel.com/Turkey-Tours-mod347868547-efendimenu827634823764823</t>
  </si>
  <si>
    <t>Karaca</t>
  </si>
  <si>
    <t>https://yt3.ggpht.com/-vwJ-fz415BE/AAAAAAAAAAI/AAAAAAAAAAA/QmZiARcIbFo/s900-c-k-no-mo-rj-c0xffffff/photo.jpg</t>
  </si>
  <si>
    <t>http://www.karacagumrukleme.com/ENG/index.php</t>
  </si>
  <si>
    <t>Gurtour</t>
  </si>
  <si>
    <t>http://www.gurtour.com/img/ghost.gif</t>
  </si>
  <si>
    <t>http://www.gurtour.com/</t>
  </si>
  <si>
    <t>TEP</t>
  </si>
  <si>
    <t>http://www.turkishelectricpower.com/wp-content/uploads/2015/11/logo.png</t>
  </si>
  <si>
    <t>http://www.turkishelectricpower.com/</t>
  </si>
  <si>
    <t>Gungor Elektrik</t>
  </si>
  <si>
    <t>http://www.gungorelektrik.com/images/logoGUNGORELEKTRIK.png</t>
  </si>
  <si>
    <t>http://www.gungorelektrik.com/</t>
  </si>
  <si>
    <t>Bosphorusgaz</t>
  </si>
  <si>
    <t>https://www.bosphorusgaz.com/wp-content/themes/theme1288/images/temp/logo.jpg</t>
  </si>
  <si>
    <t>https://www.bosphorusgaz.com/</t>
  </si>
  <si>
    <t>Suez-Environment</t>
  </si>
  <si>
    <t>http://www.suez-environnement.com/wp-content/themes/suezenv2012/assets/css/images/logo.png?v=2.5</t>
  </si>
  <si>
    <t>http://www.suez-environnement.com/</t>
  </si>
  <si>
    <t>WABAG</t>
  </si>
  <si>
    <t>http://www.wabag.com/wp-content/themes/wabag/images/logo.jpg</t>
  </si>
  <si>
    <t>http://www.wabag.com/</t>
  </si>
  <si>
    <t>Calikenerji</t>
  </si>
  <si>
    <t>http://www.calikenerji.com/_catalogs/masterpage/img/logo.png</t>
  </si>
  <si>
    <t>http://www.calikenerji.com/</t>
  </si>
  <si>
    <t>Gocek YC</t>
  </si>
  <si>
    <t>http://www.gocekyachtclub.org/imge/logo.png</t>
  </si>
  <si>
    <t>http://www.gocekyachtclub.org/</t>
  </si>
  <si>
    <t>http://cdn.ikea.com.tr/_assets/images/logo-ikea.png</t>
  </si>
  <si>
    <t>http://www.ikea.com.tr/en/</t>
  </si>
  <si>
    <t>ICBC Turkey ATM</t>
  </si>
  <si>
    <t>https://www.google.de/maps/place/ICBC+Turkey+Pangaltı+ATM+ve+Şubesi/@49.7076784,-2.8730434,4z/data=!4m8!1m2!2m1!1satm+turkey!3m4!1s0x14cab712760b65a1:0x26a506625a4900c7!8m2!3d41.050584!4d28.98771</t>
  </si>
  <si>
    <t>Turkish Bank ATM</t>
  </si>
  <si>
    <t>https://www.google.de/maps/place/Turkish+Bank+ATM/@49.7076784,-2.8730434,4z/data=!4m8!1m2!2m1!1satm+turkey!3m4!1s0x14cab643d270f317:0x8b8702c2e89dde37!8m2!3d41.0752633!4d29.0176719</t>
  </si>
  <si>
    <t>Donation Miss Aydan</t>
  </si>
  <si>
    <t>Donation Mr and Mrs Cihan</t>
  </si>
  <si>
    <t>Donation Mr and Mrs Balcı</t>
  </si>
  <si>
    <t>Donation Mr Akyol</t>
  </si>
  <si>
    <t>Donation Ekren Family</t>
  </si>
  <si>
    <t>Donation Turmepa</t>
  </si>
  <si>
    <t>https://yt3.ggpht.com/-i8O_Isd5DMs/AAAAAAAAAAI/AAAAAAAAAAA/CgKsaGyMXVA/s900-c-k-no-mo-rj-c0xffffff/photo.jpg</t>
  </si>
  <si>
    <t>http://www.turmepa.org.tr</t>
  </si>
  <si>
    <t>Donation Care</t>
  </si>
  <si>
    <t>http://www.care-international.org/assets/images/CARE_default_thumb.jpg</t>
  </si>
  <si>
    <t>http://www.care.org.tr</t>
  </si>
  <si>
    <t>Donation Sight for all</t>
  </si>
  <si>
    <t>http://sightforall.org/img/sight-for-all-logo.svg</t>
  </si>
  <si>
    <t>http://sightforall.org</t>
  </si>
  <si>
    <t>Donation Akra</t>
  </si>
  <si>
    <t>https://www.akrahotels.com/wp-content/uploads/2017/01/Akra-NEW-2.png</t>
  </si>
  <si>
    <t>https://www.akrahotels.com</t>
  </si>
  <si>
    <t xml:space="preserve">Donation Union of Turkish Bar </t>
  </si>
  <si>
    <t>http://img.sur.ly/thumbnails/620x343/e/eski.barobirlik.org.tr.png</t>
  </si>
  <si>
    <t>http://eski.barobirlik.org.tr/eng/</t>
  </si>
  <si>
    <t>Mr D Karatay</t>
  </si>
  <si>
    <t>A-Dora Huzurevi</t>
  </si>
  <si>
    <t>https://pbs.twimg.com/profile_images/2943210950/635e734c41b93fdccc11543310454ca2_400x400.jpeg</t>
  </si>
  <si>
    <t>http://www.adorahuzurevi.com</t>
  </si>
  <si>
    <t>ahu hastanesi</t>
  </si>
  <si>
    <t>https://pbs.twimg.com/profile_images/806824531771949057/NQ-Dh3pj.jpg</t>
  </si>
  <si>
    <t>http://www.ahuhastanesi.com</t>
  </si>
  <si>
    <t>Salary Mr R Kavak</t>
  </si>
  <si>
    <t>Salary Mrs F Hamdi</t>
  </si>
  <si>
    <t>Paid Invoice Mr Kizil</t>
  </si>
  <si>
    <t>Paid Invoice Mr Nazif</t>
  </si>
  <si>
    <t>Paid Invoice Miss Nazmi</t>
  </si>
  <si>
    <t>Paid Invoice 76542 Mr Ocak</t>
  </si>
  <si>
    <t>Paid Invoice  986 Mr Niazi</t>
  </si>
  <si>
    <t>Paid Invoice 2297 Miss Suvari</t>
  </si>
  <si>
    <t>anadolu sigorta</t>
  </si>
  <si>
    <t>https://upload.wikimedia.org/wikipedia/commons/thumb/9/9e/Anadolu_Sigorta_logo.svg/1200px-Anadolu_Sigorta_logo.svg.png</t>
  </si>
  <si>
    <t>https://www.aa.com/newamerican/img/newLook1.jpg</t>
  </si>
  <si>
    <t>https://www.aa.com/homePage.do</t>
  </si>
  <si>
    <t>Delta</t>
  </si>
  <si>
    <t>http://airlines-airports.com/wp-content/uploads/2016/07/Delta-Air-Lines-logo.jpg</t>
  </si>
  <si>
    <t>http://www.delta.com/</t>
  </si>
  <si>
    <t>Boston Logan Airport</t>
  </si>
  <si>
    <t>https://upload.wikimedia.org/wikipedia/en/1/1e/Boston_Logan_International_Airport_Logo.jpg</t>
  </si>
  <si>
    <t>http://www.massport.com/logan-airport</t>
  </si>
  <si>
    <t>New England Aquarium</t>
  </si>
  <si>
    <t>USA attraction</t>
  </si>
  <si>
    <t>https://upload.wikimedia.org/wikipedia/en/thumb/3/30/New_England_Aquarium_Logo.svg/1280px-New_England_Aquarium_Logo.svg.png</t>
  </si>
  <si>
    <t>http://www.neaq.org/</t>
  </si>
  <si>
    <t>21 Amendment</t>
  </si>
  <si>
    <t>https://pbs.twimg.com/profile_images/1466076013/logo_21av_where_beaconhill_meets__400x400.jpg</t>
  </si>
  <si>
    <t>http://www.21stboston.com/</t>
  </si>
  <si>
    <t>Battery Park</t>
  </si>
  <si>
    <t>https://images-platform.99static.com/YCZAxMo_0Vldk-5klD_vQclPcQY=/500x500/top/smart/99designs-contests-attachments/3/3841/attachment_3841858</t>
  </si>
  <si>
    <t>https://www.batteryparkboston.com/</t>
  </si>
  <si>
    <t>Booking com</t>
  </si>
  <si>
    <t>https://images.seeklogo.net/2015/09/bookingcom-logo-vector-download.jpg</t>
  </si>
  <si>
    <t>http://www.booking.com/index.html?aid=811935</t>
  </si>
  <si>
    <t>Hertz</t>
  </si>
  <si>
    <t>http://www.rentalcars.com/images/suppliers/flat/hertz_logo_400.jpg</t>
  </si>
  <si>
    <t>https://www.hertz.com/p/car-rental/united-states</t>
  </si>
  <si>
    <t>Little Brothers</t>
  </si>
  <si>
    <t>https://houghton.littlebrothers.org/wp-content/uploads/2015/08/logo-3.png</t>
  </si>
  <si>
    <t>http://www.littlebrothers.org/</t>
  </si>
  <si>
    <t>YMCA</t>
  </si>
  <si>
    <t>http://www.atmorey.com/edit/resources/logo2.png</t>
  </si>
  <si>
    <t>http://www.ymca.net/</t>
  </si>
  <si>
    <t>AMC Theatres</t>
  </si>
  <si>
    <t>http://www.newsarama.com/images/i/000/168/460/i02/amc-logo.jpg</t>
  </si>
  <si>
    <t>https://www.amctheatres.com/movie-theatres/boston/amc-loews-boston-common-19</t>
  </si>
  <si>
    <t>http://vignette1.wikia.nocookie.net/logopedia/images/1/1a/Starbucks_logo_2011.png/revision/latest?cb=20120721153544</t>
  </si>
  <si>
    <t>https://www.starbucks.com</t>
  </si>
  <si>
    <t>Birch Coffee</t>
  </si>
  <si>
    <t>http://birchcoffee.com/v4/wp-content/uploads/2015/11/birchtree-footer.png</t>
  </si>
  <si>
    <t>http://birchcoffee.com/</t>
  </si>
  <si>
    <t>Trudoor</t>
  </si>
  <si>
    <t>https://www.brandsoftheworld.com/sites/default/files/styles/logo-original-577x577/public/032015/trudoor_logo.png?itok=SpRBjty_</t>
  </si>
  <si>
    <t>http://www.trudoor.com/</t>
  </si>
  <si>
    <t>City of Boston</t>
  </si>
  <si>
    <t>https://patterns.boston.gov/images/public/seal.svg?k=p102b8</t>
  </si>
  <si>
    <t>https://www.boston.gov/departments/tax-collection</t>
  </si>
  <si>
    <t>Osoria Dental Boston</t>
  </si>
  <si>
    <t>https://pbs.twimg.com/profile_images/378800000712724899/6cae7d6465b384f6ccbf90ebb90cb02f_400x400.jpeg</t>
  </si>
  <si>
    <t>http://osoriodentalboston.com</t>
  </si>
  <si>
    <t>Century 21</t>
  </si>
  <si>
    <t>http://www.c21cityside.com/wp-content/uploads/2016/09/White-C21-Logo-High-Quality.jpg</t>
  </si>
  <si>
    <t>http://www.c21cityside.com</t>
  </si>
  <si>
    <t>BP</t>
  </si>
  <si>
    <t>http://www.localstuff.com.au/wp-content/uploads/2015/04/bp-logo.jpg</t>
  </si>
  <si>
    <t>http://www.bp.com/</t>
  </si>
  <si>
    <t>Texaco</t>
  </si>
  <si>
    <t>http://logodatabases.com/wp-content/uploads/2012/03/texaco-logo-1024x1024.png</t>
  </si>
  <si>
    <t>http://www.texaco.com/</t>
  </si>
  <si>
    <t>Cheapoair</t>
  </si>
  <si>
    <t>http://static1.squarespace.com/static/52cf17b8e4b043c170016cde/t/53280b96e4b0bea727f8255e/1395133335717/CheapOair.com_Logo.jpg?format=750w</t>
  </si>
  <si>
    <t>https://www.cheapoair.com/</t>
  </si>
  <si>
    <t>Orbitz</t>
  </si>
  <si>
    <t>https://www.orbitz.com/blog/wp-content/uploads/2009/11/orbitz-logo.png</t>
  </si>
  <si>
    <t>https://www.orbitz.com/</t>
  </si>
  <si>
    <t>Fedex</t>
  </si>
  <si>
    <t>http://3.bp.blogspot.com/-SZGsKxvHaHY/VKUwUMGZIyI/AAAAAAAABCA/GRQowwqVxdA/s1600/fedex-main.png</t>
  </si>
  <si>
    <t>http://www.fedex.com/us/</t>
  </si>
  <si>
    <t>Whole Foods Market</t>
  </si>
  <si>
    <t>https://etfdailynews.com/wp-content/uploads/2016/11/whole-foods-wfm-logo.png</t>
  </si>
  <si>
    <t>https://www.wholefoodsmarket.com/stores/charlesriver</t>
  </si>
  <si>
    <t xml:space="preserve">Trader Joe </t>
  </si>
  <si>
    <t>https://media.glassdoor.com/sqll/5631/trader-joe-s-squarelogo-1484267290025.png</t>
  </si>
  <si>
    <t>https://www.traderjoes.com</t>
  </si>
  <si>
    <t>Star Market</t>
  </si>
  <si>
    <t>https://www.starmarket.com/wp-content/uploads/2017/04/Star.jpg</t>
  </si>
  <si>
    <t>https://local.starmarket.com/ma/boston/53-huntington-ave.html</t>
  </si>
  <si>
    <t>Stop and Shop</t>
  </si>
  <si>
    <t>https://images.stopandshop.com/static/rsns/img/opco-logo.svg</t>
  </si>
  <si>
    <t>https://stopandshop.com/;jsessionid=DJyMhcyGdXRc2hnQFsP2SGVK82HsQmQlyn67tGDsBdLLBJJHbBMQ!-1546874356?_requestid=3610526</t>
  </si>
  <si>
    <t>Harvest Co-Op</t>
  </si>
  <si>
    <t>http://www.harvest.coop/wp-content/themes/harvest_gc/images/logo.png</t>
  </si>
  <si>
    <t>http://www.harvestcoop.com</t>
  </si>
  <si>
    <t>Shaws</t>
  </si>
  <si>
    <t>https://www.shaws.com/wp-content/uploads/2015/11/shaws_800.jpg</t>
  </si>
  <si>
    <t>https://local.shaws.com/ma/east-boston/246-border-st.html</t>
  </si>
  <si>
    <t>golds Gym</t>
  </si>
  <si>
    <t>https://www.goldsgym.com/assets/dist/img/logo/notext/gray.svg</t>
  </si>
  <si>
    <t>https://www.goldsgym.com/southbostonma/</t>
  </si>
  <si>
    <t>Gillette</t>
  </si>
  <si>
    <t>http://logok.org/wp-content/uploads/2014/04/Gillette-logo.png</t>
  </si>
  <si>
    <t>http://gillette.com/en-us</t>
  </si>
  <si>
    <t>Ball Glass</t>
  </si>
  <si>
    <t>https://upload.wikimedia.org/wikipedia/commons/thumb/9/99/Logo_Ball_Corporation.svg/1920px-Logo_Ball_Corporation.svg.png</t>
  </si>
  <si>
    <t>http://www.ball.com/na</t>
  </si>
  <si>
    <t>Manhattan Life</t>
  </si>
  <si>
    <t>https://www.manhattanlife.com/Portals/0/logo.png?ver=2013-09-12-143838-077</t>
  </si>
  <si>
    <t>https://www.manhattanlife.com/</t>
  </si>
  <si>
    <t>Apple</t>
  </si>
  <si>
    <t>http://images.apple.com/ac/ac-video-posterframe/1.0/images/ac-video-poster_848x480.jpg</t>
  </si>
  <si>
    <t>https://www.apple.com/</t>
  </si>
  <si>
    <t>Hines</t>
  </si>
  <si>
    <t>https://drooms.com/sites/default/files/dd_reference_logos/ref_hines_536_436.png</t>
  </si>
  <si>
    <t>http://www.hines.com/</t>
  </si>
  <si>
    <t>AT&amp;T</t>
  </si>
  <si>
    <t>http://www.underconsideration.com/brandnew/archives/att_2016_logo_before_after.png</t>
  </si>
  <si>
    <t>https://www.att.com/</t>
  </si>
  <si>
    <t>US Cellular</t>
  </si>
  <si>
    <t>http://logonoid.com/images/us-cellular-logo.png</t>
  </si>
  <si>
    <t>https://www.uscellular.com/</t>
  </si>
  <si>
    <t>Boston GolF Club</t>
  </si>
  <si>
    <t>https://www.bostongolfclub.org/club/scripts/section/section.asp?NS=HP</t>
  </si>
  <si>
    <t>Video Room</t>
  </si>
  <si>
    <t>https://i.vimeocdn.com/portrait/15948725_300x300</t>
  </si>
  <si>
    <t>http://videoroom.net/index.php</t>
  </si>
  <si>
    <t>Drew Mortgage</t>
  </si>
  <si>
    <t>https://marketersmedia.com/wp-content/uploads/2016/09/Google-profiel-pic.jpg</t>
  </si>
  <si>
    <t>https://www.drewmortgage.com</t>
  </si>
  <si>
    <t>Quill</t>
  </si>
  <si>
    <t>https://upload.wikimedia.org/wikipedia/en/1/10/Quill_Corporation_logo.png</t>
  </si>
  <si>
    <t>http://www.quill.com/</t>
  </si>
  <si>
    <t>South End Eye</t>
  </si>
  <si>
    <t>http://www.upna.org/club/merchLogos/SEEyeLogo.jpg</t>
  </si>
  <si>
    <t>http://www.southendeye.com/</t>
  </si>
  <si>
    <t>Studio Optics</t>
  </si>
  <si>
    <t>https://s3-media3.fl.yelpcdn.com/bphoto/z-QaWXoCSJtb5AdMZdxZ6A/ls.jpg</t>
  </si>
  <si>
    <t>https://www.studiooptics.net/</t>
  </si>
  <si>
    <t>Parkwhiz</t>
  </si>
  <si>
    <t>http://www.parkwhiz.com/images/fb-og.png</t>
  </si>
  <si>
    <t>https://www.parkwhiz.com/p/boston-parking/?gclid=CjwKCAiA1uHSBRBUEiwAkBCtzbAEAJrAODQT5VDE1w5HdszRLFio5E-GtewwoHzWt9SAjd8NJuxj9BoCnfMQAvD_BwE</t>
  </si>
  <si>
    <t>Pfizer</t>
  </si>
  <si>
    <t>https://upload.wikimedia.org/wikipedia/commons/thumb/a/ad/Pfizer_Logo.svg/2000px-Pfizer_Logo.svg.png</t>
  </si>
  <si>
    <t>http://www.pfizer.com/</t>
  </si>
  <si>
    <t>Strike Pipelines</t>
  </si>
  <si>
    <t>http://static.wixstatic.com/media/9a621d_0323c555dba1418b8eac628237762ce5.png_srz_564_361_85_22_0.50_1.20_0.00_png_srz</t>
  </si>
  <si>
    <t>http://www.strikeconstruction.com/Pages/default.aspx</t>
  </si>
  <si>
    <t>City Home Repair</t>
  </si>
  <si>
    <t>http://www.cityhomerepair.com/____impro/1/onewebmedia/Main%20Banner%20Optimized.png?etag=W%2F%22180c0-5a18c515%22&amp;sourceContentType=image%2Fpng&amp;ignoreAspectRatio&amp;resize=852%2B171&amp;sourceContentType=image%252Fpng</t>
  </si>
  <si>
    <t>http://www.cityhomerepair.com/handyman</t>
  </si>
  <si>
    <t>Boston Appliance Repair</t>
  </si>
  <si>
    <t>http://bostonappliance.biz/wp-content/uploads/2016/05/cropped-cropped-Logo-flipped2-cropped.png</t>
  </si>
  <si>
    <t>http://bostonappliance.biz/</t>
  </si>
  <si>
    <t>Legacy Appliance Repair</t>
  </si>
  <si>
    <t>http://legacyappliancerepair.com/wp-content/uploads/2016/03/legacy-appliance-repair-banner.jpg</t>
  </si>
  <si>
    <t>http://legacyappliancerepair.com/appliance-repair-boston/</t>
  </si>
  <si>
    <t>ROW 34</t>
  </si>
  <si>
    <t>http://row34nh.com/wp-content/themes/row34/img/Row34_GIF_GreyBG.gif</t>
  </si>
  <si>
    <t>http://row34.com</t>
  </si>
  <si>
    <t>MOOO</t>
  </si>
  <si>
    <t>https://3emsiq36oenj2cmlhdjc290x-wpengine.netdna-ssl.com/wp-content/uploads/2008/03/logo-original-mooo-380x214.png</t>
  </si>
  <si>
    <t>http://mooorestaurant.com</t>
  </si>
  <si>
    <t>Italian Express Pizzeria</t>
  </si>
  <si>
    <t>http://www.italianexpresspizzeria.com/images/ieptop.jpg</t>
  </si>
  <si>
    <t>http://www.italianexpresspizzeria.com</t>
  </si>
  <si>
    <t>O Ya</t>
  </si>
  <si>
    <t>https://www.parksouthhotel.com/files/3160/logo-oya.png</t>
  </si>
  <si>
    <t>https://o-ya.restaurant/o-ya-boston/</t>
  </si>
  <si>
    <t>Mela</t>
  </si>
  <si>
    <t>https://res.cloudinary.com/grubhub/image/upload/w_1200,h_800,f_auto,fl_lossy,q_80,c_fit/tygvz041atqe4jvdja4m</t>
  </si>
  <si>
    <t>http://www.melaboston.com</t>
  </si>
  <si>
    <t>tasty Burger</t>
  </si>
  <si>
    <t>https://getbento.imgix.net/accounts/236fb3743b9522eafb90c6d2d20b8115/media/accounts/media/V1G5LTCrSDqyixbNUDpr_logo-tasty-burger.png?w=1200&amp;fit=fill&amp;auto=compress,format&amp;h=600&amp;bg=EDEDF1&amp;pad=100</t>
  </si>
  <si>
    <t>http://www.tastyburger.com/location/fenway/</t>
  </si>
  <si>
    <t>Avana Sushi</t>
  </si>
  <si>
    <t>https://s3-media2.fl.yelpcdn.com/bphoto/gzbmlpalJ906WHywkvi1gg/o.jpg</t>
  </si>
  <si>
    <t>https://www.avanabostonma.com</t>
  </si>
  <si>
    <t>Dumpling Café</t>
  </si>
  <si>
    <t>http://www.dumplingcafe.com/images/logo.png</t>
  </si>
  <si>
    <t>http://www.dumplingcafe.com</t>
  </si>
  <si>
    <t>Lucca</t>
  </si>
  <si>
    <t>http://www.luccaboston.com/wp-content/uploads/2016/02/lucclogo.png</t>
  </si>
  <si>
    <t>http://www.luccaboston.com</t>
  </si>
  <si>
    <t>Cheers</t>
  </si>
  <si>
    <t>https://cheersboston.com/assets/img/cheers-logo.png</t>
  </si>
  <si>
    <t>https://cheersboston.com</t>
  </si>
  <si>
    <t>Panza</t>
  </si>
  <si>
    <t>https://ediblereflections.files.wordpress.com/2015/12/20150906_183314-2.jpg</t>
  </si>
  <si>
    <t>http://www.panzarestaurant.com</t>
  </si>
  <si>
    <t>South Street Dinner</t>
  </si>
  <si>
    <t>https://upload.wikimedia.org/wikipedia/en/thumb/2/29/This_is_a_logo_for_South_Street_Diner.jpg/220px-This_is_a_logo_for_South_Street_Diner.jpg</t>
  </si>
  <si>
    <t>http://southstreetdiner.com</t>
  </si>
  <si>
    <t>Motor Vehicle Tax</t>
  </si>
  <si>
    <t>https://www.boston.gov/sites/default/files/bgov-logo.jpg</t>
  </si>
  <si>
    <t>https://www.boston.gov/departments/tax-collection/motor-vehicle-and-boat-tax</t>
  </si>
  <si>
    <t>Synchrony Bank</t>
  </si>
  <si>
    <t>https://www.synchronybank.com/cs/groups/cmswebsite/documents/websiteasset/wres009899.png</t>
  </si>
  <si>
    <t>https://www.synchronybank.com/banking/home</t>
  </si>
  <si>
    <t>Ally Bank</t>
  </si>
  <si>
    <t>https://d187qskirji7ti.cloudfront.net/companies/wide_images/000/000/021/1483732334_large.png</t>
  </si>
  <si>
    <t>https://ally.com</t>
  </si>
  <si>
    <t>British International School of Boston</t>
  </si>
  <si>
    <t>http://www.nordangliaeducation.com/resources/us/_cms-site-content/_boston/img/logos/mobile.svg</t>
  </si>
  <si>
    <t>http://www.nordangliaeducation.com/our-schools/boston?utm_source=google&amp;utm_medium=cpc&amp;utm_term=private%20school%20boston&amp;utm_campaign=US_Boston_650001_EN_WW_KWS_PT_Location-Generic_EX</t>
  </si>
  <si>
    <t>Crowley</t>
  </si>
  <si>
    <t>http://www.maritime-executive.com/media/images/article/Logos/A-E/original/Crowley_logo.jpg</t>
  </si>
  <si>
    <t>http://crowley.com</t>
  </si>
  <si>
    <t>American Eagle Outfitters</t>
  </si>
  <si>
    <t>http://fontslogo.com/wp-content/uploads/2013/11/Volkhov-Regular_American-Eagle-Outfitters-Logo-Font.jpg</t>
  </si>
  <si>
    <t>https://www.ae.com</t>
  </si>
  <si>
    <t>Babies R us</t>
  </si>
  <si>
    <t>http://img11.deviantart.net/ca2f/i/2015/262/d/d/babies_r_us_new_logo_by_dledeviant-d9a41de.png</t>
  </si>
  <si>
    <t>http://www.toysrus.com/shop/index.jsp?categoryId=2255957</t>
  </si>
  <si>
    <t>Abe Books</t>
  </si>
  <si>
    <t>http://howmuchdoes.com/wp-content/uploads/2015/05/abebooks-logo.jpg</t>
  </si>
  <si>
    <t>https://www.abebooks.com/your-online-bookstore-houston-tx-u.s.a/55604094/sf</t>
  </si>
  <si>
    <t>Hershey</t>
  </si>
  <si>
    <t>http://www.hdicon.com/wp-content/uploads/2010/07/Hersheys.png</t>
  </si>
  <si>
    <t>https://www.hersheys.com/en_us/home.html</t>
  </si>
  <si>
    <t>Gap</t>
  </si>
  <si>
    <t>https://media.glassdoor.com/sqll/114118/the-gap-squarelogo-1424386386836.png</t>
  </si>
  <si>
    <t>httP://gap.com</t>
  </si>
  <si>
    <t>L.L Bean</t>
  </si>
  <si>
    <t>http://fontmeme.com/images/L.L.Bean-Logo.jpg</t>
  </si>
  <si>
    <t>https://global.llbean.com/</t>
  </si>
  <si>
    <t>Anna Sui</t>
  </si>
  <si>
    <t>https://www.brandeps.com/logo-download/A/Anna-Sui-01.png</t>
  </si>
  <si>
    <t>http://www.annasui.com/en/#/home</t>
  </si>
  <si>
    <t>Tommy Hilfiger</t>
  </si>
  <si>
    <t>http://fontmeme.com/images/Tommy-Hilfiger-Logo.jpg</t>
  </si>
  <si>
    <t>http://global.tommy.com/?change=true</t>
  </si>
  <si>
    <t>Abercrombie</t>
  </si>
  <si>
    <t>http://fontmeme.com/images/Abercrombie-Fitch-Logo.jpg</t>
  </si>
  <si>
    <t>http://abercrombie.com</t>
  </si>
  <si>
    <t>https://upload.wikimedia.org/wikipedia/en/archive/a/a9/20170122071746!Sephora_Logo.JPG</t>
  </si>
  <si>
    <t>http://www.sephora.com/</t>
  </si>
  <si>
    <t>Beauty Bay</t>
  </si>
  <si>
    <t>https://media.licdn.com/media/AAEAAQAAAAAAAANqAAAAJGMwYTQ1N2ExLTZhNGItNDE1Yi04YmFhLWJlY2RiNGZkMTQ5Nw.png</t>
  </si>
  <si>
    <t>http://www.beautybay.com/cosmetics/</t>
  </si>
  <si>
    <t>Kiko Milano</t>
  </si>
  <si>
    <t>http://intu.co.uk/uploads/media/logo_retailer/0001/12/thumb_11646_logo_retailer_1x.png</t>
  </si>
  <si>
    <t>http://www.kikocosmetics.com/en-us/utils/store-locator.html</t>
  </si>
  <si>
    <t>http://cdn-7.famouslogos.us/images/wal-mart-logo.jpg</t>
  </si>
  <si>
    <t>https://www.walmart.com/</t>
  </si>
  <si>
    <t>Seers</t>
  </si>
  <si>
    <t>http://logonoid.com/images/sears-logo.png</t>
  </si>
  <si>
    <t>http://www.sears.com/en_intnl/dap/shopping-tourism.html</t>
  </si>
  <si>
    <t xml:space="preserve">Barneys </t>
  </si>
  <si>
    <t>http://letagemagazine.com/wp-content/uploads/2013/10/BARNEYS-NEW-YORK-LOGO-1y-3Screenres.jpg</t>
  </si>
  <si>
    <t>http://www.barneys.com/?utm_source=google&amp;utm_medium=cpc&amp;campaignid=180753768&amp;adgroupid=12648227328&amp;keyword=barneys%20new%20york&amp;matchtype=e&amp;device=c&amp;creative=174493705322&amp;querystring={querystring}&amp;campaign=INTERNATIONAL%20-%20REGION%20-%20Europe%20-%20Core%20-%20Barneys&amp;adgroup=Barneys%20New%20York%20-%20Exact&amp;cmpntype=brand&amp;k_clickid=9eb2af9b-e7bf-43af-afde-00d7f38029c6&amp;gclid=CjwKEAiAlZDFBRCKncm67qihiHwSJABtoNIg_5XRaf3wKX1q3FT4SvOM6VEU37mUQ6Sa6jmAzH4kYhoCnSPw_wcB</t>
  </si>
  <si>
    <t>Bealls Florida</t>
  </si>
  <si>
    <t>https://res.cloudinary.com/goodsearch/image/upload/v1436893161/hi_resolution_merchant_logos/bealls-florida_coupons.jpg</t>
  </si>
  <si>
    <t>http://www.beallsflorida.com/</t>
  </si>
  <si>
    <t>Bloomingdales</t>
  </si>
  <si>
    <t>http://cdn1.viewpoints.com/pro-product-photos/000/422/013/300/bloomingdales-logo.jpg</t>
  </si>
  <si>
    <t>http://www1.bloomingdales.com/?&amp;cm_mmc=google-_-Brand+Terms-+All+Shipped+Countries-_-Bloomingdale%27s-_-s_44440510549&amp;mkwid=s4wUBtCQA&amp;pcrid=44440510549&amp;pdv=c&amp;</t>
  </si>
  <si>
    <t>Younkers</t>
  </si>
  <si>
    <t>http://media.merchantcircle.com/3472266/1470218215.94-5d822cff1e56789f04a952f2c6d292aa_full.jpeg</t>
  </si>
  <si>
    <t>http://www.younkers.com/stores/ne/omaha/707-n--102nd-st-.html</t>
  </si>
  <si>
    <t>Macy’s</t>
  </si>
  <si>
    <t>http://zenofcoding.com/wp-content/uploads/2014/10/6274751_orig.png</t>
  </si>
  <si>
    <t>https://www.macys.com/?cm_mmc=Google_Trademark_International-_-Macys+Trademark+Germany+-+G_Macy%27s+Germany-_-43773780694-_-macy%27_p_c_kclickid_9eb2af9b-e7bf-43af-afde-00d7f38029c6&amp;trackingid=407x84645&amp;gclid=CjwKEAiAlZDFBRCKncm67qihiHwSJABtoNIgyIz-0Py-N6U8im1lIDSHG9eUo1DtK_YJTfCG3ZTqmBoCLJbw_wcB</t>
  </si>
  <si>
    <t>Marc Jacobs</t>
  </si>
  <si>
    <t>https://pbs.twimg.com/profile_images/738815850279534592/yUWCmJJS_400x400.jpg</t>
  </si>
  <si>
    <t>https://www.marcjacobs.com/</t>
  </si>
  <si>
    <t>Kalvin Klein</t>
  </si>
  <si>
    <t>https://upload.wikimedia.org/wikipedia/commons/thumb/e/e2/Calvin_klein_logo.svg/2000px-Calvin_klein_logo.svg.png</t>
  </si>
  <si>
    <t>http://explore.calvinklein.com/en_US/storelocator</t>
  </si>
  <si>
    <t>Radioshack</t>
  </si>
  <si>
    <t>https://upload.wikimedia.org/wikipedia/commons/thumb/6/60/RadioShack_logo.svg/2000px-RadioShack_logo.svg.png</t>
  </si>
  <si>
    <t>https://www.radioshack.com/</t>
  </si>
  <si>
    <t>Xerox</t>
  </si>
  <si>
    <t>http://cdn-0.famouslogos.us/images/xerox-logo.jpg</t>
  </si>
  <si>
    <t>https://www.xerox.com/</t>
  </si>
  <si>
    <t>Micro Center</t>
  </si>
  <si>
    <t>http://cdn1.bigcommerce.com/server4100/df4bb/product_images/uploaded_images/micro-center.jpg?t=1454083243</t>
  </si>
  <si>
    <t>http://www.microcenter.com/</t>
  </si>
  <si>
    <t>Winston Flowers</t>
  </si>
  <si>
    <t>http://img2.everafterguide.com/JBX7I2Nq-Gxhu9koujpTwU7hh60=/0x210/logos/winstonflowers.com.png</t>
  </si>
  <si>
    <t>https://www.winstonflowers.com/</t>
  </si>
  <si>
    <t>American Greetings</t>
  </si>
  <si>
    <t>http://tfwiki.net/mediawiki/images2/archive/1/12/20120126050426!American-greetings-logo.jpg</t>
  </si>
  <si>
    <t>http://www.americangreetings.com/</t>
  </si>
  <si>
    <t>Ace Hardware</t>
  </si>
  <si>
    <t>http://www.acehardware.com/mystore/index.jsp?store=07701&amp;cid=localstore07701</t>
  </si>
  <si>
    <t>Boston Interiors</t>
  </si>
  <si>
    <t>http://uploads.colorhousepaint.com/2014/08/21220119/Boston-Interiors-online-store-page-logo.png</t>
  </si>
  <si>
    <t>https://www.bostoninteriors.com/?gclid=Cj0KCQiAv_HSBRCkARIsAGaSsrDdkrQpEaIztSYixvShYUy4Gg2m0wK53q3i1839abv9hC3HHComkbAaAtkpEALw_wcB</t>
  </si>
  <si>
    <t>Hudson</t>
  </si>
  <si>
    <t>https://static1.squarespace.com/static/582cdf7a2994ca4544c16979/t/59b93d7f268b96a337fd00d2/1505312136709/9.11.jpg</t>
  </si>
  <si>
    <t>https://www.hudsonboston.com</t>
  </si>
  <si>
    <t>West Elm</t>
  </si>
  <si>
    <t>http://www.westelm.com/weimgs/rk/images/i/201707/0011/images/nav/logos/west_elm_logo_black.png</t>
  </si>
  <si>
    <t>https://www.westelm.com/stores/us/ma/boston-fenway-boston/</t>
  </si>
  <si>
    <t>Home Goods</t>
  </si>
  <si>
    <t>http://newsroom.homegoods.com/images/9071/media_gallery/HG_Logo_no_tag_4C_LRG_low.jpg</t>
  </si>
  <si>
    <t>http://www.homegoods.com/</t>
  </si>
  <si>
    <t>Longs Jewelers</t>
  </si>
  <si>
    <t>http://assets.macerichepicenter.com/FileManager/_shared/Retailers/Logos/Helzberg_Diamons_Logo.jpg</t>
  </si>
  <si>
    <t>https://www.longsjewelers.com</t>
  </si>
  <si>
    <t>http://logonoid.com/images/gymboree-logo.png</t>
  </si>
  <si>
    <t>http://www.gymboree.com/</t>
  </si>
  <si>
    <t>Crazy8</t>
  </si>
  <si>
    <t>https://logosave.com/images/large/2/Crazy-8-logo.png</t>
  </si>
  <si>
    <t>http://www.crazy8.com/index.jsp</t>
  </si>
  <si>
    <t>Lampsusa</t>
  </si>
  <si>
    <t>https://www.weebeescafe.com/pic/img2/lampsusa.com.jpg</t>
  </si>
  <si>
    <t>http://www.lampsusa.com/</t>
  </si>
  <si>
    <t>Hudson Group</t>
  </si>
  <si>
    <t>http://3.bp.blogspot.com/-bL4clo8793A/VIh0Hhpf1OI/AAAAAAAAHTU/NynCn_I48K4/s1600/Logo%2BHudson_Group.png</t>
  </si>
  <si>
    <t>http://180.211.110.198:9090/home</t>
  </si>
  <si>
    <t>Kicks USA</t>
  </si>
  <si>
    <t>https://www.couponchief.com/images/logos/63358_sq_1.jpg</t>
  </si>
  <si>
    <t>http://www.kicksusa.com/?_ga=1.257459659.1561133896.1487261131</t>
  </si>
  <si>
    <t>Long Tall Sally</t>
  </si>
  <si>
    <t>https://rankabrand.org/uploads/brand/12154/Long-Tall-Sally-Logo.jpg</t>
  </si>
  <si>
    <t>https://www.longtallsally.com/us/</t>
  </si>
  <si>
    <t>Under Armour</t>
  </si>
  <si>
    <t>http://logok.org/wp-content/uploads/2015/06/Under-Armour-Logo-UA.png</t>
  </si>
  <si>
    <t>https://www.underarmour.com/en-us?_ga=1.59852141.1301296981.1487261567</t>
  </si>
  <si>
    <t>Elite Sports</t>
  </si>
  <si>
    <t>http://elitesportsusa.net/wp-content/uploads/2014/11/EliteLogoNew.png</t>
  </si>
  <si>
    <t>http://elitesportsusa.net/</t>
  </si>
  <si>
    <t>Sky TV</t>
  </si>
  <si>
    <t>http://logok.org/wp-content/uploads/2014/08/Sky-logo-VenueLanding.png</t>
  </si>
  <si>
    <t>https://www.sky.com/</t>
  </si>
  <si>
    <t>Bliss</t>
  </si>
  <si>
    <t>http://snappyexpert.com/wp-content/uploads/2017/04/bliss.logo_.png</t>
  </si>
  <si>
    <t>https://www.blissworld.com</t>
  </si>
  <si>
    <t>Bison Coolers</t>
  </si>
  <si>
    <t>https://cdn.shopify.com/s/files/1/1183/9842/products/Black-Die-Cut-Bison-Logo-Web.png?v=1467401784</t>
  </si>
  <si>
    <t>https://www.bisoncoolers.com/</t>
  </si>
  <si>
    <t>Jameco</t>
  </si>
  <si>
    <t>http://makerf.com/images/posts/Jameco_logo.jpeg</t>
  </si>
  <si>
    <t>http://www.jameco.com/webapp/wcs/stores/servlet/StoreCatalogDisplay?langId=-1&amp;storeId=10001&amp;catalogId=10001</t>
  </si>
  <si>
    <t>http://cdn-3.famouslogos.us/images/mcdonalds-logo.jpg</t>
  </si>
  <si>
    <t>https://www.mcdonalds.com/us/en-us.html</t>
  </si>
  <si>
    <t>Frontier Communications</t>
  </si>
  <si>
    <t>https://upload.wikimedia.org/wikipedia/en/thumb/9/93/Frontier_Communications_Corporation_logo_2016.svg/1280px-Frontier_Communications_Corporation_logo_2016.svg.png</t>
  </si>
  <si>
    <t>https://frontier.com/</t>
  </si>
  <si>
    <t>Verizon</t>
  </si>
  <si>
    <t>https://cdn0.vox-cdn.com/thumbor/zL414AMfclnMcwL59xa3ZTXrcDw=/3x0:1418x796/1600x900/cdn0.vox-cdn.com/uploads/chorus_image/image/47080648/Screen_Shot_2015-09-02_at_2.20.55_pm.0.0.png</t>
  </si>
  <si>
    <t>https://www.verizonwireless.com/plans/verizon-plan/</t>
  </si>
  <si>
    <t>Hawaiian Telecom</t>
  </si>
  <si>
    <t>https://damontucker.files.wordpress.com/2010/01/hawaiitelcom.jpg</t>
  </si>
  <si>
    <t>http://www.hawaiiantel.com/</t>
  </si>
  <si>
    <t>Sprint</t>
  </si>
  <si>
    <t>http://logok.org/wp-content/uploads/2014/11/Sprint-logo.png</t>
  </si>
  <si>
    <t>https://www.sprint.com/</t>
  </si>
  <si>
    <t>Online Tickets USA</t>
  </si>
  <si>
    <t>http://www.onlineticketsusa.com/content/images/Logo.png.pagespeed.ce.A0zS-4Kdp0.png</t>
  </si>
  <si>
    <t>http://www.onlineticketsusa.com/</t>
  </si>
  <si>
    <t>Scotttrade</t>
  </si>
  <si>
    <t>https://www.scottrade.com/etc/designs/scottrade/images/footer-image.png</t>
  </si>
  <si>
    <t>https://www.scottrade.com/</t>
  </si>
  <si>
    <t>Massachusetts Bay Transportation Authority</t>
  </si>
  <si>
    <t>https://d3044s2alrsxog.cloudfront.net/images/mbta-logo-a714a42a6478bb5ed4de5917914abec7.png?vsn=d</t>
  </si>
  <si>
    <t>https://www.mbta.com/schedules/subway</t>
  </si>
  <si>
    <t>Pacific Gas &amp; Electric</t>
  </si>
  <si>
    <t>https://www.brandeps.com/logo-download/P/Pacific-Gas-and-Electric-Company-01.png</t>
  </si>
  <si>
    <t>https://www.pge.com/</t>
  </si>
  <si>
    <t>Florida Power &amp; Light</t>
  </si>
  <si>
    <t>https://upload.wikimedia.org/wikipedia/en/e/ed/2015_Florida_Power_%26_Light_Logo.jpeg</t>
  </si>
  <si>
    <t>https://www.fpl.com/</t>
  </si>
  <si>
    <t>Conedison</t>
  </si>
  <si>
    <t>https://upload.wikimedia.org/wikipedia/commons/thumb/0/0c/ConEd_logo.svg/1000px-ConEd_logo.svg.png</t>
  </si>
  <si>
    <t>https://www.coned.com/en</t>
  </si>
  <si>
    <t>American Water</t>
  </si>
  <si>
    <t>https://upload.wikimedia.org/wikipedia/commons/thumb/6/6c/American_Water_Works_Company_Logo.svg/2000px-American_Water_Works_Company_Logo.svg.png</t>
  </si>
  <si>
    <t>https://amwater.com/njaw/</t>
  </si>
  <si>
    <t>DC Water</t>
  </si>
  <si>
    <t>http://vignette4.wikia.nocookie.net/logopedia/images/0/04/DC_Water_is_Life.png/revision/latest?cb=20100708150713</t>
  </si>
  <si>
    <t>https://mydcwater.dcwater.com/</t>
  </si>
  <si>
    <t>Georgia Power</t>
  </si>
  <si>
    <t>https://pbs.twimg.com/profile_images/752617251560382464/xyNROFGO.jpg</t>
  </si>
  <si>
    <t>https://www.georgiapower.com/</t>
  </si>
  <si>
    <t>Boston Yatch Club</t>
  </si>
  <si>
    <t>https://www.bostonyc.org/images/dynamic/getImage.gif?ID=100127</t>
  </si>
  <si>
    <t>https://www.bostonyc.org</t>
  </si>
  <si>
    <t>https://stores.shopdisney.com/ma/braintree/319/?utm_source=Google&amp;utm_medium=Maps&amp;utm_campaign=Google+Places</t>
  </si>
  <si>
    <t>Bank of America ATM</t>
  </si>
  <si>
    <t>https://mapresources.massport.cloud/irbswo3qirk/t3hxxbtin2o.jpg</t>
  </si>
  <si>
    <t>https://locators.bankofamerica.com/ma/boston/atm-boston-14338.html</t>
  </si>
  <si>
    <t>https://s.yimg.com/uu/api/res/1.2/Ldp4jzmv_w7dDKsW.n2qSQ--~B/aD0xMTUyO3c9MjA0ODtzbT0xO2FwcGlkPXl0YWNoeW9u/http://media.zenfs.com/en_uk/News/skynews/pa-25972850-1-2048x1152-20160403-183522-438.jpg</t>
  </si>
  <si>
    <t>https://locations.santanderbank.com/ma/boston/200-seaport-boulevard.html?utm_source=YextGMB&amp;utm_medium=Local&amp;utm_content=612&amp;utm_campaign=URL</t>
  </si>
  <si>
    <t>Goodwiil</t>
  </si>
  <si>
    <t>https://www.goodwillmass.org/images/Daves_Art/GoodWill-Lockup-Final.png</t>
  </si>
  <si>
    <t>https://www.goodwillmass.org</t>
  </si>
  <si>
    <t>Donation Warby Parker</t>
  </si>
  <si>
    <t>http://swystuncommunications.com/newwp/wp-content/uploads/2015/09/Warby-Parker-Eyewear-Logo.jpg</t>
  </si>
  <si>
    <t>https://www.warbyparker.com</t>
  </si>
  <si>
    <t>Boomerangs</t>
  </si>
  <si>
    <t>http://www.shopboomerangs.org/wp-content/uploads/Boomerangs-Retina.png</t>
  </si>
  <si>
    <t>http://www.shopboomerangs.org</t>
  </si>
  <si>
    <t>Donation Union Club</t>
  </si>
  <si>
    <t>http://www.unionclub.org/SiteDesign/Images/logo.aspx</t>
  </si>
  <si>
    <t>http://www.unionclub.org</t>
  </si>
  <si>
    <t>Mr D Smith</t>
  </si>
  <si>
    <t>VNA Care</t>
  </si>
  <si>
    <t>http://vnacare.org/content/images/logos/logo.svg</t>
  </si>
  <si>
    <t>https://vnacare.org/</t>
  </si>
  <si>
    <t>Boston Childrens Hospital</t>
  </si>
  <si>
    <t>http://www.childrenshospital.org/~/media/legal/brand-guidelines/bchlogomotto_primary_300dpi.ashx?la=en</t>
  </si>
  <si>
    <t>http://www.childrenshospital.org</t>
  </si>
  <si>
    <t>Amtrak</t>
  </si>
  <si>
    <t>https://www.nyceda.org/wp-content/uploads/2012/12/Amtrak-logo.png</t>
  </si>
  <si>
    <t>https://www.amtrak.com/home</t>
  </si>
  <si>
    <t>Business Insurance USA</t>
  </si>
  <si>
    <t>http://businessinsuranceusa.com/business-insurance-blog/wp-content/uploads/2015/03/business-insurance.jpg</t>
  </si>
  <si>
    <t>http://businessinsuranceusa.com</t>
  </si>
  <si>
    <t>https://usa.visa.com</t>
  </si>
  <si>
    <t>https://seeklogo.com/images/M/mastercard-logo-473B8726A9-seeklogo.com.png</t>
  </si>
  <si>
    <t>https://www.mastercard.us/en-us.html</t>
  </si>
  <si>
    <t>Morocco</t>
  </si>
  <si>
    <t>http://www.ranklogos.com/wp-content/uploads/2014/12/Air-Arabia.jpg</t>
  </si>
  <si>
    <t>Royal Air Maroc</t>
  </si>
  <si>
    <t>https://upload.wikimedia.org/wikipedia/en/2/2b/RoyalAirMarocLogoSmall.png</t>
  </si>
  <si>
    <t>http://www.royalairmaroc.com/ma-fr</t>
  </si>
  <si>
    <t>Swissport</t>
  </si>
  <si>
    <t>https://upload.wikimedia.org/wikipedia/commons/thumb/d/df/Swissport_logo.svg/2000px-Swissport_logo.svg.png</t>
  </si>
  <si>
    <t>http://www.swissport.com/</t>
  </si>
  <si>
    <t>Dakar Rally</t>
  </si>
  <si>
    <t>Moroccan attraction</t>
  </si>
  <si>
    <t>http://www.dakar.com/dakar/img/v2/share/dakar_partage.jpg</t>
  </si>
  <si>
    <t>http://www.dakar.com/index_DAKus.html</t>
  </si>
  <si>
    <t>Kechmara</t>
  </si>
  <si>
    <t>https://www.lawrenceofmorocco.com/sites/lawrenceofmorocco.com/files/resources/Kechmara.png</t>
  </si>
  <si>
    <t>http://kechmara.com/Kechmara_Bar_Restaurant_Marrakech.html</t>
  </si>
  <si>
    <t>Kenzi Tower Hotel</t>
  </si>
  <si>
    <t>http://www.kenzi-hotels.com/templates/main/images/logos/logo_kenzitower.png</t>
  </si>
  <si>
    <t>http://www.kenzi-hotels.com/kenzitower/default-en.html</t>
  </si>
  <si>
    <t>ONCF</t>
  </si>
  <si>
    <t>http://www.oncf.ma/Style%20Library/Images/CustomImages/logo/LogoOncf.png</t>
  </si>
  <si>
    <t>http://www.oncf.ma/Pages/Accueil.aspx</t>
  </si>
  <si>
    <t>Speedy El Jadida</t>
  </si>
  <si>
    <t>http://tellmewhere.us/media/f/43FFEA93-1722-4FB0-8D75-69FC6FB81428.png</t>
  </si>
  <si>
    <t>http://test.centres-auto.speedy.fr/garage/el-jadida-24000/511</t>
  </si>
  <si>
    <t>Association Enfance Espoir Maroc</t>
  </si>
  <si>
    <t>Childrens</t>
  </si>
  <si>
    <t>http://static.wixstatic.com/media/9a7d36_5993109e012c463281caf6107c516d93.png_256</t>
  </si>
  <si>
    <t>http://www.enfance-espoir-maroc.org/</t>
  </si>
  <si>
    <t>Marocavie</t>
  </si>
  <si>
    <t>Socio-Economic</t>
  </si>
  <si>
    <t>http://www.olvea.com/vegetable-oils/Data/Image/Marocavie%20petit(1).jpg</t>
  </si>
  <si>
    <t>http://www.marocavie.org/marocavie-charitable-organisation-morocco.html</t>
  </si>
  <si>
    <t>Imax</t>
  </si>
  <si>
    <t>http://www.moroccomall.ma/images/new-logo-morocco-mall.jpg</t>
  </si>
  <si>
    <t>http://www.moroccomall.ma/cinema-divertissement/cinema-imax-3d</t>
  </si>
  <si>
    <t>Grand cafe de la poste</t>
  </si>
  <si>
    <t>http://billetterie.aammarrakech.com/img/cdpm_.jpg</t>
  </si>
  <si>
    <t>https://www.grandcafedelaposte.restaurant/</t>
  </si>
  <si>
    <t>Cafe Arabe</t>
  </si>
  <si>
    <t>https://xochitlpe.files.wordpress.com/2011/06/caratula.jpg</t>
  </si>
  <si>
    <t>http://www.cafearabe.com/en/</t>
  </si>
  <si>
    <t>DAR interiors</t>
  </si>
  <si>
    <t>http://www.ourproperty.co.uk/images/uploads/61629_logo.jpg?r=1479268193</t>
  </si>
  <si>
    <t>http://www.darinteriors.com/?s=0</t>
  </si>
  <si>
    <t>Societe General</t>
  </si>
  <si>
    <t>http://www.sgmaroc.com/fileadmin/templates/testNIV/images/logo250x75.png</t>
  </si>
  <si>
    <t>http://www.sgmaroc.com/</t>
  </si>
  <si>
    <t>Dentiste Lazrak</t>
  </si>
  <si>
    <t>https://dentiste-lazrak.com/</t>
  </si>
  <si>
    <t>Cityu Red</t>
  </si>
  <si>
    <t>http://www.cityred.ma/allfiles/header-cityredma.gif</t>
  </si>
  <si>
    <t>http://www.cityredmorocco.com/</t>
  </si>
  <si>
    <t>ZIZ</t>
  </si>
  <si>
    <t>http://www.ziz.ma/wp-content/themes/ziz/images/logo.jpg</t>
  </si>
  <si>
    <t>http://www.ziz.ma/</t>
  </si>
  <si>
    <t>Samir</t>
  </si>
  <si>
    <t>http://www.egyptoil-gas.com/wp-content/uploads/2016/05/logoSAMIRGROUP-728x394.png</t>
  </si>
  <si>
    <t>http://www.samir.ma/en/</t>
  </si>
  <si>
    <t>Med Airlines</t>
  </si>
  <si>
    <t>http://med-airlines.com/images/logo.jpg</t>
  </si>
  <si>
    <t>http://med-airlines.com/</t>
  </si>
  <si>
    <t>Royalair Maroc</t>
  </si>
  <si>
    <t>http://www.royalairmaroc.com/extension/design_ram/design/new_design_ram/images/logo/logo.png.pagespeed.ce.eNj7__MPS-.png</t>
  </si>
  <si>
    <t>http://www.royalairmaroc.com/int-en</t>
  </si>
  <si>
    <t>RAM cargo</t>
  </si>
  <si>
    <t>https://www.royalairmaroc.com/extension/design_ram_instit/design/design_ram_instit/images/175x99xlogo.jpg.pagespeed.ic.BTGespF6m3.jpg</t>
  </si>
  <si>
    <t>https://www.royalairmaroc.com/corporate/Groupe-RAM/RAM-CARGO</t>
  </si>
  <si>
    <t>Acima</t>
  </si>
  <si>
    <t>http://www.acima.ma/sites/default/files/marjane_logo.gif</t>
  </si>
  <si>
    <t>http://www.acima.ma/</t>
  </si>
  <si>
    <t>Aswakassalam</t>
  </si>
  <si>
    <t>http://www.aswakassalam.com/aswak/wp-content/uploads/2016/11/logo-2.png</t>
  </si>
  <si>
    <t>http://www.aswakassalam.com/aswak/</t>
  </si>
  <si>
    <t>http://www.bim.ma/Default.aspx</t>
  </si>
  <si>
    <t>Carrefourmarket</t>
  </si>
  <si>
    <t>http://www.carrefourmarket.ma/images/carrefour_market.png</t>
  </si>
  <si>
    <t>http://www.carrefourmarket.ma/</t>
  </si>
  <si>
    <t>Costcutter</t>
  </si>
  <si>
    <t>http://www.costcutter.ma/wp-content/themes/costcutter/images/costcutter-morocco.png</t>
  </si>
  <si>
    <t>http://www.costcutter.ma/</t>
  </si>
  <si>
    <t>Marjane</t>
  </si>
  <si>
    <t>http://www.marjane.ma/skin/frontend/willskin2015/french/images/logo_marjane_homepage.png</t>
  </si>
  <si>
    <t>http://www.marjane.ma/</t>
  </si>
  <si>
    <t>Gymnasia</t>
  </si>
  <si>
    <t>http://www.gymnasia.ma/images/logo-gymnasia.png</t>
  </si>
  <si>
    <t>http://www.gymnasia.ma/</t>
  </si>
  <si>
    <t>Sonasid</t>
  </si>
  <si>
    <t>http://www.sonasid.ma/var/ayaline/storage/images/configuration-generale/258-3-fre-FR/Configuration-generale_large.gif</t>
  </si>
  <si>
    <t>http://www.sonasid.ma/Actualites/Communique-de-presse-Resultat-Annuel-au-31-Decembre-2014#.WKmAylfau1A</t>
  </si>
  <si>
    <t>Sotraglace</t>
  </si>
  <si>
    <t>http://www.sotraglace.com/images/logo.png</t>
  </si>
  <si>
    <t>http://www.sotraglace.com/</t>
  </si>
  <si>
    <t>Wafa Insurance</t>
  </si>
  <si>
    <t>http://www.wafaassurance.ma/templates/wafaassurance/images/logo2.png</t>
  </si>
  <si>
    <t>http://www.wafaassurance.ma/</t>
  </si>
  <si>
    <t>Dataset</t>
  </si>
  <si>
    <t>http://technopark.ma/wp-content/uploads/2017/02/technopark.ma_logo-dataset-03.jpg</t>
  </si>
  <si>
    <t>http://www.datasset.net/index.php</t>
  </si>
  <si>
    <t>Alami Group</t>
  </si>
  <si>
    <t>http://alami-group.com/logo-alami-green.png</t>
  </si>
  <si>
    <t>http://alami-group.com/</t>
  </si>
  <si>
    <t>Maroc Telecom</t>
  </si>
  <si>
    <t>http://www.iam.ma/PublishingImages/visuels/logo.png</t>
  </si>
  <si>
    <t>http://www.iam.ma/en/the-group-maroc-telecom/index.aspx</t>
  </si>
  <si>
    <t>Orange Maroc</t>
  </si>
  <si>
    <t>http://www.orange.ma/img/contenus/logo.png</t>
  </si>
  <si>
    <t>http://www.orange.ma/</t>
  </si>
  <si>
    <t>Al Maaden</t>
  </si>
  <si>
    <t>http://www.almaaden.com/images/logo.png</t>
  </si>
  <si>
    <t>http://www.almaaden.com/en/</t>
  </si>
  <si>
    <t>Meilleurtaux</t>
  </si>
  <si>
    <t>http://www.meilleurtaux.com/images_html/logo.png?up=logo</t>
  </si>
  <si>
    <t>http://www.meilleurtaux.com/</t>
  </si>
  <si>
    <t>Jadopado</t>
  </si>
  <si>
    <t>https://media.arabnet.me/startupdb/uploads/logos/2012/02/08/JadoPado_JPG.jpg</t>
  </si>
  <si>
    <t>https://jadopado.com/en-ma/</t>
  </si>
  <si>
    <t>http://www.globaloptical-maroc.com/concept.html</t>
  </si>
  <si>
    <t>Opticalys</t>
  </si>
  <si>
    <t>http://www.opticalys.ma/picture_library/logo.bmp</t>
  </si>
  <si>
    <t>http://www.opticalys.ma/</t>
  </si>
  <si>
    <t>Cooper Pharma</t>
  </si>
  <si>
    <t>http://cooperpharma.ma/en/wp-content/uploads/2013/07/Logo-Cooper1.png</t>
  </si>
  <si>
    <t>http://cooperpharma.ma/en/</t>
  </si>
  <si>
    <t>APT EC</t>
  </si>
  <si>
    <t>http://static1.squarespace.com/static/538cdf1ae4b05699fc0a7af4/t/554ccb87e4b0b1c98997e89a/1475247691881/?format=1500w</t>
  </si>
  <si>
    <t>http://alliedpipelinetechnologies.com/#welcome-section</t>
  </si>
  <si>
    <t>Terrasse des Epices</t>
  </si>
  <si>
    <t>https://terrassedesepices.com/wp-content/uploads/2016/10/terrassedesepices.png</t>
  </si>
  <si>
    <t>https://terrassedesepices.com/</t>
  </si>
  <si>
    <t>Cafe Maure</t>
  </si>
  <si>
    <t>http://restopro.ma/sqala/images/logo.png</t>
  </si>
  <si>
    <t>http://restopro.ma/sqala/index.php</t>
  </si>
  <si>
    <t>La Taverne du Dauphin</t>
  </si>
  <si>
    <t>http://www.taverne-du-dauphin.com/images/img_logo.jpg</t>
  </si>
  <si>
    <t>http://www.taverne-du-dauphin.com/index.php</t>
  </si>
  <si>
    <t>Relais de Paris</t>
  </si>
  <si>
    <t>http://www.relaisdeparis.com/templates/jf_creativia/images/logo-relais-web.png</t>
  </si>
  <si>
    <t>http://www.relaisdeparis.com/en/</t>
  </si>
  <si>
    <t>Basmane</t>
  </si>
  <si>
    <t>http://www.basmane-restaurant.com/swmf/uploads/2015/10/Untitled-1.png</t>
  </si>
  <si>
    <t>http://www.basmane-restaurant.com/</t>
  </si>
  <si>
    <t>Khos</t>
  </si>
  <si>
    <t>http://www.khos.ma/wp-content/uploads/2017/01/KHOS_LogoWeb.png</t>
  </si>
  <si>
    <t>http://www.khos.ma/</t>
  </si>
  <si>
    <t>Don Camillo</t>
  </si>
  <si>
    <t>http://www.restaurantdoncamillo.ma/images/logo-white-300.png</t>
  </si>
  <si>
    <t>http://www.restaurantdoncamillo.ma/</t>
  </si>
  <si>
    <t>Rick’s Cafe</t>
  </si>
  <si>
    <t>http://a4.mzstatic.com/us/r30/Purple111/v4/00/d8/d9/00d8d9e6-18fc-53ec-8c65-1e7739024514/screen568x568.jpeg</t>
  </si>
  <si>
    <t>http://www.rickscafe.ma/</t>
  </si>
  <si>
    <t>El Gousto</t>
  </si>
  <si>
    <t>http://www.elgousto.com/wp-content/uploads/2015/04/logo-300x100.png</t>
  </si>
  <si>
    <t>http://www.elgousto.com/</t>
  </si>
  <si>
    <t>Comptoir</t>
  </si>
  <si>
    <t>http://www.comptoirmarrakech.com/wp-content/uploads/2014/08/comptoir.png</t>
  </si>
  <si>
    <t>http://www.comptoirmarrakech.com/</t>
  </si>
  <si>
    <t>Alfassia</t>
  </si>
  <si>
    <t>http://www.alfassia.com/_webedit/cached-images/208</t>
  </si>
  <si>
    <t>http://www.alfassia.com/</t>
  </si>
  <si>
    <t>Dar-Cherifa</t>
  </si>
  <si>
    <t>http://www.dar-cherifa.com/images/logo-marrakech-riads.png</t>
  </si>
  <si>
    <t>http://www.dar-cherifa.com/</t>
  </si>
  <si>
    <t>Minstry of Transport</t>
  </si>
  <si>
    <t>http://www.equipement.gov.ma/PublishingImages/entete_MET_eng.jpg</t>
  </si>
  <si>
    <t>http://www.equipement.gov.ma/en/Pages/home.aspx</t>
  </si>
  <si>
    <t>Arab Bank</t>
  </si>
  <si>
    <t>http://bbb.ma/wp-content/uploads/2015/12/1799_arabbank.png</t>
  </si>
  <si>
    <t>http://www.arabbank.ma/en/persaccountsave.aspx</t>
  </si>
  <si>
    <t>Attijariwafa Bank</t>
  </si>
  <si>
    <t>https://upload.wikimedia.org/wikipedia/fr/9/91/ATW.PNG</t>
  </si>
  <si>
    <t>http://www.attijariwafabank.com/Pages/default.aspx</t>
  </si>
  <si>
    <t>Al Akhawayn University</t>
  </si>
  <si>
    <t>https://upload.wikimedia.org/wikipedia/commons/d/d1/Al_Akhawayn_University_Logo.png</t>
  </si>
  <si>
    <t>http://www.aui.ma/en/</t>
  </si>
  <si>
    <t>TTAM</t>
  </si>
  <si>
    <t>http://www.ttam.ma/images/logo-retina.png</t>
  </si>
  <si>
    <t>http://www.ttam.ma/index.html</t>
  </si>
  <si>
    <t>https://static.jumia.ma/cms/Icons/jumia_logo_small.png</t>
  </si>
  <si>
    <t>https://www.jumia.ma/</t>
  </si>
  <si>
    <t>H&amp;M Maroc</t>
  </si>
  <si>
    <t>https://pbs.twimg.com/profile_images/797666987732180992/fS7fE_PK.jpg</t>
  </si>
  <si>
    <t>http://www.hm.com/ma/</t>
  </si>
  <si>
    <t>Finetti</t>
  </si>
  <si>
    <t>http://www.webseven.biz/finetti/public/site/img/logo.png</t>
  </si>
  <si>
    <t>http://www.finetti.ma/</t>
  </si>
  <si>
    <t>Sophie</t>
  </si>
  <si>
    <t>http://www.sophieparis.ma/images/stories/SophieParis.png</t>
  </si>
  <si>
    <t>http://www.sophieparis.ma/</t>
  </si>
  <si>
    <t>Marocshop</t>
  </si>
  <si>
    <t>http://marocshop.net/ms/uploads/2014/08/logoMShop.png</t>
  </si>
  <si>
    <t>http://marocshop.net/fr/</t>
  </si>
  <si>
    <t>La Redoute</t>
  </si>
  <si>
    <t>http://www.laredoute.ma/static/laredoute/images/logo.png</t>
  </si>
  <si>
    <t>http://www.laredoute.ma/</t>
  </si>
  <si>
    <t>Ermenegildo Zegna</t>
  </si>
  <si>
    <t>https://www.zegna.com/etc/designs/zegna/images/common/logo.png</t>
  </si>
  <si>
    <t>https://www.zegna.com/ma-en/home.html</t>
  </si>
  <si>
    <t>Beauty Success</t>
  </si>
  <si>
    <t>https://mim.imgix.net/1273681306/467.jpg?w=330&amp;h=220&amp;fit=crop&amp;lossless=1</t>
  </si>
  <si>
    <t>http://www.beautysuccessmaroc.ma/</t>
  </si>
  <si>
    <t>ZineGlob</t>
  </si>
  <si>
    <t>http://zineglob.com/zineglob/wp-content/uploads/2017/01/logoZGsiteweb.png</t>
  </si>
  <si>
    <t>http://zineglob.com/</t>
  </si>
  <si>
    <t>Au Parfum</t>
  </si>
  <si>
    <t>https://shop.auparfum.com/wp-content/uploads/2016/11/xauparfum-shop-v3.png.pagespeed.ic.Hw_DRpcsmw.png</t>
  </si>
  <si>
    <t>https://shop.auparfum.com/</t>
  </si>
  <si>
    <t>Stradivarius</t>
  </si>
  <si>
    <t>https://static.e-stradivarius.net/5/static2/itxwebstandard/images/logos/imgLogo_stradivarius.svg?t=2017012604015056022196</t>
  </si>
  <si>
    <t>https://www.stradivarius.com/ma/</t>
  </si>
  <si>
    <t>Ubuy</t>
  </si>
  <si>
    <t>https://www.ubuy.ma/skin/frontend/default/amazonfr/images/logo_ma.jpg</t>
  </si>
  <si>
    <t>https://www.ubuy.ma/fr/</t>
  </si>
  <si>
    <t>http://hem.ac.ma/userfiles/image/logo%20acima.jpg</t>
  </si>
  <si>
    <t>Galeries Lafayette</t>
  </si>
  <si>
    <t>https://static.galerieslafayette.com/media/endeca2/header/logo-galeries-lafayette-16092015.png</t>
  </si>
  <si>
    <t>https://www.galerieslafayette.com/</t>
  </si>
  <si>
    <t>Crossing</t>
  </si>
  <si>
    <t>http://crossing.alliativmaroc.com/wp-content/uploads/2014/11/crossing-logo.png</t>
  </si>
  <si>
    <t>http://www.crossing.ma/</t>
  </si>
  <si>
    <t>Tavex</t>
  </si>
  <si>
    <t>http://www.tavexeurope.com/wp-content/uploads/2016/02/logotipo-tavex-final.jpg</t>
  </si>
  <si>
    <t>http://www.tavexeurope.com/maroc-in-mode/</t>
  </si>
  <si>
    <t>Iris</t>
  </si>
  <si>
    <t>https://www.iris.ma/img/logo.jpg</t>
  </si>
  <si>
    <t>https://www.iris.ma/</t>
  </si>
  <si>
    <t>Mafleur</t>
  </si>
  <si>
    <t>http://www.fnem.org/E-litige/upload/emarchant/logo_site169.jpg</t>
  </si>
  <si>
    <t>http://mafleur.ma/</t>
  </si>
  <si>
    <t>Mr Bricolage</t>
  </si>
  <si>
    <t>https://upload.wikimedia.org/wikipedia/commons/f/f8/Mr_Bricolage_logo.png</t>
  </si>
  <si>
    <t>http://www.mrbricolage.ma/</t>
  </si>
  <si>
    <t>CCM</t>
  </si>
  <si>
    <t>http://www.ccmburo.com/images/index2_01.jpg</t>
  </si>
  <si>
    <t>http://www.ccmburo.com/</t>
  </si>
  <si>
    <t>Ventec</t>
  </si>
  <si>
    <t>http://www.ventec.ma/wp-content/themes/ventec/images/logo/logoVentec.jpg</t>
  </si>
  <si>
    <t>http://www.ventec.ma/fr/</t>
  </si>
  <si>
    <t>Gautier</t>
  </si>
  <si>
    <t>https://www.gautier.co.uk/sites/default/files/header-gautier.png</t>
  </si>
  <si>
    <t>https://www.gautier.co.uk/our-stores/maroc/casablanca/gautier-casablanca</t>
  </si>
  <si>
    <t>Menara Mall</t>
  </si>
  <si>
    <t>http://www.menaramall.com/wp-content/uploads/2016/10/menaramall-2-254x70.png</t>
  </si>
  <si>
    <t>http://www.menaramall.com/</t>
  </si>
  <si>
    <t>Azulas</t>
  </si>
  <si>
    <t>http://www.azuelos.ma/images/logo-azuelos.png</t>
  </si>
  <si>
    <t>http://www.azuelos.ma/index.html</t>
  </si>
  <si>
    <t>Imagia</t>
  </si>
  <si>
    <t>http://imagia.ma/modules/blockbanner/img/88b757133689ac02b9bafb12e73a7497.jpg</t>
  </si>
  <si>
    <t>http://imagia.ma/fr/content/8-nos-services</t>
  </si>
  <si>
    <t>Zippy</t>
  </si>
  <si>
    <t>http://www.losalfares.net/wp-content/uploads/2015/06/logo-zippy-1.jpg</t>
  </si>
  <si>
    <t>http://world.zippykidstore.com/en/world/</t>
  </si>
  <si>
    <t>Yaya</t>
  </si>
  <si>
    <t>http://www.yahya-group.com/assets/images/logo-yahya.png</t>
  </si>
  <si>
    <t>http://www.yahya-group.com/page/home</t>
  </si>
  <si>
    <t>Benson Shoes</t>
  </si>
  <si>
    <t>http://benson-shoes.net/img/logo.png</t>
  </si>
  <si>
    <t>http://benson-shoes.net/</t>
  </si>
  <si>
    <t>Shoppeos</t>
  </si>
  <si>
    <t>http://shoppeos.ma/skin/frontend/default/galayomarket/images/logo.png</t>
  </si>
  <si>
    <t>http://shoppeos.ma/</t>
  </si>
  <si>
    <t>Atlas Sports</t>
  </si>
  <si>
    <t>http://www.atlas-sports.com/index_html_files/3803.png</t>
  </si>
  <si>
    <t>http://www.atlas-sports.com/index.html</t>
  </si>
  <si>
    <t>Urban Sports</t>
  </si>
  <si>
    <t>http://www.urbansport.ma/img/urbansports-logo-1473461618.jpg</t>
  </si>
  <si>
    <t>http://www.urbansport.ma/</t>
  </si>
  <si>
    <t>http://tvadsl.iam.ma/imgs/Ban_22_oct.jpg</t>
  </si>
  <si>
    <t>http://tvadsl.iam.ma/</t>
  </si>
  <si>
    <t>Mazagan</t>
  </si>
  <si>
    <t>https://pbs.twimg.com/profile_images/591191126071185408/PGkEr74X.png</t>
  </si>
  <si>
    <t>http://www.mazaganbeachresort.com/spa.aspx</t>
  </si>
  <si>
    <t>Sogetherm</t>
  </si>
  <si>
    <t>http://www.sogetherm.com/images/Logo-site.png</t>
  </si>
  <si>
    <t>http://www.sogetherm.com/</t>
  </si>
  <si>
    <t>Beko</t>
  </si>
  <si>
    <t>http://www.beko-maroc.com/images/frontend/logo.png</t>
  </si>
  <si>
    <t>http://www.beko-maroc.com/</t>
  </si>
  <si>
    <t>Chickenspotfez</t>
  </si>
  <si>
    <t>http://chickenspotfes.com/wp-content/uploads/2017/01/logo-site-1.jpg</t>
  </si>
  <si>
    <t>http://chickenspotfes.com/</t>
  </si>
  <si>
    <t>BridgeIT</t>
  </si>
  <si>
    <t>http://www.bridgeit.ma/img/logo.jpg</t>
  </si>
  <si>
    <t>http://www.bridgeit.ma/</t>
  </si>
  <si>
    <t>http://www.iam.ma/index.aspx</t>
  </si>
  <si>
    <t>http://www.royalairmaroc.com/extension/design_ram/design/new_design_ram/images/logo/192x135xlogo.png.pagespeed.ic.u18jrmS7pu.png</t>
  </si>
  <si>
    <t>http://www.royalairmaroc.com/int-ar</t>
  </si>
  <si>
    <t>Casablanca Stock Exchange</t>
  </si>
  <si>
    <t>http://www.casablanca-bourse.com/bourseweb/en/img/logo2.jpg</t>
  </si>
  <si>
    <t>http://www.casablanca-bourse.com/bourseweb/Ar/index.aspx</t>
  </si>
  <si>
    <t>TerraTour</t>
  </si>
  <si>
    <t>Travel Agency</t>
  </si>
  <si>
    <t>http://www.terratour.co.ma/images/logo1.png</t>
  </si>
  <si>
    <t>http://www.terratour.co.ma/index.php</t>
  </si>
  <si>
    <t>Officiel d’Electricite</t>
  </si>
  <si>
    <t>http://e-ingenieur.info/wp-content/uploads/2016/08/ONEE-Logo-ingenieur.png</t>
  </si>
  <si>
    <t>http://www.one.org.ma/</t>
  </si>
  <si>
    <t>Istichar</t>
  </si>
  <si>
    <t>http://www.istichar.ma/picture_library/red-tie-ISTICHAR.jpg</t>
  </si>
  <si>
    <t>http://www.istichar.ma/istichar.html</t>
  </si>
  <si>
    <t>Petromaroc</t>
  </si>
  <si>
    <t>http://www.universalonlinesolutions.com/main/images/News/PetromarocLogo.gif</t>
  </si>
  <si>
    <t>http://www.petromaroc.co/</t>
  </si>
  <si>
    <t>Royaume du Maroc</t>
  </si>
  <si>
    <t>http://www.onep.ma/onee.jpg</t>
  </si>
  <si>
    <t>http://www.onep.ma/</t>
  </si>
  <si>
    <t>http://www.veolia.com/middleeast/sites/all/themes/veo/images/logo.png</t>
  </si>
  <si>
    <t>http://www.veolia.com/middleeast/</t>
  </si>
  <si>
    <t>Taqa</t>
  </si>
  <si>
    <t>http://topnews.ae/images/Taqa-Logo.jpg</t>
  </si>
  <si>
    <t>http://www.taqamorocco.ma/fr/index.aspx</t>
  </si>
  <si>
    <t>Le Yacht Club du Maroc</t>
  </si>
  <si>
    <t>http://www.unevieafedala.com/contenu/images/blason-mohammedia.gif</t>
  </si>
  <si>
    <t>http://www.unevieafedala.com/ancienseleves/fedala.aspx?code=Ville-YachtClub</t>
  </si>
  <si>
    <t>Nora ayroN</t>
  </si>
  <si>
    <t>Boutique</t>
  </si>
  <si>
    <t>http://lh3.googleusercontent.com/-593cw7FSvYo/VjTTnJym6xI/AAAAAAAAKg0/MWQ-Pp4pHew/s640/blogger-image--430770303.jpg</t>
  </si>
  <si>
    <t>http://www.norya-ayron.com/</t>
  </si>
  <si>
    <t>Bank of Morocco ATM</t>
  </si>
  <si>
    <t>https://www.google.de/maps/place/Bank+of+Morocco/@32.8170288,-8.0119608,7z/data=!4m8!1m2!2m1!1satm+morocco!3m4!1s0xd0bc8d491a31c83:0x156a421acc81ea5a!8m2!3d35.195388!4d-6.1509839</t>
  </si>
  <si>
    <t>Poste ATM</t>
  </si>
  <si>
    <t>https://www.google.de/maps/place/Poste/@32.8170288,-8.0119608,7z/data=!4m8!1m2!2m1!1satm+morocco!3m4!1s0x0:0x880a63937a7d4e96!8m2!3d34.9433624!4d-3.5341644</t>
  </si>
  <si>
    <t>Donation Miss Abergel</t>
  </si>
  <si>
    <t>Donation Mr and Mrs Azoulay</t>
  </si>
  <si>
    <t>Donation Mr and Mrs Harrak</t>
  </si>
  <si>
    <t>Donation Mr Abergel</t>
  </si>
  <si>
    <t>Donation Harrak Family</t>
  </si>
  <si>
    <t>Donation Moroccan childrens trust</t>
  </si>
  <si>
    <t>http://streetchildren.org/wp-content/uploads/2014/01/MCT.jpg</t>
  </si>
  <si>
    <t>http://www.moroccanchildrenstrust.org/fr/</t>
  </si>
  <si>
    <t>Donation Migrations and developpement</t>
  </si>
  <si>
    <t>http://www.migdev.org/wp-content/uploads/2016/05/MD-Logo-2015-210x210.png</t>
  </si>
  <si>
    <t>http://www.migdev.org/</t>
  </si>
  <si>
    <t>Donation reep in morocco</t>
  </si>
  <si>
    <t>http://www.reepinfo.org/wp-content/gallery/reep-in-morocco/12.jpg</t>
  </si>
  <si>
    <t>http://www.reepinfo.org/reep-in-morocco/</t>
  </si>
  <si>
    <t>Donation Le Caspien</t>
  </si>
  <si>
    <t>http://static.zleepinghotels.com/ImageHandler.ashx?id=165667&amp;boxwidth=500&amp;boxheight=280&amp;bg=ffc896&amp;full=1&amp;bwidth=5&amp;bcolor=ffffff</t>
  </si>
  <si>
    <t>http://lecaspien-hotel.com/</t>
  </si>
  <si>
    <t>http://www.e-joussour.net/wp-content/uploads/2015/08/care.jpg</t>
  </si>
  <si>
    <t>http://www.care.org/country/morocco</t>
  </si>
  <si>
    <t>Mr D Shitrit</t>
  </si>
  <si>
    <t>Ibn Tofail University Hospital</t>
  </si>
  <si>
    <t>https://www.chumarrakech.ma/wp-content/imageactualites/573459c278d9e.jpeg</t>
  </si>
  <si>
    <t>https://www.chumarrakech.ma</t>
  </si>
  <si>
    <t>Salary Mr R Shitrit</t>
  </si>
  <si>
    <t>Salary Mrs F Al-Maghribī</t>
  </si>
  <si>
    <t>Paid Invoice Mr Harrak</t>
  </si>
  <si>
    <t>Paid Invoice Mr Benjelloun</t>
  </si>
  <si>
    <t>Paid Invoice Miss Azoulay</t>
  </si>
  <si>
    <t>Paid Invoice 76542 Mr Harrak</t>
  </si>
  <si>
    <t>Paid Invoice  986 Mr Shitrit</t>
  </si>
  <si>
    <t>Paid Invoice 2297 Miss Shitrit</t>
  </si>
  <si>
    <t>oncf</t>
  </si>
  <si>
    <t>Saham Group</t>
  </si>
  <si>
    <t>https://www.ifcamc.org/sites/amc/files/59.png</t>
  </si>
  <si>
    <t>http://www.saham.com/ar/arbusinesses/assurance</t>
  </si>
  <si>
    <t>Jordan</t>
  </si>
  <si>
    <t>Royal Jordanian</t>
  </si>
  <si>
    <t>https://s-media-cache-ak0.pinimg.com/originals/3b/71/c9/3b71c9d06ee0c366265acad9375d4e30.jpg</t>
  </si>
  <si>
    <t>http://www.rj.com/ar</t>
  </si>
  <si>
    <t>Qutar Airways</t>
  </si>
  <si>
    <t>https://www.hbtf.com/en/Personal/Products/Cards/PublishingImages/en/housing-bank-rewards-program/Qatar_Airways.svg.png</t>
  </si>
  <si>
    <t>http://www.qatarairways.com/jo/ar/homepage.page</t>
  </si>
  <si>
    <t>Queen Alia International Airport</t>
  </si>
  <si>
    <t>https://upload.wikimedia.org/wikipedia/en/thumb/3/36/2015_QAIA_logo.png/200px-2015_QAIA_logo.png</t>
  </si>
  <si>
    <t>http://www.qaiairport.com/ar</t>
  </si>
  <si>
    <t>Petra</t>
  </si>
  <si>
    <t>Arttraction</t>
  </si>
  <si>
    <t>https://s-media-cache-ak0.pinimg.com/736x/a6/0c/7a/a60c7a9d3bcd254c76d1e7460b90ddd6.jpg</t>
  </si>
  <si>
    <t>http://www.visitpetra.jo/default.aspx</t>
  </si>
  <si>
    <t>Sky Lounge</t>
  </si>
  <si>
    <t>http://www.tipntag.com/files/get/original/place/_50977e386655c1.41825299_394998_451701481558032_1833012916_n.jpg</t>
  </si>
  <si>
    <t>https://www.millenniumhotels.com/ar/amman/grand-millennium-amman/sky-lounge/</t>
  </si>
  <si>
    <t>Bar On Four</t>
  </si>
  <si>
    <t>https://media-cdn.tripadvisor.com/media/photo-s/0e/9a/86/dd/the-bar.jpg</t>
  </si>
  <si>
    <t>https://ar.rotana.com/rotanahotelandresorts/jordan/amman/ammanrotana/dining</t>
  </si>
  <si>
    <t>http://www.theinnovationproject2015.com/wp-content/uploads/2015/01/Booking.com_logo.jpg</t>
  </si>
  <si>
    <t>https://www.booking.com/searchresults.ar.html?aid=304142;label=gen173nr-1DEgJnbyh0QgJYWEgzYgVub3JlZmg7iAEBmAEBuAEHyAEN2AED6AEBkgIBeagCAw;sid=b830dcdce606afe3b12a806751208ce2;class_interval=1&amp;dest_id=-634196&amp;dest_type=city&amp;dtdisc=0&amp;group_adults=2&amp;group_children=0&amp;ifl=1&amp;inac=0&amp;index_postcard=0&amp;label_click=undef&amp;mih=0&amp;no_rooms=1&amp;offset=0&amp;postcard=0&amp;room1=A%2CA&amp;sb_price_type=total&amp;si=ai%2Cco%2Cci%2Cre%2Cla%2Cdi&amp;ss=jo&amp;ss_all=0&amp;ssb=empty&amp;sshis=0&amp;</t>
  </si>
  <si>
    <t>https://mercedesbenzme.com/jordan/ar/</t>
  </si>
  <si>
    <t>Jordon Hashemite Charity Organization</t>
  </si>
  <si>
    <t>http://en.jhco.org.jo/Portals/Portal1/Upload/Block/Image/JHCO-logo-ar.png</t>
  </si>
  <si>
    <t>http://www.wvi.org/jordan</t>
  </si>
  <si>
    <t>Taj Cinemas</t>
  </si>
  <si>
    <t>http://www.tajcinemas.com/Images/taj_cinemas_logo.png</t>
  </si>
  <si>
    <t>http://www.tajcinemas.com</t>
  </si>
  <si>
    <t>Books@Cafe</t>
  </si>
  <si>
    <t>https://pbs.twimg.com/profile_images/3599041158/c22dfc2743fbb25e2965f9d7e579bcd5_400x400.jpeg</t>
  </si>
  <si>
    <t>https://www.booksatcafe.com</t>
  </si>
  <si>
    <t>Caffe Strada</t>
  </si>
  <si>
    <t>https://pbs.twimg.com/profile_images/1662331118/Caff__Strada_Black_400x400.jpg</t>
  </si>
  <si>
    <t>http://cstrada.com</t>
  </si>
  <si>
    <t>Maani Ventures</t>
  </si>
  <si>
    <t>http://www.maani-egypt.net/images/Maani-Logo.png</t>
  </si>
  <si>
    <t>http://www.maani.com</t>
  </si>
  <si>
    <t>The Hashemite Kingdom of Jordon</t>
  </si>
  <si>
    <t>https://lh3.googleusercontent.com/HxK5qgMxAxO13CLlyA4CpP4HZzIOtCVIziQde_TUSCp7Z0RwBuDGvOWYzs4YqunQ-Dk=w300</t>
  </si>
  <si>
    <t>http://www.jordan.gov.jo/wps/portal/!ut/p/b1/jZHbCoJAEIafpQeImXU97F6amecsK233JgxEBA83EfT2rRJ0lTZ3A99_GAYkCKJTqnGdcLiC7MtnU5ePZujLdtylect5xPLII8h8j2EQomYm1oZioilAzAAM_9M7nu3rVozIYs_AwPYvGT9SijZd0hcgNh8T_DH2YolT1SsjOYvpxgIw3joBc8dMwExRoQDrG5GmgasiOCNZdiDoUjiDcCAEWbfDXf2n2MLeH7oKOtnu4tc6dDNGGK1XbzxLFEI!/dl4/d5/L0lHSkovd0RNQUprQUVnQSEhLzRKVUUvYXI!/?isFromLangChange=true</t>
  </si>
  <si>
    <t>Alsalem Dental Clinics</t>
  </si>
  <si>
    <t>http://www.alsalemclinics.com/www3/wp-content/uploads/2016/03/default-logo.png.png</t>
  </si>
  <si>
    <t>http://www.alsalemclinics.com/www3/</t>
  </si>
  <si>
    <t xml:space="preserve">Eagle Estate </t>
  </si>
  <si>
    <t>http://www.eagleestate.net/sites/all/themes/eagle_state/images/logo.png</t>
  </si>
  <si>
    <t>http://www.eagleestate.net</t>
  </si>
  <si>
    <t>Total</t>
  </si>
  <si>
    <t>https://adelbb.com/uploads/adelbb_13502238891300.jpg</t>
  </si>
  <si>
    <t>http://www.total.jo</t>
  </si>
  <si>
    <t>Manaseer Oil &amp; Gas</t>
  </si>
  <si>
    <t>http://manaseergroup.com/upload/media_New_logos/1486580554_lock_gas-H.png</t>
  </si>
  <si>
    <t>http://mgc-gas.com/?lang=ar</t>
  </si>
  <si>
    <t>https://www.skyscanner.com</t>
  </si>
  <si>
    <t>Rayan Shiping Agencies</t>
  </si>
  <si>
    <t>http://www.fwddirectory.com/logos/profile/rayan-shipping-agencies-co-logo-aqaba-aqaba-governorate-445.png</t>
  </si>
  <si>
    <t>https://www.aqaba-ship.com</t>
  </si>
  <si>
    <t>Cozmo</t>
  </si>
  <si>
    <t>https://cozmo.jo/medias/?context=Y296bW98aW1hZ2VzfDU3ODl8aW1hZ2UvcG5nfGltYWdlcy9oNDkvaGIwLzg3OTc0NDIyMTE4NzAucG5nfDk3ZTJhYmIxMDNkNDUwN2I3OTBmMmUzNWEzMGMxNTdiMjFkMWUxYmMyZThmOGY4NDAxYmE1Mjk2NTUyNzFmNzc</t>
  </si>
  <si>
    <t>https://cozmo.jo/cozmostore/</t>
  </si>
  <si>
    <t>Corner Supermarket</t>
  </si>
  <si>
    <t>http://jo.jeeran.com/images/preview/440x440/Place/95/the-corner-supermarket-amman-826219895.jpg.jpg</t>
  </si>
  <si>
    <t>http://www.cornersupermarket.com/home.html</t>
  </si>
  <si>
    <t>Safeway</t>
  </si>
  <si>
    <t>http://www.deansfamily.com/safeway/safeway%20logo.gif</t>
  </si>
  <si>
    <t>http://safeway.com.jo/?___store=arabic&amp;___from_store=default</t>
  </si>
  <si>
    <t>C Town</t>
  </si>
  <si>
    <t>http://www.seideh.com/Images/logos/636101269119642749ctlogo.png</t>
  </si>
  <si>
    <t>http://ctown.jo/offers</t>
  </si>
  <si>
    <t>Zait- Zatar</t>
  </si>
  <si>
    <t>https://lh5.ggpht.com/1gsW44jqtwkYCm8gjlREM7NkHxKsxcGFSdSQ2jWXrIhhvZNrqSbS8c8YwyW_dhSX6w-y=w300</t>
  </si>
  <si>
    <t>http://www.zait-zatar.com/index.php/ar/</t>
  </si>
  <si>
    <t>http://is4.mzstatic.com/image/thumb/Purple18/v4/6d/5c/8a/6d5c8aff-3e54-2c22-726a-ac3b420cee14/source/1200x630bf.jpg</t>
  </si>
  <si>
    <t>http://carrefourjordan.com/Default.aspx?language=ar&amp;country=jo</t>
  </si>
  <si>
    <t>Gold's Gym</t>
  </si>
  <si>
    <t>http://www.goldsgym.com/palmbeachgardensfl/wp-content/uploads/sites/661/2015/07/GGLogo.jpg</t>
  </si>
  <si>
    <t>http://www.goldsgym.jo/index.html</t>
  </si>
  <si>
    <t>Hammoudeh Group</t>
  </si>
  <si>
    <t>https://pbs.twimg.com/profile_images/815552584366882816/iVunWhzN.jpg</t>
  </si>
  <si>
    <t>http://www.hammoudeh.com</t>
  </si>
  <si>
    <t>Sanam Glass</t>
  </si>
  <si>
    <t>http://www.faglass.com/logo/sanamglass.jpg</t>
  </si>
  <si>
    <t>http://www.sanamglass.com</t>
  </si>
  <si>
    <t>Jordon Insurance Company</t>
  </si>
  <si>
    <t>https://static.mubasher.info/File.Company_Logo/b911dfad8353465ef398975726630e9a.jpg</t>
  </si>
  <si>
    <t>http://www.jicjo.com</t>
  </si>
  <si>
    <t>Portal Software Solutions</t>
  </si>
  <si>
    <t>http://www.portalss.com/Images/PortalSSLogo.jpg</t>
  </si>
  <si>
    <t>http://www.portalss.com/index-arabic.html</t>
  </si>
  <si>
    <t>Abdali</t>
  </si>
  <si>
    <t>https://pbs.twimg.com/profile_images/750429628012126212/AuqSDW5L.jpg</t>
  </si>
  <si>
    <t>http://www.abdali.jo/index.php?lang=ar</t>
  </si>
  <si>
    <t>https://www.orange.jo/ar/pages/default.aspx</t>
  </si>
  <si>
    <t>Umniah</t>
  </si>
  <si>
    <t>https://static.wixstatic.com/media/a8ad20_fee8415e81744e7f87c299758e8cced9.png_srz_223_215_85_22_0.50_1.20_0.00_png_srz</t>
  </si>
  <si>
    <t>https://www.umniah.com/ar/</t>
  </si>
  <si>
    <t>Ayla Golf Club</t>
  </si>
  <si>
    <t>https://www.ayla.com.jo/wp-content/uploads/2016/08/aylaCoverLogo.jpg</t>
  </si>
  <si>
    <t>http://www.ayla.com.jo/ar/</t>
  </si>
  <si>
    <t>Bank of Jordon</t>
  </si>
  <si>
    <t>http://www.venturemagazine.me/wp-content/uploads/2016/02/Bank_of_Jordan-350x215.jpg</t>
  </si>
  <si>
    <t>http://www.bankofjordan.com/page/mortgage-loans</t>
  </si>
  <si>
    <t>Office 1 Superstore</t>
  </si>
  <si>
    <t>http://flashhaiti.com/public/business_image/1352242309office_1_superstore-logo.jpg</t>
  </si>
  <si>
    <t>http://www.office1.jo</t>
  </si>
  <si>
    <t>Alpha Optical</t>
  </si>
  <si>
    <t>http://www.tipntag.com/files/get/original/place/_521b36e2e15104.40920129_alpha.jpg</t>
  </si>
  <si>
    <t>http://www.alpha-optical.com</t>
  </si>
  <si>
    <t>Pharmacy 1</t>
  </si>
  <si>
    <t>http://www2.pharmacy-1.com/CustomerCenter/images/Logo.jpg</t>
  </si>
  <si>
    <t>http://www2.pharmacy-1.com/CustomerCenter/default.aspx</t>
  </si>
  <si>
    <t xml:space="preserve">Jordon Pipe </t>
  </si>
  <si>
    <t>http://www.jopipes.com/data1/images/pic1.jpg</t>
  </si>
  <si>
    <t>http://www.jopipes.com</t>
  </si>
  <si>
    <t>Wild Jordon Center</t>
  </si>
  <si>
    <t>http://atico-jo.com/wp-content/uploads/2016/10/WJC.png</t>
  </si>
  <si>
    <t>http://wildjordancenter.com</t>
  </si>
  <si>
    <t>Fakhreldin Restaurant</t>
  </si>
  <si>
    <t>http://atico-jo.com/wp-content/uploads/2016/10/Fakhreldin.png</t>
  </si>
  <si>
    <t>http://www.atico-jo.com/dt_portfolios/fakhreldin/</t>
  </si>
  <si>
    <t>Levant</t>
  </si>
  <si>
    <t>http://static.wixstatic.com/media/d6cf71_57f062300dc44d08a877e0e32375b01d.png_srz_233_233_85_22_0.50_1.20_0.00_png_srz</t>
  </si>
  <si>
    <t>http://www.levant-jo.com</t>
  </si>
  <si>
    <t>Fatatri</t>
  </si>
  <si>
    <t>https://pbs.twimg.com/profile_images/605743247508381699/pkJcG7ZL.png</t>
  </si>
  <si>
    <t>http://www.fatatri.com</t>
  </si>
  <si>
    <t>Deir El Qamar</t>
  </si>
  <si>
    <t>http://www.tipntag.com/files/get/original/place/_51c2f74b7c8f42.98132927_1311074214deirelqamar.jpg</t>
  </si>
  <si>
    <t>http://www.deirelqamarrest.com/Contactus.aspx?Lng=1</t>
  </si>
  <si>
    <t>Da Esmat</t>
  </si>
  <si>
    <t>http://jo.jeeran.com/images/preview/440x440/Place/18/5225d2fca3dd3-amman-611345718.jpg.jpg</t>
  </si>
  <si>
    <t>https://www.facebook.com/Da-Esmat-305506822914988/</t>
  </si>
  <si>
    <t>Café Italia</t>
  </si>
  <si>
    <t>http://guide2jordan.com/media/com_jbusinessdirectory/pictures/companies/425/CafeItalialogo-1478112244.jpg</t>
  </si>
  <si>
    <t>https://www.rotana.com/arjaanhotelapartments/jordan/amman/theboulevardarjaanbyrotana/diningout/cafeitalia</t>
  </si>
  <si>
    <t>Evoo</t>
  </si>
  <si>
    <t>http://www.mealadvisors.com/files/get/path/jordan/freelogos/evoo-sheraton-amman-logo133.jpg</t>
  </si>
  <si>
    <t>http://www.evooamman.com</t>
  </si>
  <si>
    <t>http://www.pizzahut.me</t>
  </si>
  <si>
    <t>https://www.mcdelivery.jo/jo/home.html</t>
  </si>
  <si>
    <t>https://s3.amazonaws.com/offer-engine/dominos-pizza---oman-x091933/merchant_primary_logo_%28retina%29_-_merchant.png</t>
  </si>
  <si>
    <t>https://www.dominos.jo</t>
  </si>
  <si>
    <t>Romero</t>
  </si>
  <si>
    <t>https://pbs.twimg.com/profile_images/508559219507752960/kXNjAS1W_400x400.jpeg</t>
  </si>
  <si>
    <t>http://www.romero-jordan.com</t>
  </si>
  <si>
    <t>http://www.jordan.gov.jo/wps/portal/!ut/p/b1/jc9LDoIwEIDhs3iCTmlpy7JoaCtIIoQK3RgWxGB4bIznF1mpUWR2k3x_MoMcqrDPCQjKMEYlckN9by_1rR2Hunvujp1tEAsbKwygJQOTZThi_s6LLZ9A9QqEVgLMHjx24CEBytb1WyU15QmASJQPRuoiC46EgCTrevgxEv71eTOgE3LvTNmpNWGeBqxQnrDkE3x5cwZLf8xg4dBUj32DetdFkcjNlcrNA7VTBQY!/dl4/d5/L0lHSkovd0RNQUprQUVnQSEhLzRKVUUvYXI!/?isFromLangChange=true</t>
  </si>
  <si>
    <t>http://www.careersuae.ae/__media/logos/Arab-Bank.jpg</t>
  </si>
  <si>
    <t>http://www.arabbank.jo/ar/default.aspx</t>
  </si>
  <si>
    <t>Ahli Bank</t>
  </si>
  <si>
    <t>http://amwalcom.com/img/bank/ahli.jpg</t>
  </si>
  <si>
    <t>http://ahli.com/ar/jordan/personal/البنك-الاهلي-الاردني</t>
  </si>
  <si>
    <t>New English School</t>
  </si>
  <si>
    <t>http://fluencycontent-schoolwebsite.netdna-ssl.com/FileCluster/NewEnglishSchool/Templates/Images/Header/Logo-mobile2.png</t>
  </si>
  <si>
    <t>http://www.nes.edu.jo</t>
  </si>
  <si>
    <t>Jordon Global Shipping Agencies</t>
  </si>
  <si>
    <t>http://static.wixstatic.com/media/94927a_e953e71461f04ef1ab67c44632b5614d.png/v1/fill/w_154,h_154,al_c,usm_0.66_1.00_0.01/94927a_e953e71461f04ef1ab67c44632b5614d.png</t>
  </si>
  <si>
    <t>http://www.jgsaco.com</t>
  </si>
  <si>
    <t>Kaza Shee</t>
  </si>
  <si>
    <t>https://kazashee.com/image/cache/catalog/kazashee-logo-website-600x315.jpg</t>
  </si>
  <si>
    <t>https://kazashee.com</t>
  </si>
  <si>
    <t>Kids Home</t>
  </si>
  <si>
    <t>https://stocklogos-pd.s3.amazonaws.com/styles/logo-medium-alt/logos/image/1357107693-c08d8d6824b3022cd677973c509db7c0.png?itok=4V7f9Aba</t>
  </si>
  <si>
    <t>http://www.kidshome.jo</t>
  </si>
  <si>
    <t>the Good Book Shop</t>
  </si>
  <si>
    <t>Book shop</t>
  </si>
  <si>
    <t>http://www.thegoodbookshop.com/uploads/1/8/0/6/18064301/1362185825.png</t>
  </si>
  <si>
    <t>http://www.thegoodbookshop.com</t>
  </si>
  <si>
    <t>La Roche Chocolate</t>
  </si>
  <si>
    <t>http://www.laroche.com.jo</t>
  </si>
  <si>
    <t>Farah Shop</t>
  </si>
  <si>
    <t>http://www.arabiaweddings.com/sites/default/files/companies/images/logos/logo_farah.jpg</t>
  </si>
  <si>
    <t>http://www.farahshop.com</t>
  </si>
  <si>
    <t>Fashion House</t>
  </si>
  <si>
    <t>http://cdn.shopify.com/s/files/1/1340/1217/t/2/assets/logo.png?16423761309334738842</t>
  </si>
  <si>
    <t>https://www.fashionhouseamman.com</t>
  </si>
  <si>
    <t>Jobedu</t>
  </si>
  <si>
    <t>http://eureeca.com/main/Attachments/Pitch/TheBussniss/11e27757-7de5-4a3b-a92c-8d1978283365.png</t>
  </si>
  <si>
    <t>https://www.jobedu.com/ar/</t>
  </si>
  <si>
    <t>https://s-media-cache-ak0.pinimg.com/736x/e8/47/e4/e847e41ac9713cf26034ce6c40a31aed.jpg</t>
  </si>
  <si>
    <t>http://shop.mango.com/JO/النساء/اكسسوارات/شنط</t>
  </si>
  <si>
    <t>https://www.zara.com/jo/</t>
  </si>
  <si>
    <t>Trinitae</t>
  </si>
  <si>
    <t>http://trinitae.com/medias/?context=dHJpbml0YWV8aW1hZ2VzfDgxMTN8aW1hZ2UvcG5nfGltYWdlcy9oY2UvaGZmLzg4MDY2ODY5ODIxNzQucG5nfGVhNDAzZGRkOTE1NTNkOGUwYmE1ZGYwZGM0ZmJkMTkxMjc1Nzc2NTMzYjg1NTdkZDJkYjUwM2EzNmQzYTk3Y2Q</t>
  </si>
  <si>
    <t>http://trinitae.com/trinitaestore/</t>
  </si>
  <si>
    <t>http://www.maccosmetics-me.com</t>
  </si>
  <si>
    <t>Real Cosmetics</t>
  </si>
  <si>
    <t>http://jo.jeeran.com/images/preview/440x440/Place/83/58fe23ff59b04-amman-3079999583.jpg.jpg</t>
  </si>
  <si>
    <t>http://www.realcosmetics.jo/index.php?route=common/home</t>
  </si>
  <si>
    <t>www.amazon.com</t>
  </si>
  <si>
    <t>Alshaya</t>
  </si>
  <si>
    <t>https://img0bm.b8cdn.com/images/logo/67/141067_logo_1470308193_n.png</t>
  </si>
  <si>
    <t>http://alshaya.com/en/brands/fashion-footwear/debenhams</t>
  </si>
  <si>
    <t>City Mall</t>
  </si>
  <si>
    <t>Department Store/Mall</t>
  </si>
  <si>
    <t>https://img0bm.b8cdn.com/images/logo/34/305934_logo_1465816142_n.png</t>
  </si>
  <si>
    <t>https://www.citymall.jo</t>
  </si>
  <si>
    <t>Mecca Mall</t>
  </si>
  <si>
    <t>http://theblunet.com/wp-content/uploads/2016/02/makkeh.jpg</t>
  </si>
  <si>
    <t>http://meccamall.jo</t>
  </si>
  <si>
    <t>Abdali Mall</t>
  </si>
  <si>
    <t>https://static1.squarespace.com/static/53708240e4b0fb68c6a48720/t/537b1e1de4b0c4a5e914ec75/1463654861268/</t>
  </si>
  <si>
    <t>http://vps2.itw-hosting.net/abdalimall/</t>
  </si>
  <si>
    <t>Marks &amp; Spencer</t>
  </si>
  <si>
    <t>https://www.brandsoftheworld.com/sites/default/files/styles/logo-thumbnail/public/112013/marks_and_spencer_logo.ai-converted.png?itok=IW0_4MjS</t>
  </si>
  <si>
    <t>http://global.marksandspencer.com/jo/</t>
  </si>
  <si>
    <t>Smart Buy</t>
  </si>
  <si>
    <t>http://www.jordanict.com/sites/default/files/styles/logo_profile/public/images/logos/SmartBuy%20Logo.jpg?itok=l-TyaclB</t>
  </si>
  <si>
    <t>https://smartbuy-me.com/smartbuystore/</t>
  </si>
  <si>
    <t>Jordan Laptop shop</t>
  </si>
  <si>
    <t>https://pbs.twimg.com/media/CC8fdo-UkAEDiKq.jpg</t>
  </si>
  <si>
    <t>http://jordancomputers.com/default.aspx</t>
  </si>
  <si>
    <t>Leaders</t>
  </si>
  <si>
    <t>https://pbs.twimg.com/profile_images/778541996512256000/oXq0EyDn.jpg</t>
  </si>
  <si>
    <t>http://leadersemall.com</t>
  </si>
  <si>
    <t>Flowers in Jordan</t>
  </si>
  <si>
    <t>https://alissarflowers.com/media/catalog/product/cache/1/image/1200x1200/9df78eab33525d08d6e5fb8d27136e95/a/f/aft138-1.jpg</t>
  </si>
  <si>
    <t>https://www.flowersinjordan.com/?utm_source=redir&amp;utm_medium=cpc&amp;utm_campaign=or</t>
  </si>
  <si>
    <t>Bashiti hardware</t>
  </si>
  <si>
    <t>http://www.bashitihardware.com/Themes/Bashiti/Content/images/logo_bashiti.png</t>
  </si>
  <si>
    <t>http://www.bashitihardware.com</t>
  </si>
  <si>
    <t>Midas</t>
  </si>
  <si>
    <t>http://midasfurniture.com/images/content/logo.png</t>
  </si>
  <si>
    <t>Roche-Bobois</t>
  </si>
  <si>
    <t>https://www.roche-bobois.com</t>
  </si>
  <si>
    <t>Amazing Rooms</t>
  </si>
  <si>
    <t>https://pbs.twimg.com/profile_images/502040432176414722/ZY1H6Kqy.jpeg</t>
  </si>
  <si>
    <t>http://www.amazing-rooms.com</t>
  </si>
  <si>
    <t>https://upload.wikimedia.org/wikipedia/commons/thumb/c/c5/Ikea_logo.svg/1000px-Ikea_logo.svg.png</t>
  </si>
  <si>
    <t>http://ar.ikea.com/jo/ar/</t>
  </si>
  <si>
    <t>Kayali Jewelry</t>
  </si>
  <si>
    <t>https://pbs.twimg.com/profile_images/828514893917782016/asAObs-y.jpg</t>
  </si>
  <si>
    <t>http://kayalijewelry.net</t>
  </si>
  <si>
    <t>Toys and Toys</t>
  </si>
  <si>
    <t>http://imgsrv2.pxdrive.com/pics/norm/275153.jpg</t>
  </si>
  <si>
    <t>http://www.toysandtoys.jo</t>
  </si>
  <si>
    <t>Amman Toys</t>
  </si>
  <si>
    <t>https://pbs.twimg.com/profile_images/3237895755/5006897130a1e87d4fcfcd5e7cc8a6fb_400x400.jpeg</t>
  </si>
  <si>
    <t>http://ammantoys.com/ar/</t>
  </si>
  <si>
    <t>Noor Ala Noor</t>
  </si>
  <si>
    <t>http://jo.jeeran.com/images/preview/440x440/Place/29/noor-ala-noor-lighting-and-elec-accessories-amman-3842406629.jpg.jpg</t>
  </si>
  <si>
    <t>http://www.nooralanoor.net/products/lighting/</t>
  </si>
  <si>
    <t>The Jordan Times</t>
  </si>
  <si>
    <t>http://www.jordantimes.com/sites/default/files/32b756bf1c53571ee7eca11f9294931053b0007d.jpg</t>
  </si>
  <si>
    <t>http://www.jordantimes.com</t>
  </si>
  <si>
    <t>Salvatore Ferragmo</t>
  </si>
  <si>
    <t>http://a.cdnmktg.com/p/YQ1SsVi03Lesvb7PkvyGbD7oCp8F6EVGAf2SkPgz6Ow/512x512.jpg</t>
  </si>
  <si>
    <t>http://store.ferragamo.com/middle-east/jo/na/amman/arar-mustafa-wahbi-al-tal.html?utm_source=Store_Locator&amp;utm_medium=Jordan&amp;utm_campaign=Amman&amp;utm_content=Amman_Zara_Center</t>
  </si>
  <si>
    <t>https://vrdigitalprodcmsmedia.blob.core.windows.net/prod-kv/2236/clarks-logo.png?mode=max&amp;rnd=130839340950000000</t>
  </si>
  <si>
    <t>http://www.clarks.ae</t>
  </si>
  <si>
    <t>Olympiad Sports</t>
  </si>
  <si>
    <t>https://olympicsp.com/images/Untitled-1-01.jpg</t>
  </si>
  <si>
    <t>http://www.olympiadsports.com</t>
  </si>
  <si>
    <t>Baraka Sports</t>
  </si>
  <si>
    <t>https://www.nusrv.com/cs/resellers-docs/projects/baraka-logo-1382536443.png</t>
  </si>
  <si>
    <t>https://www.barakasports.com</t>
  </si>
  <si>
    <t>ts2</t>
  </si>
  <si>
    <t>http://ts2.space/img/logo.gif</t>
  </si>
  <si>
    <t>http://ts2.space</t>
  </si>
  <si>
    <t>Elixer</t>
  </si>
  <si>
    <t>https://media-cdn.tripadvisor.com/media/photo-s/0e/c5/2e/6f/best-spa-in-amman-jordan.jpg</t>
  </si>
  <si>
    <t>https://www.elixir-dayspa.com</t>
  </si>
  <si>
    <t>Izzat Marji Group</t>
  </si>
  <si>
    <t>https://img0bm.b8cdn.com/images/logo/50/1144450_20090927135231.gif</t>
  </si>
  <si>
    <t>http://www.marji.jo/SubPage.aspx?PageId=232&amp;MenuId=109&amp;CatPId=1</t>
  </si>
  <si>
    <t>Fattal</t>
  </si>
  <si>
    <t>https://media.licdn.com/mpr/mpr/shrink_200_200/AAEAAQAAAAAAAAWpAAAAJGEzNWY3MGM0LWE3OWEtNGM2Mi04YjIyLTJmNzc3OTU2MTE4ZQ.png</t>
  </si>
  <si>
    <t>http://www.fattal.com.lb/geographicalnetwork/country/1</t>
  </si>
  <si>
    <t>Fiber Link Internet</t>
  </si>
  <si>
    <t>http://www.gmkfreelogos.com/logos/J/img/jcs.gif</t>
  </si>
  <si>
    <t>http://jcs.jo/old/index.html</t>
  </si>
  <si>
    <t>Zain</t>
  </si>
  <si>
    <t>https://lh3.googleusercontent.com/F0yzG4edkUfw4gu63CFIeF9NGaSSXqX3f_JwlJTeLj-Imtqa4KjkWAz5fIO9atkZHKQ=w300</t>
  </si>
  <si>
    <t>http://www.jo.zain.com/english/consumer/devices/Pages/default.aspx</t>
  </si>
  <si>
    <t>https://pbs.twimg.com/profile_images/810764334553038848/HyOUoyYT.jpg</t>
  </si>
  <si>
    <t>https://www.umniah.com/en</t>
  </si>
  <si>
    <t>Sajilni</t>
  </si>
  <si>
    <t>https://new.sajilni.com/theme/css/ui_images_sajilni/images_new/logo.png</t>
  </si>
  <si>
    <t>https://www.sajilni.com</t>
  </si>
  <si>
    <t>SAM Engineering &amp; Trade Co Ltd</t>
  </si>
  <si>
    <t>https://media.licdn.com/mpr/mpr/shrink_200_200/AAEAAQAAAAAAAAYkAAAAJDgzZDU2ZWFjLTc2N2UtNDYyMi05MzQ3LThlODM0MDE5Y2FmNA.png</t>
  </si>
  <si>
    <t>http://www.samengineering.com</t>
  </si>
  <si>
    <t>Jordan Hejaz Railway</t>
  </si>
  <si>
    <t>http://www.jordan.gov.jo/wps/wcm/connect/f438ec004b93cdfcb5a3b7845c4fc44a/Hijaz+ID.jpg?MOD=AJPERES&amp;CACHEID=f438ec004b93cdfcb5a3b7845c4fc44a</t>
  </si>
  <si>
    <t>http://www.jhr.gov.jo</t>
  </si>
  <si>
    <t>Jordan Electric Power Company</t>
  </si>
  <si>
    <t>http://www.jepco.com.jo/jepco/templates/jepco/images/logo.jpg</t>
  </si>
  <si>
    <t>http://www.jepco.com.jo/jepco/index.php?option=com_content&amp;view=frontpage&amp;Itemid=1&amp;lang=ar</t>
  </si>
  <si>
    <t>Irbid Electricity</t>
  </si>
  <si>
    <t>https://www.ideco.com.jo/portal/Images/Logo.gif</t>
  </si>
  <si>
    <t>http://ideco.com.jo/portal/Webforms/Default.aspx</t>
  </si>
  <si>
    <t>Central Gas</t>
  </si>
  <si>
    <t>http://www.centralgas.jo/sites/all/themes/cgaz/image/logoblack.png</t>
  </si>
  <si>
    <t>http://www.centralgas.jo</t>
  </si>
  <si>
    <t>Miyahuna</t>
  </si>
  <si>
    <t>http://www.miyahuna.com.jo/images/Logo-color.png</t>
  </si>
  <si>
    <t>http://www.miyahuna.com.jo/Home.aspx</t>
  </si>
  <si>
    <t>Ishraq Energy</t>
  </si>
  <si>
    <t>https://www.google.de/search?q=ishraqenergy.com.+logo&amp;client=safari&amp;rls=en&amp;tbm=isch&amp;imgil=ZzxmlHFBmWvogM%253A%253BaiEuhWmNmFK0eM%253Bhttps%25253A%25252F%25252Fjo.linkedin.com%25252Fin%25252Feng-salsabeel-suleiman-112a4bb1&amp;source=iu&amp;pf=m&amp;fir=ZzxmlHFBmWvogM%253A%252CaiEuhWmNmFK0eM%252C_&amp;usg=__0OjYeyL3LeCAFc-vT56Pq65sBq0%3D&amp;biw=1440&amp;bih=839&amp;ved=0ahUKEwiWytOmheDTAhWG_SwKHQp5DJ0QyjcIQA&amp;ei=HUIQWdbHF4b7swGK8rHoCQ#imgrc=ZzxmlHFBmWvogM:</t>
  </si>
  <si>
    <t>http://ishraqenergy.com</t>
  </si>
  <si>
    <t>MASE</t>
  </si>
  <si>
    <t>http://www.mase-energy.com/wp-content/uploads/2016/02/Mase_logo_header.png</t>
  </si>
  <si>
    <t>http://www.mase-energy.com</t>
  </si>
  <si>
    <t>Royal Yatch Club</t>
  </si>
  <si>
    <t>http://www.romero-jordan.com/images/65.jpg</t>
  </si>
  <si>
    <t>http://www.romero-jordan.com/ryc.html</t>
  </si>
  <si>
    <t>Sajeda</t>
  </si>
  <si>
    <t>http://www.sajeda.com/image/data/logo_web_small.png</t>
  </si>
  <si>
    <t>http://www.sajeda.com</t>
  </si>
  <si>
    <t>Luxmebourg</t>
  </si>
  <si>
    <t>Luxair</t>
  </si>
  <si>
    <t>http://cloud2.whattheflight.com/images/wtf/og/airline/Luxair.jpg</t>
  </si>
  <si>
    <t>http://www.luxair.lu/cms/page?p=en,17652,,,,,</t>
  </si>
  <si>
    <t>Lix Airport</t>
  </si>
  <si>
    <t>https://www.lux-airport.lu</t>
  </si>
  <si>
    <t>https://www.lux-airport.lu/passengers-visitors/flights-information/airlines/</t>
  </si>
  <si>
    <t>Palais Grand-Ducal</t>
  </si>
  <si>
    <t>https://upload.wikimedia.org/wikipedia/commons/thumb/7/73/Grand_Ducal_Palace%2C_Luxembourg_1.jpg/400px-Grand_Ducal_Palace%2C_Luxembourg_1.jpg</t>
  </si>
  <si>
    <t>http://www.lcto.lu/fr/adresse/architecture/palais-grand-ducal</t>
  </si>
  <si>
    <t>Updown</t>
  </si>
  <si>
    <t>https://cdn-az.allevents.in/banners/2c902d603abb51c3a803de8bd2062477</t>
  </si>
  <si>
    <t>http://updown.lu</t>
  </si>
  <si>
    <t>Bikinibar</t>
  </si>
  <si>
    <t>http://www.bikinibar.sg/wp-content/themes/bikinibar/_/images/bikinibarlogo.png</t>
  </si>
  <si>
    <t>http://www.bikinibar.lu/Bikini_Site/Summer_Party_5_8_2016.html</t>
  </si>
  <si>
    <t>http://www.mercedes-benz.lu/content/luxembourg/mpc/mpc_luxembourg_website/fr/home_mpc/passengercars.html</t>
  </si>
  <si>
    <t>http://static.wixstatic.com/media/13af80_0221584b27932ae38554985e7b3d551c.jpg_256</t>
  </si>
  <si>
    <t>http://www.pls.lu</t>
  </si>
  <si>
    <t>http://www.wvi.org</t>
  </si>
  <si>
    <t>https://pbs.twimg.com/profile_images/849276715390181377/kFiAcShu.jpg</t>
  </si>
  <si>
    <t>https://kinepolisluxembourg.lu</t>
  </si>
  <si>
    <t>Golden Bean</t>
  </si>
  <si>
    <t>http://www.goldenbean.lu/img/logo.png</t>
  </si>
  <si>
    <t>http://www.goldenbean.lu</t>
  </si>
  <si>
    <t>Ready?!</t>
  </si>
  <si>
    <t>http://readycoffeeshop.lu/wordpress/wp-content/uploads/2015/03/Ready-logo-web.jpg</t>
  </si>
  <si>
    <t>http://readycoffeeshop.lu</t>
  </si>
  <si>
    <t>Le Gouvernement</t>
  </si>
  <si>
    <t>http://www.logo.public.lu/pictures/photos/Home_Description.png</t>
  </si>
  <si>
    <t>http://www.guichet.public.lu/entreprises/en/fiscalite/impots-benefices/impots-divers/impot-foncier/index.html</t>
  </si>
  <si>
    <t>Cabinet Dentaire Henri Diederich</t>
  </si>
  <si>
    <t>http://bad-neuenahr-zahnarzt.de/attachments/Image/140821-Logo-Praxis-Luxem-klein01_2.png</t>
  </si>
  <si>
    <t>http://www.implantate-lux.com/en/</t>
  </si>
  <si>
    <t>New Immo</t>
  </si>
  <si>
    <t>https://s3-eu-west-1.amazonaws.com/wortimmo-files/prod/img/agences/logos/1475827554.png</t>
  </si>
  <si>
    <t>http://www.newimmo.lu/fr/accueil</t>
  </si>
  <si>
    <t>http://store.total.lu/fr/luxembourg/store-total-lu-fr/luxembourg-gasperich/total-gasperich/nl003021</t>
  </si>
  <si>
    <t>https://lh4.ggpht.com/xdZMFMkb0z7BNjci9_wCffn3BdCpappPJfj-u_icmV40xbYZd5oVwIC3QrXfGYXMDdI=w300</t>
  </si>
  <si>
    <t>http://www.essofuelfinder.lu/430901-esso-dudelange-dudelange</t>
  </si>
  <si>
    <t>Kayak</t>
  </si>
  <si>
    <t>https://www.kayak.com.au/images/logos/kayak-logo.png?v=6</t>
  </si>
  <si>
    <t>http://www.skyscanner.net/images/opengraph_v1.png</t>
  </si>
  <si>
    <t>https://www.skyscanner.net/?market=LU&amp;locale=en-GB&amp;currency=EUR</t>
  </si>
  <si>
    <t>DHL</t>
  </si>
  <si>
    <t>https://upload.wikimedia.org/wikipedia/commons/thumb/a/ac/DHL_Logo.svg/2000px-DHL_Logo.svg.png</t>
  </si>
  <si>
    <t>http://www.dhl.lu/en.html</t>
  </si>
  <si>
    <t>Cactus</t>
  </si>
  <si>
    <t>http://i79.servimg.com/u/f79/11/69/59/15/cactus10.jpg</t>
  </si>
  <si>
    <t>http://www.cactus.lu/en/shops-opening-hours/cactus-marche-luxembourg-gare</t>
  </si>
  <si>
    <t>https://www.happy-or-not.com/content/uploads/2016/02/delhaize.jpg</t>
  </si>
  <si>
    <t>http://www.delhaize.lu</t>
  </si>
  <si>
    <t>Auchan</t>
  </si>
  <si>
    <t>https://yellowprod-fcd.kxcdn.com/uploads/entry/logo/10875/thumb_AUCHAN-LUXEMBOURG-KIRCHBERG-SA_logo2015.jpg</t>
  </si>
  <si>
    <t>https://www.auchan.lu/fr</t>
  </si>
  <si>
    <t>Naturata</t>
  </si>
  <si>
    <t>http://static.oikopolis.lu/scale_large_naturata%20logo%202011.jpg</t>
  </si>
  <si>
    <t>http://www.naturata.lu/de/home/</t>
  </si>
  <si>
    <t>Alima</t>
  </si>
  <si>
    <t>http://2.bp.blogspot.com/-3WLnkEQudaE/VXvaZ_EvChI/AAAAAAAAAFM/GQrbT2_0VzM/s320/logo%2Balima.jpg</t>
  </si>
  <si>
    <t>http://www.alima.lu/online/www/homepage/FRE/index.html</t>
  </si>
  <si>
    <t>https://upload.wikimedia.org/wikipedia/commons/thumb/9/91/Lidl-Logo.svg/1200px-Lidl-Logo.svg.png</t>
  </si>
  <si>
    <t>http://www.lidl.lu/de/home.htm</t>
  </si>
  <si>
    <t>Atgletic Center</t>
  </si>
  <si>
    <t>http://emdera.net/athletic-center/logo-athletic-center.png</t>
  </si>
  <si>
    <t>http://www.athletic-center.lu</t>
  </si>
  <si>
    <t>Hoovers</t>
  </si>
  <si>
    <t>https://products.hoovers.com/sales-marketing/images/Logo_Hoovers.svg</t>
  </si>
  <si>
    <t>http://www.hoovers.com/company-information/cs/company-profile.industrial_processing_company.cbdb3c2f31230b47.html</t>
  </si>
  <si>
    <t>https://www.boschrexroth.com/en/xc/industries/machinery-applications-and-engineering/glass-making-machinery/index</t>
  </si>
  <si>
    <t>https://www.allianzworldwidecare.com/v_1484819845000/en/media/AZ_Logo_RGB.svg</t>
  </si>
  <si>
    <t>http://www.allianz.lu/insurance-fr/</t>
  </si>
  <si>
    <t>DXC Technonlgy</t>
  </si>
  <si>
    <t>http://beta1.csc.com/lu/images/DXC-Luxembourg.jpg</t>
  </si>
  <si>
    <t>http://www.dxc.technology/lu</t>
  </si>
  <si>
    <t>Nexvia Invest</t>
  </si>
  <si>
    <t>https://static.wixstatic.com/media/9dbb49_ece2fee004ea4455a5f94bb249204c5e~mv2.png_srz_317_87_85_22_0.50_1.20_0.00_png_srz</t>
  </si>
  <si>
    <t>https://www.nexviainvest.lu/?gclid=CjwKCAjw07nJBRBGEiwAUXBPmSrIuUdpFuO036CvqBFwawGNGd1n2dHLKhrHRvdWnn1Tw7KxL8_WWxoCm0gQAvD_BwE</t>
  </si>
  <si>
    <t>http://www.orange.lu/fr</t>
  </si>
  <si>
    <t>https://upload.wikimedia.org/wikipedia/de/c/c6/Post_Luxembourg_Logo_2013.png</t>
  </si>
  <si>
    <t>http://www.post.lu/#</t>
  </si>
  <si>
    <t>Mercure Hotel Kikuoka Golf Club</t>
  </si>
  <si>
    <t>https://cdn.shopify.com/s/files/1/0272/3159/products/Mercure_medium.png?v=1413974931</t>
  </si>
  <si>
    <t>http://www.accorhotels.com/gb/hotel-2898-mercure-kikuoka-golf-club-hotel/index.shtml</t>
  </si>
  <si>
    <t>http://logok.org/wp-content/uploads/2014/11/ING_logo-1024x768.png</t>
  </si>
  <si>
    <t>https://www.ing.lu/web/ING/EN/Personal/Becomeclient/Becomeclientonline/OFFRE_BASE_EN?utm_source=Adwords&amp;utm_medium=AdwLUenSearch&amp;utm_term=keywords&amp;utm_content=AdwSOALUen1&amp;utm_campaign=OrangeAccount</t>
  </si>
  <si>
    <t>Buro Trend</t>
  </si>
  <si>
    <t>https://pbs.twimg.com/profile_images/2301524010/buro_logo_400x400.jpg</t>
  </si>
  <si>
    <t>http://www.burotrend.lu</t>
  </si>
  <si>
    <t>Optique Moitzhelm</t>
  </si>
  <si>
    <t>https://pbs.twimg.com/profile_images/525660121553068032/htOz1so_.jpeg</t>
  </si>
  <si>
    <t>http://www.optique-moitzheim.lu/fr/accueil/</t>
  </si>
  <si>
    <t>https://static06.kaufda.de/Geschaefte/Fielmann-Brillen.v4813.png</t>
  </si>
  <si>
    <t>https://www.fielmann.lu/fr/succursales/</t>
  </si>
  <si>
    <t>https://www.luxpark.lu/wp-content/uploads/2016/08/LUXpark_LOGO-Parking-Aeroport-luxembourg.png</t>
  </si>
  <si>
    <t>https://www.luxpark.lu/en/</t>
  </si>
  <si>
    <t>Pharmaice du Cent</t>
  </si>
  <si>
    <t>http://www.pharmacie-gargenville.fr/images/logo.png</t>
  </si>
  <si>
    <t>http://www.pharmacie.lu</t>
  </si>
  <si>
    <t>Kinnari Steel</t>
  </si>
  <si>
    <t>http://www.bellrise.com.au/wp-content/uploads/2017/04/20161213_171846.jpg</t>
  </si>
  <si>
    <t>http://www.kinnaristeel.com/countries/luxembourg/pipe-fitting-olets-suppliers-in-luxembourg/</t>
  </si>
  <si>
    <t>Electricite Bauer</t>
  </si>
  <si>
    <t>http://www.electricitebauer.lu/Images/bauer_header_logo_400_130.png</t>
  </si>
  <si>
    <t>http://www.electricitebauer.lu</t>
  </si>
  <si>
    <t>Pc Express</t>
  </si>
  <si>
    <t>https://www.pcexpress.lu/wp-content/uploads/2016/06/PcExpress-LOGO.png</t>
  </si>
  <si>
    <t>https://www.pcexpress.lu</t>
  </si>
  <si>
    <t>Electro Ferreira</t>
  </si>
  <si>
    <t>http://www.electro-ferreira.lu/images/logo.png</t>
  </si>
  <si>
    <t>http://www.electro-ferreira.lu/service.html</t>
  </si>
  <si>
    <t>Orchidee</t>
  </si>
  <si>
    <t>http://orchid.lu/en/home</t>
  </si>
  <si>
    <t>Cyrano</t>
  </si>
  <si>
    <t>http://www.cyrano-musik.de/images/logo_675_300.jpg</t>
  </si>
  <si>
    <t>http://www.cyrano.lu</t>
  </si>
  <si>
    <t>Athena</t>
  </si>
  <si>
    <t>http://www.restaurant-athena.lu/wp-content/uploads/2016/07/AthenaLogo2.png</t>
  </si>
  <si>
    <t>http://www.restaurant-athena.lu/en/welcome/</t>
  </si>
  <si>
    <t>Yamayu Santatsu</t>
  </si>
  <si>
    <t>https://whyiamnotskinny.files.wordpress.com/2014/03/yamayu-santatsu.jpg?w=700</t>
  </si>
  <si>
    <t>http://www.resto.com/yamayusantatsu/</t>
  </si>
  <si>
    <t>Bella Napoli</t>
  </si>
  <si>
    <t>http://www.bellanapoli.lu/images/index_06.jpg</t>
  </si>
  <si>
    <t>http://www.bellanapoli.lu/index.html</t>
  </si>
  <si>
    <t>A La Soupe</t>
  </si>
  <si>
    <t>http://www.alasoupe.net/img/a-la-soupe-ete.jpg</t>
  </si>
  <si>
    <t>http://www.alasoupe.net</t>
  </si>
  <si>
    <t>Dancing Noddles</t>
  </si>
  <si>
    <t>https://media-cdn.tripadvisor.com/media/photo-s/08/a2/76/79/dancing-noodles.jpg</t>
  </si>
  <si>
    <t>https://m.facebook.com/pages/Dancing-Noodles/370331019833343</t>
  </si>
  <si>
    <t>Roma</t>
  </si>
  <si>
    <t>http://www.romaresortnavona.com/images/logo_top.png</t>
  </si>
  <si>
    <t>http://roma.lu/home.html</t>
  </si>
  <si>
    <t>http://pizzahut.lu</t>
  </si>
  <si>
    <t>http://www.mcdonalds.lu</t>
  </si>
  <si>
    <t>Pizza House</t>
  </si>
  <si>
    <t>http://images.naldzgraphics.net/2012/05/6-PizzaHouse.jpg</t>
  </si>
  <si>
    <t>http://www.pizzahouse.lu</t>
  </si>
  <si>
    <t>Basta Cosi</t>
  </si>
  <si>
    <t>https://pbs.twimg.com/profile_images/592955579208835072/N0BCIcMI.jpg</t>
  </si>
  <si>
    <t>http://www.bastacosi.lu</t>
  </si>
  <si>
    <t>http://www.guichet.public.lu/entreprises/en/fiscalite/impots-benefices/impots-divers/vehicules-automoteurs/index.html</t>
  </si>
  <si>
    <t>bcee</t>
  </si>
  <si>
    <t>https://www.wsbi-esbg.org/Member%20Logos/BCEE.jpg</t>
  </si>
  <si>
    <t>https://www.bcee.lu/en/luxfunds/S-Invest?gclid=CjwKCAjw07nJBRBGEiwAUXBPmf8y19dqfMFYrov6zRM0oYhldxhiST6ihVKlm8x5NcYNxdDUu9eDmBoCNTcQAvD_BwE</t>
  </si>
  <si>
    <t>Bil</t>
  </si>
  <si>
    <t>https://www.bil.com/PublishingImages/site-groupebil/groupebil-labanque-decouvrirlabil-001.jpg</t>
  </si>
  <si>
    <t>https://www.bil.com/en/individuals/products-and-services/save/Pages/savings-accounts.aspx</t>
  </si>
  <si>
    <t>International School Of Luxembourg</t>
  </si>
  <si>
    <t>http://www.islux.lu/uploaded/images/ISLCTS.png</t>
  </si>
  <si>
    <t>http://www.islux.lu</t>
  </si>
  <si>
    <t>DPD</t>
  </si>
  <si>
    <t>http://www.metapack.com/wp-content/uploads/2014/12/DPD-Logo.jpg</t>
  </si>
  <si>
    <t>https://www.dpd.com/lu</t>
  </si>
  <si>
    <t>Extra Bold</t>
  </si>
  <si>
    <t>http://extra-bold.be/wp-content/uploads/2017/03/Logo.Extra_.png</t>
  </si>
  <si>
    <t>http://www.extrabold.eu</t>
  </si>
  <si>
    <t>Baby Center</t>
  </si>
  <si>
    <t>http://www.safemotherhood.ucsf.edu/wp-content/uploads/2013/04/babycenter-app-logo.png</t>
  </si>
  <si>
    <t>https://www.babycenter.lu/?v=3a52f3c22ed6</t>
  </si>
  <si>
    <t>Ernster</t>
  </si>
  <si>
    <t>https://www.ernster.com/htdyn/33JCLHD2MQBL.png</t>
  </si>
  <si>
    <t>https://www.ernster.com/home?CSPCHD=000001000000115NE2z5rX0000FlsR4cnKsPoir3vFkWutHA--</t>
  </si>
  <si>
    <t>Chocolate House</t>
  </si>
  <si>
    <t>http://www.addedvalue.lu/sites/default/files/styles/fancybox_gross/public/logo_choco_h.jpg?itok=Uud-lM-Q</t>
  </si>
  <si>
    <t>http://chocolate-house-bonn.lu</t>
  </si>
  <si>
    <t>http://www.nextplc.co.uk/~/media/Images/N/Next-PLC-V2/content-images/image-gallery/logos/Next-Thin-Master-Logo-2014-Reversed.jpg</t>
  </si>
  <si>
    <t>http://www.next.lu/en</t>
  </si>
  <si>
    <t>Ulla Popken</t>
  </si>
  <si>
    <t>https://www.yellowmap.de/Presentation/UllaPopken/Content/img/filters/UllaPopken.svg</t>
  </si>
  <si>
    <t>https://www.ullapopken.eu</t>
  </si>
  <si>
    <t>Yileste</t>
  </si>
  <si>
    <t>https://pbs.twimg.com/profile_images/452568456152748033/xrt4S8vh.jpeg</t>
  </si>
  <si>
    <t>http://yileste.com</t>
  </si>
  <si>
    <t>http://shop.mango.com/LU</t>
  </si>
  <si>
    <t>https://www.zara.com/lu/</t>
  </si>
  <si>
    <t>Karen Millen</t>
  </si>
  <si>
    <t>https://vrdigitalprodcmsmedia.blob.core.windows.net/prod-bv/2306/karen_millen_logo-300-200.png?mode=max&amp;rnd=131221262930000000</t>
  </si>
  <si>
    <t>http://www.karenmillen.com</t>
  </si>
  <si>
    <t>https://vrdigitalprodcmsmedia.blob.core.windows.net/prod-lzv/2334/rituals-logo-fc.jpg?mode=max&amp;rnd=130850596440000000</t>
  </si>
  <si>
    <t>https://www.rituals.com/fr-lu/home</t>
  </si>
  <si>
    <t>Mcarthur Glen</t>
  </si>
  <si>
    <t>https://yt3.ggpht.com/-A86vMAZPPus/AAAAAAAAAAI/AAAAAAAAAAA/H1OM-Hmg5uk/s900-c-k-no-mo-rj-c0xffffff/photo.jpg</t>
  </si>
  <si>
    <t>http://www.mcarthurglen.com/be/mcarthurglen-luxembourg/fr/?utm_source=gmb&amp;utm_medium=organic&amp;utm_campaign=MAG19</t>
  </si>
  <si>
    <t>Topaze</t>
  </si>
  <si>
    <t>http://www.topaze.lu/custom/images/header_logo.png</t>
  </si>
  <si>
    <t>http://www.topaze.lu</t>
  </si>
  <si>
    <t>https://upload.wikimedia.org/wikipedia/commons/thumb/5/57/HEMA_Logo.svg/1200px-HEMA_Logo.svg.png</t>
  </si>
  <si>
    <t>Trafic</t>
  </si>
  <si>
    <t>http://www.trafic.com/favImage.png</t>
  </si>
  <si>
    <t>http://www.trafic.com</t>
  </si>
  <si>
    <t>http://www.marksandspencer.eu/on/demandware.store/Sites-EUSite-Site/fr_LU</t>
  </si>
  <si>
    <t>Conforama</t>
  </si>
  <si>
    <t>http://www.conforama.lu/wp/wp-content/themes/confo-2017-v1/library/img/logo-conforama-social.png</t>
  </si>
  <si>
    <t>http://www.conforama.lu</t>
  </si>
  <si>
    <t>Audiophile</t>
  </si>
  <si>
    <t>http://www.audiophile.lu/img/userfiles/538d800a0a6d5logo%20audio%202.jpg</t>
  </si>
  <si>
    <t>http://www.audiophile.lu/home/news.php</t>
  </si>
  <si>
    <t>Computer Universe</t>
  </si>
  <si>
    <t>https://www.couponchief.com/images/logos/31277_sq_1.jpg</t>
  </si>
  <si>
    <t>https://www.computeruniverse.net/en/</t>
  </si>
  <si>
    <t>Art Viva</t>
  </si>
  <si>
    <t>https://yellowprod-fcd.kxcdn.com/uploads/gallery_picture/picture/8494/montages--logo.jpg</t>
  </si>
  <si>
    <t>http://arteviva.lu</t>
  </si>
  <si>
    <t>Domino</t>
  </si>
  <si>
    <t>http://www.domino.lu/media/logo-domino-txt.png</t>
  </si>
  <si>
    <t>http://www.domino.lu/en/</t>
  </si>
  <si>
    <t>https://upload.wikimedia.org/wikipedia/de/4/4b/Bauhaus_%28Baumarkt%29_logo.svg</t>
  </si>
  <si>
    <t>https://www.bauhaus.lu</t>
  </si>
  <si>
    <t>Carrerouge</t>
  </si>
  <si>
    <t>http://www.rob.lu/images/carrerouge_logo_carre.png</t>
  </si>
  <si>
    <t>http://carrerouge.lu</t>
  </si>
  <si>
    <t>Bureau Moderne</t>
  </si>
  <si>
    <t>https://i.vimeocdn.com/video/458642547_780x439.jpg</t>
  </si>
  <si>
    <t>http://www.bureau-moderne.lu/fr/home</t>
  </si>
  <si>
    <t>Abitare Living</t>
  </si>
  <si>
    <t>http://www.abitare.lu/wp-content/uploads/2014/10/abitaredommeldange1.jpg</t>
  </si>
  <si>
    <t>http://abitare-living.lu/fr/</t>
  </si>
  <si>
    <t>http://ar.ikea.com</t>
  </si>
  <si>
    <t>Bijouterie Huberty</t>
  </si>
  <si>
    <t>https://webfiles4.luxweb.com/finfo/W5710000FIA.GIF</t>
  </si>
  <si>
    <t>http://www.bijouterie-huberty.com</t>
  </si>
  <si>
    <t>Maxi Toys</t>
  </si>
  <si>
    <t>http://www.cap-malo.com/sites/cap-malo.com/files/maxitoys.jpg</t>
  </si>
  <si>
    <t>https://www.maxitoys.lu</t>
  </si>
  <si>
    <t>Unicorner</t>
  </si>
  <si>
    <t>https://unicornerlu.files.wordpress.com/2017/02/unicorner-banner.png</t>
  </si>
  <si>
    <t>https://unicorner.lu</t>
  </si>
  <si>
    <t>Lights and more</t>
  </si>
  <si>
    <t>http://www.lights.lu/online/www/news/2287/galleryLeft/3552/1646/FRE/Bienvenue-chez-Lightsandmore.jpg</t>
  </si>
  <si>
    <t>http://www.lights.lu/online/www/content/FRE/index.html</t>
  </si>
  <si>
    <t>Luxembuger Wort</t>
  </si>
  <si>
    <t>https://upload.wikimedia.org/wikipedia/commons/thumb/0/07/Luxemburger_Wort_%28logo%29.svg/2000px-Luxemburger_Wort_%28logo%29.svg.png</t>
  </si>
  <si>
    <t>https://www.wort.lu/en/business/capellen-there-s-a-new-diy-store-in-luxembourg-585a423553590682caf16876</t>
  </si>
  <si>
    <t>Footlocker</t>
  </si>
  <si>
    <t>https://upload.wikimedia.org/wikipedia/en/thumb/9/94/Foot_Locker_logo.svg/1280px-Foot_Locker_logo.svg.png</t>
  </si>
  <si>
    <t>https://www.footlocker.lu/fr/page-d-accueil</t>
  </si>
  <si>
    <t>Sport House Keller</t>
  </si>
  <si>
    <t>https://webfiles1.luxweb.com/photos/W6221600PHA.JPG</t>
  </si>
  <si>
    <t>http://www.sports-house-keller.lu/en</t>
  </si>
  <si>
    <t>Inter sport</t>
  </si>
  <si>
    <t>https://drive.baloise.lu/blog/wp-content/uploads/2015/09/Capture.png</t>
  </si>
  <si>
    <t>http://myintersport.lu</t>
  </si>
  <si>
    <t>Sky Cards</t>
  </si>
  <si>
    <t>https://www.prlog.org/11959485-skycards-logo.jpg</t>
  </si>
  <si>
    <t>https://www.skycards.eu/watch-sky-tv-in-luxembourg/</t>
  </si>
  <si>
    <t>Yoake</t>
  </si>
  <si>
    <t>https://static.angloinfo.com/directory_listings/4635d121-60c9-4b4b-8219-6a9d96115cb4.jpg</t>
  </si>
  <si>
    <t>http://www.yoake.lu</t>
  </si>
  <si>
    <t>Eschbour</t>
  </si>
  <si>
    <t>http://eschbour.moonfruit.com/communities/0/004/012/330/590//images/4627847282.jpg</t>
  </si>
  <si>
    <t>http://www.eschbour.com</t>
  </si>
  <si>
    <t>Electronic Shop</t>
  </si>
  <si>
    <t>https://www.servocity.com/media/wysiwyg/distributor_logos/Electronic-Shop_logo.jpg</t>
  </si>
  <si>
    <t>https://www.electronic-shop.lu/DE/start</t>
  </si>
  <si>
    <t>Tango</t>
  </si>
  <si>
    <t>http://www.mobileeurope.co.uk/images/Companies/Tango_logo.jpg</t>
  </si>
  <si>
    <t>http://www.tango.lu/en</t>
  </si>
  <si>
    <t>Join</t>
  </si>
  <si>
    <t>https://pbs.twimg.com/profile_images/517581183295553538/slrLfzB7.jpeg</t>
  </si>
  <si>
    <t>https://joinexperience.com/en-Lu</t>
  </si>
  <si>
    <t>Luxembourg online</t>
  </si>
  <si>
    <t>http://teamletzebuerg.lu/wp-content/uploads/2014/08/LOGO_VECTORIZED_NEW-300x77.jpg</t>
  </si>
  <si>
    <t>http://www.internet.lu/promos/fibre.html?gclid=Cj0KEQjw9r7JBRCj37PlltTskaMBEiQAKTzTfDiKPELZiNprhse5sojv2wsKmr31wF-RT2dOc0w4aBkaAmqc8P8HAQ</t>
  </si>
  <si>
    <t>https://www.orange.lu/en</t>
  </si>
  <si>
    <t>Luxembourg ticket</t>
  </si>
  <si>
    <t>https://www.luxembourg-ticket.lu/en/1/home.html</t>
  </si>
  <si>
    <t>TD Direct Investing</t>
  </si>
  <si>
    <t>https://lh3.googleusercontent.com/8mKutcbNKYwb240_CGkAjc9DO1qqJvqSrJQFoG0joe7BF5BF4m55dy-EKi_WDfO0oTc=w300</t>
  </si>
  <si>
    <t>http://int.tddirectinvesting.com</t>
  </si>
  <si>
    <t>CFL</t>
  </si>
  <si>
    <t>http://www.cfl.lu/espaces/voyageurs/fr/PublishingImages/CFL-Evasion/Logos/cfl2%20log130quadri%20rgb.jpg</t>
  </si>
  <si>
    <t>http://www.cfl.lu/espaces/voyageurs/en/billets-et-abonnements/nos-canaux-de-vente/vente-en-gare</t>
  </si>
  <si>
    <t>Enovos</t>
  </si>
  <si>
    <t>http://www.enovos.lu/extension/iawebsite/design/enovos/images/logo.svg</t>
  </si>
  <si>
    <t>http://www.enovos.lu</t>
  </si>
  <si>
    <t>Creos</t>
  </si>
  <si>
    <t>http://www.creos.net/images/net/logo.png</t>
  </si>
  <si>
    <t>http://www.creos-net.lu/start.html</t>
  </si>
  <si>
    <t>http://www.leoenergy.lu/extension/iawebsite/design/leoenergy/images/leo_logo.png</t>
  </si>
  <si>
    <t>http://www.leoenergy.lu/particuliers/gaz-naturel</t>
  </si>
  <si>
    <t>Sebes</t>
  </si>
  <si>
    <t>https://webfiles1.luxweb.com/finfo/W5243200FIA.GIF</t>
  </si>
  <si>
    <t>http://www.sebes.lu</t>
  </si>
  <si>
    <t>Ville de Luxembourg</t>
  </si>
  <si>
    <t>http://www.vdl.lu/skin/vdl2010/img/logo.png</t>
  </si>
  <si>
    <t>http://www.vdl.lu/eau_qualité.html</t>
  </si>
  <si>
    <t>Lux Energie</t>
  </si>
  <si>
    <t>http://www.hrone.lu/sites/hrone/files/2016-09/lux-energiepng.png</t>
  </si>
  <si>
    <t>http://www.luxenergie.lu/fr</t>
  </si>
  <si>
    <t>Motor Yatch Club Luxembourg</t>
  </si>
  <si>
    <t>http://www.yachtclub.com/europe/luxem2.jpg</t>
  </si>
  <si>
    <t>http://www.mycl.lu</t>
  </si>
  <si>
    <t>Zakka</t>
  </si>
  <si>
    <t>http://www.zakka.lu/front/img/zakka_logo.png?1</t>
  </si>
  <si>
    <t>http://www.zakka.lu</t>
  </si>
  <si>
    <t>https://www.unicreditbank.lu/en.html</t>
  </si>
  <si>
    <t>https://www.directinvest.bgl.lu/Become-a-client?gclid=Cj0KEQjw9r7JBRCj37PlltTskaMBEiQAKTzTfFA-qnlLXRq0WdK52dSWqq4Q_dcBRunKNcEF821taREaAq_m8P8HAQ</t>
  </si>
  <si>
    <t xml:space="preserve">Donation Miss Kilburg </t>
  </si>
  <si>
    <t>Donation Mr and Mrs Schmit</t>
  </si>
  <si>
    <t>Donation Mr Becher</t>
  </si>
  <si>
    <t>Donation Hansen Family</t>
  </si>
  <si>
    <t>Smets</t>
  </si>
  <si>
    <t>http://www.concorde.lu/asset/42/240/240?q=90</t>
  </si>
  <si>
    <t>https://www.smets.lu</t>
  </si>
  <si>
    <t>Donation Persol</t>
  </si>
  <si>
    <t>https://upload.wikimedia.org/wikipedia/en/thumb/2/29/Persol_logo.svg/1280px-Persol_logo.svg.png</t>
  </si>
  <si>
    <t>http://www.persol.com/luxembourg</t>
  </si>
  <si>
    <t>Donation Melia</t>
  </si>
  <si>
    <t>https://static.tacdn.com/img2/branding/hotels/melia_384164.png</t>
  </si>
  <si>
    <t>https://www.melia.com/de/hotels/luxemburg/luxemburg/melia-luxembourg/index.html?mkwid=skVRV0Ef0_dc&amp;pcrid=186653221320&amp;pkw=+hotel%20+luxembourg&amp;pmt=b&amp;SI=&amp;gclid=Cj0KEQjw9r7JBRCj37PlltTskaMBEiQAKTzTfGq4AR6M5kT29pX_-tz2I58lLFlme8vyKSP1ix2oa_oaApO88P8HAQ&amp;cvosrc=ppc.google.%2bhotel%20%2bluxembourg&amp;matchtype=b&amp;cvo_crid=186653221320#ectrans=1</t>
  </si>
  <si>
    <t>Mr D Ries</t>
  </si>
  <si>
    <t>https://wvusstatic.com/header-footer/images/header/wv_logo.svg</t>
  </si>
  <si>
    <t>https://www.worldvision.org</t>
  </si>
  <si>
    <t>Clinical Pediatric Kannerklinik</t>
  </si>
  <si>
    <t>https://www.chl.lu/sites/chl/files/images/logos/Logo-KK-300.jpg</t>
  </si>
  <si>
    <t>https://kannerklinik.chl.lu</t>
  </si>
  <si>
    <t>Salary Mr R Braun</t>
  </si>
  <si>
    <t>Salary Mrs F Faber</t>
  </si>
  <si>
    <t>Paid Invoice Mr Reuter</t>
  </si>
  <si>
    <t>Paid Invoice Mr Meyer</t>
  </si>
  <si>
    <t>Paid Invoice Miss Simon</t>
  </si>
  <si>
    <t>Paid Invoice 76542 Mr Braun</t>
  </si>
  <si>
    <t>Paid Invoice  986 Mr Thill</t>
  </si>
  <si>
    <t>Paid Invoice 2297 Miss Wanger</t>
  </si>
  <si>
    <t>https://upload.wikimedia.org/wikipedia/commons/thumb/9/94/AXA_Logo.svg/2000px-AXA_Logo.svg.png</t>
  </si>
  <si>
    <t>https://www.axa.lu/en/insurance-car?gclid=Cj0KEQjw9r7JBRCj37PlltTskaMBEiQAKTzTfAYA9hbvz5zSpYq5pqgtt6IiAk7ZnhukPYbORevJYjMaAjpa8P8HAQ</t>
  </si>
  <si>
    <t>Melbourne Airport</t>
  </si>
  <si>
    <t>Melbourne Zoo</t>
  </si>
  <si>
    <t>Bar Americano</t>
  </si>
  <si>
    <t>Siglo Bar</t>
  </si>
  <si>
    <t>Market Lane</t>
  </si>
  <si>
    <t>Seven Seeds</t>
  </si>
  <si>
    <t>Dohertys Gym</t>
  </si>
  <si>
    <t>Real Commercial</t>
  </si>
  <si>
    <t>Albert Park Golf</t>
  </si>
  <si>
    <t>Mortgage Broker Melbourne</t>
  </si>
  <si>
    <t>My Office</t>
  </si>
  <si>
    <t>South Melbourne Optical</t>
  </si>
  <si>
    <t>Eyelife</t>
  </si>
  <si>
    <t>Melbourne Central Pharmacy</t>
  </si>
  <si>
    <t>We fix Applicance</t>
  </si>
  <si>
    <t>om laptop repair</t>
  </si>
  <si>
    <t>Melbourne Appliance Repair</t>
  </si>
  <si>
    <t>Longrain</t>
  </si>
  <si>
    <t>Chart House</t>
  </si>
  <si>
    <t>Pastuso</t>
  </si>
  <si>
    <t>Movida</t>
  </si>
  <si>
    <t>Tucks Shop</t>
  </si>
  <si>
    <t>Tipo00</t>
  </si>
  <si>
    <t xml:space="preserve"> +39 Pizzeria</t>
  </si>
  <si>
    <t>Maha</t>
  </si>
  <si>
    <t>Coda</t>
  </si>
  <si>
    <t>Melbourne Grammar School</t>
  </si>
  <si>
    <t>Baby Mode</t>
  </si>
  <si>
    <t>Dymocks</t>
  </si>
  <si>
    <t>Koko Black</t>
  </si>
  <si>
    <t>Universal Store</t>
  </si>
  <si>
    <t>Tiger Mist</t>
  </si>
  <si>
    <t>Xenia Boutique</t>
  </si>
  <si>
    <t>https://cdn.shopify.com/s/files/1/0576/4893/t/13/assets/logo.png?1645899127647729711</t>
  </si>
  <si>
    <t>https://www.xeniaboutique.com.au</t>
  </si>
  <si>
    <t>Harrolds</t>
  </si>
  <si>
    <t>David Jones</t>
  </si>
  <si>
    <t>Go Electrical</t>
  </si>
  <si>
    <t>Altronics</t>
  </si>
  <si>
    <t>Star Florist</t>
  </si>
  <si>
    <t>Home Timber and Hardware</t>
  </si>
  <si>
    <t>Early Settler</t>
  </si>
  <si>
    <t>https://www.earlysettler.com.au/skin/frontend/earlysettler/australia/images/logo.svg</t>
  </si>
  <si>
    <t>http://www.earlysettler.com.au</t>
  </si>
  <si>
    <t>Sofas Direct</t>
  </si>
  <si>
    <t>https://st.hzcdn.com/simgs/a963df8005cac65e_3-3156/sofasdirectmelbourne.jpg</t>
  </si>
  <si>
    <t>http://www.sofasdirect.com.au</t>
  </si>
  <si>
    <t>Larsen</t>
  </si>
  <si>
    <t>Hip Kids</t>
  </si>
  <si>
    <t>https://www.hipkids.com.au/assets/website_logo.png</t>
  </si>
  <si>
    <t>https://www.hipkids.com.au</t>
  </si>
  <si>
    <t>Lucretia Shop</t>
  </si>
  <si>
    <t>WHSmith</t>
  </si>
  <si>
    <t>Botanica Day Spa</t>
  </si>
  <si>
    <t>Port Melbourne Yatch Club</t>
  </si>
  <si>
    <t>Donation Foundation for Young Australians</t>
  </si>
  <si>
    <t>Donation Eye Research Australia</t>
  </si>
  <si>
    <t>Donation Youth Projects</t>
  </si>
  <si>
    <t>Donation Cabrini</t>
  </si>
  <si>
    <t>Marcy Health</t>
  </si>
  <si>
    <t>Royal Melbourne Hospital</t>
  </si>
  <si>
    <t>AAMI</t>
  </si>
  <si>
    <t>Portugal</t>
  </si>
  <si>
    <t>TAP Portugal</t>
  </si>
  <si>
    <t>Aeroporto Lisboa</t>
  </si>
  <si>
    <t>Belém Tower</t>
  </si>
  <si>
    <t>Fundacao Da Juventude</t>
  </si>
  <si>
    <t>NOS</t>
  </si>
  <si>
    <t>Pois Cafe</t>
  </si>
  <si>
    <t>Fabrica Coffee Roasters</t>
  </si>
  <si>
    <t>Vicaim</t>
  </si>
  <si>
    <t>Portaldas Financas</t>
  </si>
  <si>
    <t>Malo Clinics</t>
  </si>
  <si>
    <t>Engel Voelkers</t>
  </si>
  <si>
    <t>https://www.engelvoelkers.com/wp-content/uploads/2017/04/Logo_EV_CMYK_©-Engel-Völkers.jpg</t>
  </si>
  <si>
    <t>BP Filling Station</t>
  </si>
  <si>
    <t>Galp Filling Station</t>
  </si>
  <si>
    <t>Tiba Group</t>
  </si>
  <si>
    <t>Groceries/Supermaket_1</t>
  </si>
  <si>
    <t>Apoloniaa</t>
  </si>
  <si>
    <t>Groceries/Supermaket_3</t>
  </si>
  <si>
    <t>Vale Do Lobo</t>
  </si>
  <si>
    <t>Continente</t>
  </si>
  <si>
    <t>Pingo Doce</t>
  </si>
  <si>
    <t>Jumbo</t>
  </si>
  <si>
    <t>Virgin Active</t>
  </si>
  <si>
    <t>Navatta Group</t>
  </si>
  <si>
    <t>CMS Machine</t>
  </si>
  <si>
    <t>GPA Global</t>
  </si>
  <si>
    <t>Gbis</t>
  </si>
  <si>
    <t>San Lorenzo Golf Club</t>
  </si>
  <si>
    <t>Opticalia</t>
  </si>
  <si>
    <t>Vision Lab</t>
  </si>
  <si>
    <t>Parkopedia</t>
  </si>
  <si>
    <t>Famacia Algarve</t>
  </si>
  <si>
    <t>Steel Tubes India</t>
  </si>
  <si>
    <t>Indesit</t>
  </si>
  <si>
    <t>Mr right</t>
  </si>
  <si>
    <t>Fagor Industrial</t>
  </si>
  <si>
    <t>Enoteca De Belém</t>
  </si>
  <si>
    <t>Casada Comida</t>
  </si>
  <si>
    <t>Belcanto</t>
  </si>
  <si>
    <t>Tasca da esquina</t>
  </si>
  <si>
    <t>ADLIB</t>
  </si>
  <si>
    <t>Saramento</t>
  </si>
  <si>
    <t>Forno d'oro</t>
  </si>
  <si>
    <t>Pizzaria Lisboa</t>
  </si>
  <si>
    <t>Mad Pizza</t>
  </si>
  <si>
    <t>Finantia</t>
  </si>
  <si>
    <t>BPI</t>
  </si>
  <si>
    <t>St Julians school</t>
  </si>
  <si>
    <t>Toysrus</t>
  </si>
  <si>
    <t>Euro Span Book Store</t>
  </si>
  <si>
    <t>Denegro</t>
  </si>
  <si>
    <t>OLX</t>
  </si>
  <si>
    <t>El corte Ingles</t>
  </si>
  <si>
    <t>https://upload.wikimedia.org/wikipedia/en/thumb/d/d4/El_Corte_Inglés_logo.svg/800px-El_Corte_Inglés_logo.svg.png</t>
  </si>
  <si>
    <t>Spacio Shopping</t>
  </si>
  <si>
    <t>Casa Frazao</t>
  </si>
  <si>
    <t>Flying Tiger</t>
  </si>
  <si>
    <t>Mauser</t>
  </si>
  <si>
    <t>http://www.energiasrenováveis.com/wp-content/uploads/mauser-pt.png</t>
  </si>
  <si>
    <t>Worten</t>
  </si>
  <si>
    <t>Bairro Arte</t>
  </si>
  <si>
    <t>Viuva</t>
  </si>
  <si>
    <t>Mobler</t>
  </si>
  <si>
    <t>Atelier Autentico</t>
  </si>
  <si>
    <t>Ale-hop</t>
  </si>
  <si>
    <t>Torres</t>
  </si>
  <si>
    <t>Kid to Kid</t>
  </si>
  <si>
    <t>Gillamp</t>
  </si>
  <si>
    <t>Bertrand</t>
  </si>
  <si>
    <t>camper</t>
  </si>
  <si>
    <t>Nike</t>
  </si>
  <si>
    <t>Float in</t>
  </si>
  <si>
    <t>Centauero</t>
  </si>
  <si>
    <t>MEO</t>
  </si>
  <si>
    <t>Lycamobile</t>
  </si>
  <si>
    <t>Metropolitano de lisboa</t>
  </si>
  <si>
    <t>edp</t>
  </si>
  <si>
    <t>Endesa</t>
  </si>
  <si>
    <t>Galpon</t>
  </si>
  <si>
    <t>EPAL</t>
  </si>
  <si>
    <t>ADP</t>
  </si>
  <si>
    <t>Iberdrola</t>
  </si>
  <si>
    <t>Clube Naval de Cascais</t>
  </si>
  <si>
    <t>Finantia ATM</t>
  </si>
  <si>
    <t>Bnp Paribas ATM</t>
  </si>
  <si>
    <t>Donation Miss Silva</t>
  </si>
  <si>
    <t>Donation Mr and Mrs Cruz</t>
  </si>
  <si>
    <t>Donation Mr and Mrs Lima</t>
  </si>
  <si>
    <t>Donation Mr Vaz</t>
  </si>
  <si>
    <t>Donation Castro Family</t>
  </si>
  <si>
    <t>Donation Spar</t>
  </si>
  <si>
    <t>Donation Giving Sight</t>
  </si>
  <si>
    <t>Donation Jardim de Luz</t>
  </si>
  <si>
    <t>Donation intercultura</t>
  </si>
  <si>
    <t>Mr D Luis</t>
  </si>
  <si>
    <t>Etapas Felizes</t>
  </si>
  <si>
    <t>Hospital De Santa Maria</t>
  </si>
  <si>
    <t>Salary Mr R Freitas</t>
  </si>
  <si>
    <t>Salary Mr R Barros</t>
  </si>
  <si>
    <t>Paid Invoice Mr Gaspar</t>
  </si>
  <si>
    <t>Paid Invoice Miss Rosa</t>
  </si>
  <si>
    <t>Paid Invoice Mr Dias</t>
  </si>
  <si>
    <t>Paid Invoice 76542 Mr Martins</t>
  </si>
  <si>
    <t>Paid Invoice 986 Mr Pinto</t>
  </si>
  <si>
    <t>Paid Invoice 2297 Miss Pereira</t>
  </si>
  <si>
    <t>Trainline</t>
  </si>
  <si>
    <t>South Africa</t>
  </si>
  <si>
    <t>South African Airways</t>
  </si>
  <si>
    <t>https://vignette.wikia.nocookie.net/logopedia/images/e/ea/South_African_Airways.png/revision/latest?cb=20100515061805</t>
  </si>
  <si>
    <t>https://www.sa-airlines.co.za/South-African-Airways.html</t>
  </si>
  <si>
    <t>Kulula</t>
  </si>
  <si>
    <t>http://www.kulula.com</t>
  </si>
  <si>
    <t>O. R. Tambo International Airport</t>
  </si>
  <si>
    <t>http://www.airports.co.za/airports/or-tambo-international</t>
  </si>
  <si>
    <t>Lion &amp; Safari Park</t>
  </si>
  <si>
    <t>http://www.lionandsafaripark.com</t>
  </si>
  <si>
    <t>The Orbit</t>
  </si>
  <si>
    <t>http://www.theorbit.co.za</t>
  </si>
  <si>
    <t>Jolly Cool</t>
  </si>
  <si>
    <t>http://www.jollycool.com</t>
  </si>
  <si>
    <t>Travel Start</t>
  </si>
  <si>
    <t>https://i1.wp.com/livestock-live.net/wp-content/uploads/2017/02/travelstart-logo.jpg?ssl=1</t>
  </si>
  <si>
    <t>https://www.travelstart.com</t>
  </si>
  <si>
    <t>RDM Auto Services</t>
  </si>
  <si>
    <t>http://www.rdmauto.co.za/?gclid=CjwKCAjww6XXBRByEiwAM-ZUIJcHLqS69Oyw6uYN4hD8nlNHf0hCuf1fc6vujJ3zJpxVhEY9jlbA6RoCDJAQAvD_BwE</t>
  </si>
  <si>
    <t>Ahe in Action</t>
  </si>
  <si>
    <t>https://www.age-in-action.co.za</t>
  </si>
  <si>
    <t>Nazareth House</t>
  </si>
  <si>
    <t>http://www.nazhouse.org.za</t>
  </si>
  <si>
    <t>The Bioscope</t>
  </si>
  <si>
    <t>http://www.thebioscope.co.za</t>
  </si>
  <si>
    <t>Father Coffee</t>
  </si>
  <si>
    <t>http://www.fathercoffee.co.za</t>
  </si>
  <si>
    <t>http://www.starbucks.co.za</t>
  </si>
  <si>
    <t>Maxidor</t>
  </si>
  <si>
    <t>https://maxidor.co.za/amp/templates/Roller-Shutters-Doors.html?gclid=CjwKCAjww6XXBRByEiwAM-ZUIHWh1PAkBl6AlUh5nywAQl09wt7R_VNsVFfOsMQrndxTTN4BfOvTVxoCQ3gQAvD_BwE</t>
  </si>
  <si>
    <t>Sars</t>
  </si>
  <si>
    <t>http://www.sars.gov.za/Pages/default.aspx</t>
  </si>
  <si>
    <t>Centre for implantology &amp; Oral Medicine</t>
  </si>
  <si>
    <t>http://www.implantology.co.za</t>
  </si>
  <si>
    <t>http://www.savills.com/around-the-world/south-africa.aspx</t>
  </si>
  <si>
    <t>http://www.chevronwithtechron.com/findastation.aspx</t>
  </si>
  <si>
    <t>https://www.shell.com</t>
  </si>
  <si>
    <t>Travel Flight</t>
  </si>
  <si>
    <t>http://travelflight.co.za</t>
  </si>
  <si>
    <t>https://www.skyscanner.net/za/en-gb/zar/flights-from/za/cheap-flights-from-south-africa.html?_mp=1619f1480ad49d-03bd3158684c8d8-1c411b27-13c680-1619f1480ae390_1525254861242&amp;_ga=2.250932544.7723970.1525203048-794456862.1518792376</t>
  </si>
  <si>
    <t>Mega Freight</t>
  </si>
  <si>
    <t>https://megafreight.co.za</t>
  </si>
  <si>
    <t>https://i.pinimg.com/originals/e1/5f/db/e15fdb6587be579dcd0e5910b3b9b464.png</t>
  </si>
  <si>
    <t>https://www.spar.co.za/Home</t>
  </si>
  <si>
    <t>pick N Pay</t>
  </si>
  <si>
    <t>http://www.chrisvonulmenstein.com/blog/wp-content/uploads/2013/08/Pick_n_Pay-logo-19A17F34E4-seeklogo.com_.gif</t>
  </si>
  <si>
    <t>https://www.pnp.co.za/welcome</t>
  </si>
  <si>
    <t>Cambridge Food</t>
  </si>
  <si>
    <t>https://www.cambridgefood.co.za</t>
  </si>
  <si>
    <t>Boxer</t>
  </si>
  <si>
    <t>http://www.boxer.co.za</t>
  </si>
  <si>
    <t>Kosher World</t>
  </si>
  <si>
    <t>http://www.kosherworld.co.za</t>
  </si>
  <si>
    <t>Choppies</t>
  </si>
  <si>
    <t>http://koolbreezesol.com/wp-content/uploads/2018/04/Choppies-Logo.png</t>
  </si>
  <si>
    <t>https://choppies.co.za</t>
  </si>
  <si>
    <t>Gym Company</t>
  </si>
  <si>
    <t>http://www.gymcompany.co.za</t>
  </si>
  <si>
    <t>Eptech</t>
  </si>
  <si>
    <t>http://www.eptech.co.za</t>
  </si>
  <si>
    <t>Glass Specifics</t>
  </si>
  <si>
    <t>https://www.glass-specifics.co.za</t>
  </si>
  <si>
    <t>Dial direct</t>
  </si>
  <si>
    <t>https://www.dialdirect.co.za/contact-me/?vdn=39313&amp;gclid=CjwKCAjww6XXBRByEiwAM-ZUIFgANpXYrF-HRZSmkAlnQx78z1xJBvyc_tENzBHoDydwRophu5UO1hoCa1IQAvD_BwE</t>
  </si>
  <si>
    <t>It Trust</t>
  </si>
  <si>
    <t>http://leads.ittrust.co.za/?gclid=CjwKCAjww6XXBRByEiwAM-ZUIMMC88r13mEMky6uZVnNvw7369MkYyg8974qAmrB9DLJS2ZjpgxdLxoCNyEQAvD_BwE</t>
  </si>
  <si>
    <t>Knight Frank</t>
  </si>
  <si>
    <t>https://www.kfsa.co.za/blog/wp-content/uploads/2014/06/Galetti-Knight-Frank-Logo.png</t>
  </si>
  <si>
    <t>https://www.kfsa.co.za</t>
  </si>
  <si>
    <t>Vodacom</t>
  </si>
  <si>
    <t>http://www.apo-mail.org/vodacom.jpg</t>
  </si>
  <si>
    <t>https://www.vodacom.co.za/vodacom/home</t>
  </si>
  <si>
    <t>https://upload.wikimedia.org/wikipedia/commons/8/8c/Virgin_Mobile.svg</t>
  </si>
  <si>
    <t>http://www.virginmobile.co.za</t>
  </si>
  <si>
    <t>Royal Johannesburg &amp; Kensington Gplf Club</t>
  </si>
  <si>
    <t>https://www.royaljk.za.com</t>
  </si>
  <si>
    <t>Standard Bank</t>
  </si>
  <si>
    <t>http://www.auctionfinance.co.za/wp-content/uploads/2016/02/Standard-Bank-logo-wordmark-1.png</t>
  </si>
  <si>
    <t>https://www.standardbank.co.za/southafrica/personal/products-and-services/borrow-for-your-needs/home-loans/buying-a-home?gclid=CjwKCAjww6XXBRByEiwAM-ZUII-7Bc663PkybH3zWimutr1KGJnmI01voJsJ5cbIJSchHY9g1y0jShoCq1UQAvD_BwE&amp;WPS_9C8A8&amp;ef_id=Wt8pqQAABcicYvOm:20180502111356:s</t>
  </si>
  <si>
    <t>Viking Dstadex Stationeryirect</t>
  </si>
  <si>
    <t>http://www.stadex.co.za/OA/FrontEnd.asp?gclid=CjwKCAjww6XXBRByEiwAM-ZUIH4vgwy6dnbmxg4whH0XvMVn6eV2SvtccsBPD_gv93B4yBdlCRPlExoCQ9wQAvD_BwE</t>
  </si>
  <si>
    <t>Blubird Optical</t>
  </si>
  <si>
    <t>http://www.blubirdoptical.co.za</t>
  </si>
  <si>
    <t>Torga Optical</t>
  </si>
  <si>
    <t>https://www.torgaoptical.co.za</t>
  </si>
  <si>
    <t>https://www.parkopedia.co.za/parking/johannesburg/?arriving=201805021400&amp;leaving=201805021600</t>
  </si>
  <si>
    <t>Link Pharmacy</t>
  </si>
  <si>
    <t>https://www.linkpharmacy.co.za</t>
  </si>
  <si>
    <t>Robor</t>
  </si>
  <si>
    <t>http://www.robor.co.za</t>
  </si>
  <si>
    <t>A 247 electrical &amp; Plumbing</t>
  </si>
  <si>
    <t>http://www.a247.co.za/?gclid=CjwKCAjww6XXBRByEiwAM-ZUIAOVsZv_VwyVQht9RO--GPh4pcNiyvGSNldMAiJE5ZoxfuWl7zK7AxoCkNwQAvD_BwE</t>
  </si>
  <si>
    <t>Fix IT</t>
  </si>
  <si>
    <t>http://www.fixitpcrepair.co.za/pc-repair-services/?gclid=CjwKCAjww6XXBRByEiwAM-ZUINi39_bNZ1nbl8-2tymuhzF9KnwuIS_z1hcmuo1d_N2teL7i0dv3NBoCVuIQAvD_BwE</t>
  </si>
  <si>
    <t>Appliance Repairs Johannesburg</t>
  </si>
  <si>
    <t>http://appliancerepairsjohannesburg.co.za/appliance-repairs/?gclid=CjwKCAjww6XXBRByEiwAM-ZUIJ34xOn3neisGqf_6k81j1XagRysr2XFxpH9V9QK1bZJbBTvgcu6xxoCFYwQAvD_BwE</t>
  </si>
  <si>
    <t>https://www.nandos.co.za</t>
  </si>
  <si>
    <t>Marbel</t>
  </si>
  <si>
    <t>http://marble.restaurant</t>
  </si>
  <si>
    <t>Dosa Hut</t>
  </si>
  <si>
    <t>http://www.dosahut.co.za</t>
  </si>
  <si>
    <t>Lucky Bean Restaurant</t>
  </si>
  <si>
    <t>http://www.luckybeanrestaurant.co.za</t>
  </si>
  <si>
    <t>Perron</t>
  </si>
  <si>
    <t>https://joburgvegan.files.wordpress.com/2014/06/009eb-perron_illovo-tiff.jpg</t>
  </si>
  <si>
    <t>http://perron.co.za</t>
  </si>
  <si>
    <t>Spiceburg</t>
  </si>
  <si>
    <t>http://www.spiceburg.com</t>
  </si>
  <si>
    <t>The Fishmonger</t>
  </si>
  <si>
    <t>https://fishmongerillovo.co.za</t>
  </si>
  <si>
    <t>Bistro Vine</t>
  </si>
  <si>
    <t>http://www.bistrovine.co.za</t>
  </si>
  <si>
    <t>https://www.pizzahut.co.za</t>
  </si>
  <si>
    <t>https://www.mcdonalds.co.za</t>
  </si>
  <si>
    <t>Dolci Café</t>
  </si>
  <si>
    <t>http://dolci.co.za</t>
  </si>
  <si>
    <t>View</t>
  </si>
  <si>
    <t>https://www.viewrestaurant.co.za</t>
  </si>
  <si>
    <t>Licence Renewal</t>
  </si>
  <si>
    <t>http://licenserenewal.co.za</t>
  </si>
  <si>
    <t>https://www.standardbank.co.za/southafrica/personal/products-and-services/grow-your-money/savings-and-investment/our-accounts?gclid=CjwKCAjww6XXBRByEiwAM-ZUIA2XMC10HguOPSfbn5oxv_tno0RrbdVHtBOu_eFV12Srqk1vqyfpKhoCH8YQAvD_BwE&amp;WPS_Uxxya&amp;ef_id=Wt8pqQAABcicYvOm:20180502123532:s</t>
  </si>
  <si>
    <t>FNB</t>
  </si>
  <si>
    <t>https://savetaxfree.co.za/wp-content/uploads/2015/04/FNB-Logo.jpg</t>
  </si>
  <si>
    <t>https://www.fnb.co.za</t>
  </si>
  <si>
    <t>St Mary's School</t>
  </si>
  <si>
    <t>https://upload.wikimedia.org/wikipedia/en/9/92/StMarysPerth.svg</t>
  </si>
  <si>
    <t>http://www.stmarysschool.co.za</t>
  </si>
  <si>
    <t>http://www.accessorize.co.za</t>
  </si>
  <si>
    <t>Toys r us</t>
  </si>
  <si>
    <t>https://vignette.wikia.nocookie.net/logopedia/images/a/a8/Toys-R-Us-Logo.png/revision/latest?cb=20121001112534</t>
  </si>
  <si>
    <t>https://www.toysrus.co.za/brands/disney.html</t>
  </si>
  <si>
    <t>Kids Emporium</t>
  </si>
  <si>
    <t>https://www.kidsemporium.co.za</t>
  </si>
  <si>
    <t>The BooBrodge Booksk People</t>
  </si>
  <si>
    <t>https://bridgebooks.co.za</t>
  </si>
  <si>
    <t>Lindt</t>
  </si>
  <si>
    <t>http://www.lindt.co.za</t>
  </si>
  <si>
    <r>
      <rPr>
        <sz val="11"/>
        <color rgb="FF006621"/>
        <rFont val="Arial"/>
        <charset val="134"/>
      </rPr>
      <t>wwwhttp://www.topshop.com/?geoip=home.</t>
    </r>
    <r>
      <rPr>
        <b/>
        <sz val="11"/>
        <color rgb="FF006621"/>
        <rFont val="Arial"/>
        <charset val="134"/>
      </rPr>
      <t>topshop</t>
    </r>
    <r>
      <rPr>
        <sz val="11"/>
        <color rgb="FF006621"/>
        <rFont val="Arial"/>
        <charset val="134"/>
      </rPr>
      <t>.com</t>
    </r>
  </si>
  <si>
    <t>http://www.hm.com/za</t>
  </si>
  <si>
    <t>Zando</t>
  </si>
  <si>
    <t>https://www.zando.co.za/?r=0</t>
  </si>
  <si>
    <t>Exact!</t>
  </si>
  <si>
    <t>https://www.exact.co.za/home;jsessionid=Y-hX3YDT5c5CliCizl0n9UlYmcoh3g13l7mNPvsS.com02?utm_source=google&amp;utm_medium=google_my_business&amp;utm_campaign=GMB</t>
  </si>
  <si>
    <t>https://www.thebodyshop.co.za</t>
  </si>
  <si>
    <t>https://www.maccosmetics.co.za</t>
  </si>
  <si>
    <t xml:space="preserve">RAF </t>
  </si>
  <si>
    <t>http://rafhairandcosmetics.co.za/cms/contact</t>
  </si>
  <si>
    <t>Bid or buy</t>
  </si>
  <si>
    <t>http://logosrated.net/wp-content/uploads/2016/08/bidorbuy.co.za-Logo-1.png</t>
  </si>
  <si>
    <t>https://www.bidorbuy.co.za/article/25/bidorbuy_is_South_Africas_eBay</t>
  </si>
  <si>
    <t>http://www.amazon.com</t>
  </si>
  <si>
    <t>http://www.nextdirect.com/za/en</t>
  </si>
  <si>
    <t>Stuttafords</t>
  </si>
  <si>
    <t>https://stuttafords.co.za</t>
  </si>
  <si>
    <t>http://www.woolworths.co.za/?utm_source=google&amp;utm_medium=organic&amp;utm_content=kerk-street&amp;utm_campaign=places</t>
  </si>
  <si>
    <t>House and Home</t>
  </si>
  <si>
    <t>http://www.houseandhome.co.za</t>
  </si>
  <si>
    <t>Direct Deals</t>
  </si>
  <si>
    <t>https://directdeals.co.za</t>
  </si>
  <si>
    <t>Capi</t>
  </si>
  <si>
    <t>http://www.capi.com/shops/johannesburg.htm</t>
  </si>
  <si>
    <t>https://www.interflora.co.za</t>
  </si>
  <si>
    <t>Cardies</t>
  </si>
  <si>
    <t>http://www.cardies.co.za</t>
  </si>
  <si>
    <t>Diy Depot</t>
  </si>
  <si>
    <t>http://www.diydepot.co.za</t>
  </si>
  <si>
    <t>Coricraft</t>
  </si>
  <si>
    <t>https://www.coricraft.co.za</t>
  </si>
  <si>
    <t>https://www.home.co.za/home</t>
  </si>
  <si>
    <t>The Sofa Company</t>
  </si>
  <si>
    <t>https://www.thesofacompany.co.za</t>
  </si>
  <si>
    <t>Take A lot</t>
  </si>
  <si>
    <t>https://www.takealot.com/dollar-store-decor/PLID35710121</t>
  </si>
  <si>
    <t>http://www.sterns.co.za</t>
  </si>
  <si>
    <t>http://www.primatoys.co.za/disney</t>
  </si>
  <si>
    <t>http://www.glolighting.co.za</t>
  </si>
  <si>
    <t>News Paper Direct</t>
  </si>
  <si>
    <t>https://www.newspaperdirect.co.za/services.html</t>
  </si>
  <si>
    <t>http://www.clarkssa.co.za</t>
  </si>
  <si>
    <t>http://officelondon.co.za</t>
  </si>
  <si>
    <t>Sportsmans Wharehouse</t>
  </si>
  <si>
    <t>https://www.sportsmanswarehouse.co.za/store/park-meadows-shopping-centre-jhb</t>
  </si>
  <si>
    <t>Total Sports</t>
  </si>
  <si>
    <t>https://www.totalsports.co.za/home;jsessionid=NQA-KyjKYDJa0MxLFTx9UgYz-vjE2NRLA94aUyka.com02?utm_source=google&amp;utm_medium=store&amp;utm_campaign=johannesburg</t>
  </si>
  <si>
    <t>Aerial and Satellite</t>
  </si>
  <si>
    <t>http://aerialandsatellite.co.za</t>
  </si>
  <si>
    <t>https://www.fourseasons.com/johannesburg/spa/</t>
  </si>
  <si>
    <t>http://www.airco.co.za</t>
  </si>
  <si>
    <t>http://export.farnell.com/za?CMP=os-flag-google&amp;_ga=2.15537598.925917355.1525618545-1550687538.1519297637</t>
  </si>
  <si>
    <t>http://dominospizza.co.za</t>
  </si>
  <si>
    <t>Wiru</t>
  </si>
  <si>
    <t>https://www.wiru.co.za</t>
  </si>
  <si>
    <t>Mobiles 4 U</t>
  </si>
  <si>
    <t>http://www.mobile4u.co.za</t>
  </si>
  <si>
    <t>https://i1.wp.com/flash.co.za/wp-content/uploads/2017/06/Vodacom-Logo.png</t>
  </si>
  <si>
    <t>http://www.vodacom.co.za/vodacom/services/internet/internet</t>
  </si>
  <si>
    <t>https://upload.wikimedia.org/wikipedia/fr/5/5b/Virgin_group_logo.svg</t>
  </si>
  <si>
    <t>Web Tickets</t>
  </si>
  <si>
    <t>https://www.webtickets.co.za</t>
  </si>
  <si>
    <t>GauTRAIN</t>
  </si>
  <si>
    <t>https://www.gautrain.co.za</t>
  </si>
  <si>
    <t>Power X</t>
  </si>
  <si>
    <t>http://www.powerx.energy</t>
  </si>
  <si>
    <t>Eskom</t>
  </si>
  <si>
    <t>http://logok.org/wp-content/uploads/2015/01/Eskom-logo-logotype.png</t>
  </si>
  <si>
    <t>http://www.eskom.co.za/CustomerCare/CustomerServiceInformation/Pages/Who_Supplies_My_Electricity.aspx</t>
  </si>
  <si>
    <t>Got Gas</t>
  </si>
  <si>
    <t>https://www.gotgas.co.za/?gclid=cj0kcqjwz7rxbrd9arisabfbl82ct2-uppkc4tsqxdu0_gor1agjotmidfe6ga4mxnxg6ujvxjal6hoaaqhyealw_wcb</t>
  </si>
  <si>
    <t>Water and Sanitation Department</t>
  </si>
  <si>
    <t>http://www.dwa.gov.za/default.aspx</t>
  </si>
  <si>
    <t>WSSA</t>
  </si>
  <si>
    <t>https://www.wssa.co.za</t>
  </si>
  <si>
    <t>Ideal Prepaid</t>
  </si>
  <si>
    <t>http://www.idealprepaid.co.za/?gclid=Cj0KCQjwz7rXBRD9ARIsABfBl81GlQ2lKCcmeq-7Du7mD_ZP50NgwtnHnHTAtO6zMuWtWdXoTWlPMZYaApdHEALw_wcB</t>
  </si>
  <si>
    <t>Emmarentia Sailing Club</t>
  </si>
  <si>
    <t>http://www.emmarentiasailingclub.co.za</t>
  </si>
  <si>
    <t>HSBC ATM</t>
  </si>
  <si>
    <t>http://www.hsbc.co.za</t>
  </si>
  <si>
    <t>Standardbank ATM</t>
  </si>
  <si>
    <t>https://www.standardbank.co.za</t>
  </si>
  <si>
    <t>Donation World Vision</t>
  </si>
  <si>
    <t>https://www.tdsd.com/wp-content/uploads/2013/12/WorldVision-Logo.jpg</t>
  </si>
  <si>
    <t>Donation Frida Hartley</t>
  </si>
  <si>
    <t>https://www.fridahartley.org</t>
  </si>
  <si>
    <t>Donation Orbis</t>
  </si>
  <si>
    <t>https://orbisafrica.co.za</t>
  </si>
  <si>
    <t>Donation MES</t>
  </si>
  <si>
    <t>http://www.mes.org.za</t>
  </si>
  <si>
    <t>Donation Usindiso Ministries</t>
  </si>
  <si>
    <t>http://www.usindisoministries.co.za</t>
  </si>
  <si>
    <t>Hospice Wits</t>
  </si>
  <si>
    <t>http://hospicewits.co.za</t>
  </si>
  <si>
    <t>Nelson Mandela Childrens Hospital</t>
  </si>
  <si>
    <t>http://www.nelsonmandelachildrenshospital.org</t>
  </si>
  <si>
    <t>Africa Sun Travel</t>
  </si>
  <si>
    <t>http://www.southafricanrailways.co.za</t>
  </si>
  <si>
    <t>https://www.budgetinsurance.co.za/business-call-back/?vdn=39147&amp;gclid=Cj0KCQjwz7rXBRD9ARIsABfBl80uWDFNzYqxH4-H5HlTC8E0cZtvkvq0FBWzDxkHTTIq8SkCGatSS-QaAuoWEALw_wcB</t>
  </si>
  <si>
    <t>https://www.visa.co.za</t>
  </si>
  <si>
    <t>https://www.mastercard.co.za/en-za.html</t>
  </si>
  <si>
    <t>label</t>
  </si>
  <si>
    <t>originaldescription</t>
  </si>
  <si>
    <t>company</t>
  </si>
  <si>
    <t>comment</t>
  </si>
  <si>
    <t>__label__expenses:food.groceries</t>
  </si>
  <si>
    <t>Agrimarkt Goes GOES,PAS865</t>
  </si>
  <si>
    <t>Agrimarkt</t>
  </si>
  <si>
    <t>ALBERT HEIJN LEIDEN,PAS584</t>
  </si>
  <si>
    <t>Aldi Woerden WOERDEN,PAS562</t>
  </si>
  <si>
    <t>Attent Hilvarenbeek Goud,PAS414</t>
  </si>
  <si>
    <t>Attent</t>
  </si>
  <si>
    <t>Bas Van Der Heijden</t>
  </si>
  <si>
    <t>Boni Nunspeet NUNSPEET,PAS132</t>
  </si>
  <si>
    <t>Boni</t>
  </si>
  <si>
    <t>Coop Zeewolde ZEEWOLDE,PAS015</t>
  </si>
  <si>
    <t>DEEN A</t>
  </si>
  <si>
    <t>Deen</t>
  </si>
  <si>
    <t>CCV*DEKAMARKT DOESBURG,PAS526</t>
  </si>
  <si>
    <t>DekaMarkt</t>
  </si>
  <si>
    <t>EMTE Dongen DONGEN,PAS501</t>
  </si>
  <si>
    <t>EMTE</t>
  </si>
  <si>
    <t>HOOGVLIET B.V.</t>
  </si>
  <si>
    <t>Hoogvliet</t>
  </si>
  <si>
    <t>Jan Linders Deurne DEURN,PAS685</t>
  </si>
  <si>
    <t>Jan Linders</t>
  </si>
  <si>
    <t>Jumbo Papendrecht,PAS172</t>
  </si>
  <si>
    <t>Makro Best BEST,PAS044</t>
  </si>
  <si>
    <t>Nettorama Eindhoven EIND,PAS007</t>
  </si>
  <si>
    <t>Nettorama</t>
  </si>
  <si>
    <t>Plus Barneveld B.V. BARN,PAS368</t>
  </si>
  <si>
    <t>POIESZ BURGUM BURGUM,PAS442</t>
  </si>
  <si>
    <t>Poiesz</t>
  </si>
  <si>
    <t>Sligro Deventer DEVENTER,PAS286</t>
  </si>
  <si>
    <t>Sligro</t>
  </si>
  <si>
    <t>SPAR SCIENCE PARK AMSTERDAM NLD</t>
  </si>
  <si>
    <t>Vomar Noordwijk NOORDWIJ,PAS310</t>
  </si>
  <si>
    <t>Vomar</t>
  </si>
  <si>
    <t>216 Lidl Muiden MUIDEN,PAS572</t>
  </si>
  <si>
    <t>Blokker bv EINDHOVEN,PAS010</t>
  </si>
  <si>
    <t>Blokker</t>
  </si>
  <si>
    <t>__label__expenses:shopping.clothes</t>
  </si>
  <si>
    <t>Zalando</t>
  </si>
  <si>
    <t>__label__expenses:shopping.electronics</t>
  </si>
  <si>
    <t>CoolBlue B.V.</t>
  </si>
  <si>
    <t>__label__expenses:food.restaurants</t>
  </si>
  <si>
    <t>THUISBEZORGD.NL UTRECHT NLD</t>
  </si>
  <si>
    <t>Thuisbezorgd.nl</t>
  </si>
  <si>
    <t>home delivery</t>
  </si>
  <si>
    <t>H&amp;M H&amp;M</t>
  </si>
  <si>
    <t>__label__expenses:house.fitment</t>
  </si>
  <si>
    <t>Ikea Haarlem HAARLEM,PAS259</t>
  </si>
  <si>
    <t>MS MODE GOUDA Gouda,PAS019</t>
  </si>
  <si>
    <t>MS Mode</t>
  </si>
  <si>
    <t>__label__expenses:entertainment.culture</t>
  </si>
  <si>
    <t>TicketMaster</t>
  </si>
  <si>
    <t>CCV*COTTONCAKE AMSTERDAM,PAS346</t>
  </si>
  <si>
    <t>COTTONCAKE</t>
  </si>
  <si>
    <t>CCV*JUTKA &amp; RISKA HAARLE,PAS092</t>
  </si>
  <si>
    <t>JUTKA &amp; RISKA</t>
  </si>
  <si>
    <t>__label__expenses:misc.kids</t>
  </si>
  <si>
    <t>Big en Belg AMSTERDAM,PAS884</t>
  </si>
  <si>
    <t>Big en Belg</t>
  </si>
  <si>
    <t>MediaMarkt Utrecht UTREC,PAS392</t>
  </si>
  <si>
    <t>MediaMarkt</t>
  </si>
  <si>
    <t>__label__expenses:home.communications</t>
  </si>
  <si>
    <t>KPN B.V.</t>
  </si>
  <si>
    <t>KPN</t>
  </si>
  <si>
    <t>Vodaphone</t>
  </si>
  <si>
    <t>TELFORT</t>
  </si>
  <si>
    <t>Telfort</t>
  </si>
  <si>
    <t>CCV*T-MOBILE HEERLEN HEE,PAS065</t>
  </si>
  <si>
    <t>TELE2</t>
  </si>
  <si>
    <t>Simyo</t>
  </si>
  <si>
    <t>Lebara</t>
  </si>
  <si>
    <t>BE MOBILE BV</t>
  </si>
  <si>
    <t>Be Mobile</t>
  </si>
  <si>
    <t>__label__expenses:home.incurences-fees</t>
  </si>
  <si>
    <t>Achmea Zorg</t>
  </si>
  <si>
    <t>AGIS ZORGVERZEKERINGEN NV</t>
  </si>
  <si>
    <t>Agis Zorgverzekeringen</t>
  </si>
  <si>
    <t>AVERO ACHMEA</t>
  </si>
  <si>
    <t>Avero Achmea</t>
  </si>
  <si>
    <t>Azivo Zorgverzekeraar NV</t>
  </si>
  <si>
    <t>Azivo Zorgverzekeraar</t>
  </si>
  <si>
    <t>AZVZ</t>
  </si>
  <si>
    <t>Menzis</t>
  </si>
  <si>
    <t>Central Beheer</t>
  </si>
  <si>
    <t>McDonalds Doetinchem DOE,PAS583</t>
  </si>
  <si>
    <t>McDonalds</t>
  </si>
  <si>
    <t>AC RESTAURANTS EN HOTELS B EHEER -</t>
  </si>
  <si>
    <t>AC Restaurants</t>
  </si>
  <si>
    <t>La Place Zoeterwoude Zoe,PAS032</t>
  </si>
  <si>
    <t>La Place</t>
  </si>
  <si>
    <t>Febo Oosterhout OOSTERHO,PAS075</t>
  </si>
  <si>
    <t>Febo</t>
  </si>
  <si>
    <t>Nam Kee AMSTERDAM,PAS010</t>
  </si>
  <si>
    <t>Nam Kee</t>
  </si>
  <si>
    <t>KFC EINDHOVEN EINDHOVEN ,PAS123</t>
  </si>
  <si>
    <t>KFC</t>
  </si>
  <si>
    <t>Burger King Muiden MUIDE,PAS442</t>
  </si>
  <si>
    <t>RESTAURANT STRUISVOGEL AMSTERDAM NLD</t>
  </si>
  <si>
    <t>Restaurant Struisvogel</t>
  </si>
  <si>
    <t>BLUE PEPPER RESTAURA AMSTERDAM NLD</t>
  </si>
  <si>
    <t>Blue Pepper Restaurant</t>
  </si>
  <si>
    <t>Omelegg Amsterdam AMSTER,PAS594</t>
  </si>
  <si>
    <t>Omelegg</t>
  </si>
  <si>
    <t>CCV*BAK RESTAURANT AMSTE,PAS781</t>
  </si>
  <si>
    <t>Bak Restaurant</t>
  </si>
  <si>
    <t>Pathe Tuschinski AMSTERD,PAS451</t>
  </si>
  <si>
    <t>Pathe Tuschinski</t>
  </si>
  <si>
    <t>THE MOVIES DORDRECHT ROT,PAS031</t>
  </si>
  <si>
    <t>The Movies</t>
  </si>
  <si>
    <t>VR. CINEMA OOSTEREILAND</t>
  </si>
  <si>
    <t>Vr. Cinema Oostereiland</t>
  </si>
  <si>
    <t>VAPIANO BREMEN DEU</t>
  </si>
  <si>
    <t>__label__expenses:transport.car</t>
  </si>
  <si>
    <t>Total Hoofddorp HOOFDDOR,PAS745</t>
  </si>
  <si>
    <t>TANKSTATION PEETERS,PAS007</t>
  </si>
  <si>
    <t>Tankstation Peeters</t>
  </si>
  <si>
    <t>TEXACO DEVENTER DEVENTER,PAS556</t>
  </si>
  <si>
    <t>ESSO WEZEP WEZEP,PAS289</t>
  </si>
  <si>
    <t>EFR Services NL,PAS155</t>
  </si>
  <si>
    <t>EFR Services</t>
  </si>
  <si>
    <t>TAMOIL NEDERLAND B.V.</t>
  </si>
  <si>
    <t>Tamoil Netherlands B.V.</t>
  </si>
  <si>
    <t>BP AMSTERDAM AMSTERDAM,PAS850</t>
  </si>
  <si>
    <t>__label__expenses:food.bars</t>
  </si>
  <si>
    <t>CCV*AMSTERDAM ROEST BV A,PAS535</t>
  </si>
  <si>
    <t>Amsterdam Roest A</t>
  </si>
  <si>
    <t>WATERKANT AMSTERDAM,PAS106</t>
  </si>
  <si>
    <t>Waterkant</t>
  </si>
  <si>
    <t>BAR OLDENHOF</t>
  </si>
  <si>
    <t>Bar Oldenhof</t>
  </si>
  <si>
    <t>T BLAUWE THEEHUIS AMSTERDAM NLD</t>
  </si>
  <si>
    <t>T Blauwe Theehuis</t>
  </si>
  <si>
    <t>CCV*BROUWERIJ 'T IJ AMST,PAS114</t>
  </si>
  <si>
    <t>Brouwerij 't Ij Amst</t>
  </si>
  <si>
    <t>Arendsnest BV AMSTERDAM ,PAS511</t>
  </si>
  <si>
    <t>Arendnest</t>
  </si>
  <si>
    <t>__label__expenses:food.coffee</t>
  </si>
  <si>
    <t>Starbucks Coffee Amsterd,PAS112</t>
  </si>
  <si>
    <t>RESTAURANT GREETJE AMSTERDAM NLD</t>
  </si>
  <si>
    <t>Restaurant Greetje</t>
  </si>
  <si>
    <t>__label__expenses:food.other</t>
  </si>
  <si>
    <t>CCV*IJSCUYPJE AMSTERDAM ,PAS062</t>
  </si>
  <si>
    <t>Ijscuypje</t>
  </si>
  <si>
    <t>__label__expenses:wellness.dailycare</t>
  </si>
  <si>
    <t>Rituals Waalwijk WAALWIJ,PAS491</t>
  </si>
  <si>
    <t>ZARA Hilversum HILVERSUM,PAS664</t>
  </si>
  <si>
    <t>__label__expenses:food.alcohol-tobacco</t>
  </si>
  <si>
    <t>CCV*CAVE ROKIN AMSTERDAM,PAS211</t>
  </si>
  <si>
    <t>Cave Rokin</t>
  </si>
  <si>
    <t>CCV*DE BIERKONING AMSTER,PAS562</t>
  </si>
  <si>
    <t>De Bierkoning</t>
  </si>
  <si>
    <t>BeerTemple AMSTERDAM,PAS359</t>
  </si>
  <si>
    <t>BeerTemple</t>
  </si>
  <si>
    <t>Avondverkoop Diemen DIEM,PAS825</t>
  </si>
  <si>
    <t>Avondverkoop</t>
  </si>
  <si>
    <t>Groceries/Supermarket_5</t>
  </si>
  <si>
    <t>Foeders AMSTERDAM,PAS101</t>
  </si>
  <si>
    <t>Foeders</t>
  </si>
  <si>
    <t>CCV*CAFE DE SPUYT AMSTER,PAS193</t>
  </si>
  <si>
    <t>Cafe De Spuyt</t>
  </si>
  <si>
    <t>CCV*KAAPSE BROUWERS ROTT,PAS343</t>
  </si>
  <si>
    <t>Kaapse Brouwers</t>
  </si>
  <si>
    <t>__label__expenses:shopping.books</t>
  </si>
  <si>
    <t>CCV*TASCHEN NEDERLAND AM,PAS412</t>
  </si>
  <si>
    <t>Mendo Amsterdam AMSTERDA,PAS523</t>
  </si>
  <si>
    <t>Mendo</t>
  </si>
  <si>
    <t>__label__expenses:house.repairs</t>
  </si>
  <si>
    <t>Hubo Brunssum BRUNSSUM,PAS377</t>
  </si>
  <si>
    <t>Hubo</t>
  </si>
  <si>
    <t>Karwei Veenendaal VEENEN,PAS019</t>
  </si>
  <si>
    <t>Karwei</t>
  </si>
  <si>
    <t>GAMMA HELLEVOETSLUIS HEL,PAS201</t>
  </si>
  <si>
    <t>HORNBACH GRONINGEN GRONI,PAS383</t>
  </si>
  <si>
    <t>Hornbach</t>
  </si>
  <si>
    <t>__label__expenses:transport.publictransport</t>
  </si>
  <si>
    <t>NS ARNHEM ARNHEM,PAS453</t>
  </si>
  <si>
    <t>Ns</t>
  </si>
  <si>
    <t>CONNEXXION HILVERSUM HILVERSUM NLD</t>
  </si>
  <si>
    <t>Connexxion</t>
  </si>
  <si>
    <t>Qbuzz B.V.</t>
  </si>
  <si>
    <t>Qbuzz</t>
  </si>
  <si>
    <t>Hong Kong</t>
  </si>
  <si>
    <t>https://www.hongkongairlines.com/zh_HK/homepage</t>
  </si>
  <si>
    <t>Air China</t>
  </si>
  <si>
    <t>https://upload.wikimedia.org/wikipedia/commons/8/88/AirChina_Logo_Star.svg</t>
  </si>
  <si>
    <t>https://www.airchina.hk/HK/TW/Home</t>
  </si>
  <si>
    <t>Hong Kong International Airport</t>
  </si>
  <si>
    <t>https://upload.wikimedia.org/wikipedia/en/7/7d/HongKongAirportlogo.svg</t>
  </si>
  <si>
    <t>https://www.hongkongairport.com/tc/passenger-guide/airport-facilities-services/</t>
  </si>
  <si>
    <t>Peak Tram</t>
  </si>
  <si>
    <t>https://vignette.wikia.nocookie.net/hk-rail/images/7/7e/Peak_Tramways_logo.png/revision/latest?cb=20110607085518&amp;path-prefix=zh</t>
  </si>
  <si>
    <t>https://www.thepeak.com.hk/zh-hant</t>
  </si>
  <si>
    <t>The Peninsula</t>
  </si>
  <si>
    <t>https://upload.wikimedia.org/wikipedia/en/3/3f/The_Peninsula_Hotels_logo.png</t>
  </si>
  <si>
    <t xml:space="preserve"> https://www.peninsula.com/zh-cn/hong-kong/hotel-fine-dining/felix</t>
  </si>
  <si>
    <t>Back Bar</t>
  </si>
  <si>
    <t>http://hamandsherry.hk/bar_about/</t>
  </si>
  <si>
    <t>https://secure.booking.com/company/search.zh-cn.html?label=gen173nr-1DCAEoggJCAlhYSDNYBGg7iAEBmAEuwgEDYWJuyAEN2AED6AEBkgIBeagCBA&amp;sid=2f7aed6e2550e4ea832ae64202f1969e&amp;tmpl=profile%2Fcompany_search&amp;lang=zh-cn&amp;soz=1&amp;lang_click=top;cdl=en-gb;lang_changed=1</t>
  </si>
  <si>
    <t>https://www.mercedes-benz.com.hk/zh_HK/passengercars.html</t>
  </si>
  <si>
    <t>Helping Hand</t>
  </si>
  <si>
    <t>https://www.charitablechoice.org.hk/zh-HK/charities/helping-hand</t>
  </si>
  <si>
    <t>humanitarian Charityhttps://www.worldvision.org.hk</t>
  </si>
  <si>
    <t>The Grand Cinema</t>
  </si>
  <si>
    <t>http://www.thegrandcinema.com.hk/index.aspx?Lang=1</t>
  </si>
  <si>
    <t>http://www.costa.net.cn</t>
  </si>
  <si>
    <t>http://www.starbucks.com.hk</t>
  </si>
  <si>
    <t>http://www.dorma.com/hk/</t>
  </si>
  <si>
    <t>Gov Hong Kong</t>
  </si>
  <si>
    <t>https://www.gov.hk/en/residents/housing/private/?subcat=rate</t>
  </si>
  <si>
    <t>Comeron Dental Centre</t>
  </si>
  <si>
    <t>http://tc.cdc-asia.com/home</t>
  </si>
  <si>
    <t>Stately Home</t>
  </si>
  <si>
    <t>http://www.statelyhome.com.hk/tc/</t>
  </si>
  <si>
    <t>https://www.esso.com.hk/zh</t>
  </si>
  <si>
    <t>https://find.shell.com/hk/fuel/10045133-shell-kai-tak/en_HK</t>
  </si>
  <si>
    <t>https://www.skyscanner.com.hk/?locale=zh-TW&amp;currency=HKD&amp;market=HK&amp;_mp=1619f1480ad49d-03bd3158684c8d8-1c411b27-13c680-1619f1480ae390_1538657864830&amp;_ga=2.39419043.1851016962.1538657853-794456862.1518792376</t>
  </si>
  <si>
    <t>TNT</t>
  </si>
  <si>
    <t>https://upload.wikimedia.org/wikipedia/commons/4/46/TNT_Logo.svg</t>
  </si>
  <si>
    <t>https://www.tnt.com/express/zh_hk/site/shipping-services/freight-services.html</t>
  </si>
  <si>
    <t>https://www.marksandspencer.com/hk/</t>
  </si>
  <si>
    <t>City Super</t>
  </si>
  <si>
    <t>https://www.citysuper.com.hk/tc/</t>
  </si>
  <si>
    <t>Park n Shop</t>
  </si>
  <si>
    <t>https://upload.wikimedia.org/wikipedia/en/3/3b/Parknshoplogo.PNG</t>
  </si>
  <si>
    <t>https://www.parknshop.com/zh-hk/</t>
  </si>
  <si>
    <t>Market Place By Jasons</t>
  </si>
  <si>
    <t>https://www.marketplacebyjasons.com/mpj2shop/zh/html/index.html</t>
  </si>
  <si>
    <t>Gateway</t>
  </si>
  <si>
    <t>http://www.gatewaysupermarket.com</t>
  </si>
  <si>
    <t>Yata</t>
  </si>
  <si>
    <t>https://www.yata.hk/tch/about/mongkok.aspx</t>
  </si>
  <si>
    <t>https://www.fitnessfirst.com.hk/zh-HK/clubs/olympia-plaza/</t>
  </si>
  <si>
    <t>http://hong-kong-economy-research.hktdc.com/business-news/article/Hong-Kong-Industry-Profiles/Processed-Food-and-Beverages-Industry-in-Hong-Kong/hkip/en/1/1X000000/1X006S3L.htm</t>
  </si>
  <si>
    <t>Apex Glass</t>
  </si>
  <si>
    <t>http://www.apex-glass.com/cn/</t>
  </si>
  <si>
    <t>https://upload.wikimedia.org/wikipedia/commons/a/aa/HSBC_logo_%282018%29.svg</t>
  </si>
  <si>
    <t>https://www.hsbc.com.hk/zh-hk/insurance/products/car/</t>
  </si>
  <si>
    <t>Kites Systems</t>
  </si>
  <si>
    <t>http://www.kitesystems.com</t>
  </si>
  <si>
    <t>http://www.csigroup.hk/en/</t>
  </si>
  <si>
    <t>Sun Mobile</t>
  </si>
  <si>
    <t>https://upload.wikimedia.org/wikipedia/en/b/ba/Sun_Cellular_Logo_2015.svg</t>
  </si>
  <si>
    <t>http://www.sunmobile.com.hk</t>
  </si>
  <si>
    <t>https://www.three.com.hk/website/appmanager/three/home?_nfpb=true&amp;pageid=d11001&amp;_pageLabel=P600193131219996753703&amp;lang=chi?cmpid=sem_google_idm_3hk-alwayson_brand_brandname</t>
  </si>
  <si>
    <t>Hong Kong Golf Club</t>
  </si>
  <si>
    <t>https://www.hkgolfclub.org/cms/</t>
  </si>
  <si>
    <t>DBS Bank</t>
  </si>
  <si>
    <t>https://upload.wikimedia.org/wikipedia/en/1/18/DBS_Bank_Logo.svg</t>
  </si>
  <si>
    <t>https://www.dbs.com.hk/personal-zh/promotion/personal-instalment-loan?cid=google_sem</t>
  </si>
  <si>
    <t>Sharp</t>
  </si>
  <si>
    <t>https://www.sharp.com.hk/en/office-solutions/?gclid=Cj0KCQiA68bhBRCKARIsABYUGicfVfK9EAqXFvnIMzXTOQ7BnJ8iXE9wrWpQTSXFqYrGLUXR3KC4FxQaApaoEALw_wcB</t>
  </si>
  <si>
    <t>Otical 88</t>
  </si>
  <si>
    <t>https://www.optical88.com.hk/index.php</t>
  </si>
  <si>
    <t>Optical</t>
  </si>
  <si>
    <t>http://www.hkoptical.com.hk</t>
  </si>
  <si>
    <t>Mack Car Park</t>
  </si>
  <si>
    <t>https://upload.wikimedia.org/wikipedia/commons/b/bb/Information_road_sign_parking.svg</t>
  </si>
  <si>
    <t>http://www.mackcarpark.com.hk/big5/carpark_info.php?id=31</t>
  </si>
  <si>
    <t>Watsons</t>
  </si>
  <si>
    <t>https://www.watsons.com.hk</t>
  </si>
  <si>
    <t>Kembla</t>
  </si>
  <si>
    <t>https://www.kembla.com.hk</t>
  </si>
  <si>
    <t>http://www.shesc.com/zh</t>
  </si>
  <si>
    <t>Computer Trouble  Shooters</t>
  </si>
  <si>
    <t>http://www.comptroub.com.hk</t>
  </si>
  <si>
    <t>ENK Appliance Service</t>
  </si>
  <si>
    <t>http://www.enkapplianceservice.com/main-page/</t>
  </si>
  <si>
    <t>Speedway Diner</t>
  </si>
  <si>
    <t>https://www.facebook.com/speedwaydiner/</t>
  </si>
  <si>
    <t>Rare</t>
  </si>
  <si>
    <t>https://rarerhk.com</t>
  </si>
  <si>
    <t>tin Lung Heen</t>
  </si>
  <si>
    <t>http://www.ritzcarlton.com/en/hotels/china/hong-kong/dining/tin-lung-heen?scid=bb1a189a-fec3-4d19-a255-54ba596febe2</t>
  </si>
  <si>
    <t>Capo</t>
  </si>
  <si>
    <t>https://capohk.business.site</t>
  </si>
  <si>
    <t>Beef &amp; Liberty</t>
  </si>
  <si>
    <t>http://www.beef-liberty.com</t>
  </si>
  <si>
    <t>http://www.bkchina.cn</t>
  </si>
  <si>
    <t>Pirata</t>
  </si>
  <si>
    <t>http://pirata.hk</t>
  </si>
  <si>
    <t>https://www.pizzahut.com.hk/en/home</t>
  </si>
  <si>
    <t>https://www.mcdonalds.com.hk/ch.html</t>
  </si>
  <si>
    <t>https://www.pizzaexpress.com.hk/restaurant/k11-art-mall/</t>
  </si>
  <si>
    <t>Little Bao</t>
  </si>
  <si>
    <t>https://www.little-bao.com</t>
  </si>
  <si>
    <t>https://www.gov.hk/sc/residents/transport/vehicle/carowner.htm</t>
  </si>
  <si>
    <t>Neat</t>
  </si>
  <si>
    <t>https://www.neat.hk/personal/features</t>
  </si>
  <si>
    <t>Citi Bank</t>
  </si>
  <si>
    <t>https://www.milessoft.com/wp-content/uploads/2018/07/citibank-logo-vector-400x400.png</t>
  </si>
  <si>
    <t>https://www.citibank.com.hk/english/banking/checking-savings.htm</t>
  </si>
  <si>
    <t>American Internatinal School</t>
  </si>
  <si>
    <t>https://www.ais.edu.hk</t>
  </si>
  <si>
    <t>https://global.accessorize.com/en-hk/?skipRedirection=true&amp;glCurrency=HKD</t>
  </si>
  <si>
    <t>https://www.shopdisney.com</t>
  </si>
  <si>
    <t>Baby Oline</t>
  </si>
  <si>
    <t>https://www.babyonline.com.hk</t>
  </si>
  <si>
    <t>Hong Kong Reader</t>
  </si>
  <si>
    <t>http://www.hkreaders.com/?page_id=136</t>
  </si>
  <si>
    <t>See's Candies</t>
  </si>
  <si>
    <t>http://chocolateshops.sees.com/hk-hk/central/chocolate_shops_central_hk_intl-110b.html</t>
  </si>
  <si>
    <t>www.zara.com/</t>
  </si>
  <si>
    <t>https://www.thebodyshop.com/zh-hant-hk/</t>
  </si>
  <si>
    <t>NYX</t>
  </si>
  <si>
    <t>https://upload.wikimedia.org/wikipedia/en/c/cb/NYX_cosmetics_logo.png</t>
  </si>
  <si>
    <t>https://www.nyxcosmetics.hk</t>
  </si>
  <si>
    <t>https://www.ebay.com.hk</t>
  </si>
  <si>
    <t>http://www.amazon.com.hk</t>
  </si>
  <si>
    <t>https://www.nextdirect.com/hk/en</t>
  </si>
  <si>
    <t>Sincere</t>
  </si>
  <si>
    <t>https://upload.wikimedia.org/wikipedia/commons/f/fe/Sincere_logo.svg</t>
  </si>
  <si>
    <t>http://www.sincere.com.hk/department/lang_hk</t>
  </si>
  <si>
    <t>https://www.harveynichols.com/en-hk/</t>
  </si>
  <si>
    <t>https://www.johnlewis.com/hk/customer-services/delivery-information/international-delivery</t>
  </si>
  <si>
    <t>https://www.debenhams.com/en-hk</t>
  </si>
  <si>
    <t>http://www.chanel.com/en_HK/</t>
  </si>
  <si>
    <t>E Cox</t>
  </si>
  <si>
    <t>https://ecox.com.hk/shop/?SID=ioa80j6q20m7qr6icdi5utqhv3</t>
  </si>
  <si>
    <t>Shunhing Group</t>
  </si>
  <si>
    <t>http://www.shunhinggroup.com/site/chinese/home.aspx</t>
  </si>
  <si>
    <t>Sony</t>
  </si>
  <si>
    <t>https://upload.wikimedia.org/wikipedia/commons/c/ca/Sony_logo.svg</t>
  </si>
  <si>
    <t>https://www.sony.com.hk/en</t>
  </si>
  <si>
    <t>Xpress Flowers</t>
  </si>
  <si>
    <t>https://www.oom.com.sg/wp-content/uploads/2015/12/xpressflower.jpg</t>
  </si>
  <si>
    <t>https://www.xpressflower.com/international/hong-kong</t>
  </si>
  <si>
    <t>https://upload.wikimedia.org/wikipedia/commons/3/37/Hallmark_logo.svg</t>
  </si>
  <si>
    <t>http://www.hallmarkhk.com/v2/index.php</t>
  </si>
  <si>
    <t>Victory Hardware</t>
  </si>
  <si>
    <t>http://www.victoryhardware.com/contact.html</t>
  </si>
  <si>
    <t>Sofa Sale</t>
  </si>
  <si>
    <t>https://www.sofasale.com.hk/furniture?gclid=Cj0KCQiAjszhBRDgARIsAH8KgvcS55qpxsSFcTsF0j7TgjYFJkPkDQsN2BykTs_N0rVFt2B7Y8-ZGfIaAkaQEALw_wcB</t>
  </si>
  <si>
    <t>Stock Room</t>
  </si>
  <si>
    <t>http://www.stockroom.com.hk/chairs-dining-chairs-c-166_150_151.html?gclid=Cj0KCQiAjszhBRDgARIsAH8KgvcCMYYG3aP8n0CMI76_pqLSX36W0cxSzoLMn2mHkDwe_gFeE8ycxbcaAmtmEALw_wcB</t>
  </si>
  <si>
    <t>Décor Collection</t>
  </si>
  <si>
    <t>http://www.decorcollection.com/zh-hant/</t>
  </si>
  <si>
    <t>Daiso</t>
  </si>
  <si>
    <t>http://www.daisoglobal.com/store/list/?c_id=C0021</t>
  </si>
  <si>
    <t>Blue Nile</t>
  </si>
  <si>
    <t>https://www.bluenile.com/hk/jewellery?gclid=Cj0KCQiAjszhBRDgARIsAH8KgvenpiBbSLRlJvDuK7qQN8zhb4qHO3O9SQ9FlS-7z7pJKaqufhVqLK8aAgL8EALw_wcB&amp;click_id=881972538</t>
  </si>
  <si>
    <t>Wise Kids Toys</t>
  </si>
  <si>
    <t>http://www.wisekidstoys.com</t>
  </si>
  <si>
    <t>Petit-Bazaar</t>
  </si>
  <si>
    <t>https://tc.petit-bazaar.com</t>
  </si>
  <si>
    <t>Zodiac Lighting</t>
  </si>
  <si>
    <t>http://www.zodiaclighting.com/zh-hk/</t>
  </si>
  <si>
    <t>Journalize</t>
  </si>
  <si>
    <t>https://journalize.hk</t>
  </si>
  <si>
    <t>https://www.clarks.com</t>
  </si>
  <si>
    <t>Iprice</t>
  </si>
  <si>
    <t>https://upload.wikimedia.org/wikipedia/commons/d/d0/Iprice.png</t>
  </si>
  <si>
    <t>https://iprice.hk/office/shoes/</t>
  </si>
  <si>
    <t>Escapade Sports</t>
  </si>
  <si>
    <t>http://www.escapade.com.hk/brands-at-escapade-sports.html</t>
  </si>
  <si>
    <t>APA Outdoor Shop</t>
  </si>
  <si>
    <t>https://www.apaoutdoorshop.com</t>
  </si>
  <si>
    <t>OpenSky.tv</t>
  </si>
  <si>
    <t>http://download.opensky.tv/en-us</t>
  </si>
  <si>
    <t>The Mira</t>
  </si>
  <si>
    <t>https://www.themirahotel.com/hotel-facilities/</t>
  </si>
  <si>
    <t>Fortress</t>
  </si>
  <si>
    <t>https://www.fortress.com.hk/en/shop/home-appliances/air-conditioners/c/44?q=%3A</t>
  </si>
  <si>
    <t>Element14</t>
  </si>
  <si>
    <t>https://hk.element14.com</t>
  </si>
  <si>
    <t>Food Panda</t>
  </si>
  <si>
    <t>https://www.foodpanda.hk</t>
  </si>
  <si>
    <t>Netvigator</t>
  </si>
  <si>
    <t>https://www.netvigator.com/chi/index.html</t>
  </si>
  <si>
    <t>Smartone</t>
  </si>
  <si>
    <t>https://www.smartone.com/jsp/english/index.jsp?s=273b77187678617e23200c1b184c</t>
  </si>
  <si>
    <t>Cable Tv</t>
  </si>
  <si>
    <t>https://upload.wikimedia.org/wikipedia/commons/3/3f/HK_Cable_TV_logo.svg</t>
  </si>
  <si>
    <t>http://www.cabletv.com.hk/en/index.php</t>
  </si>
  <si>
    <t>CSL</t>
  </si>
  <si>
    <t>https://upload.wikimedia.org/wikipedia/commons/e/ee/CSLHK_logo.svg</t>
  </si>
  <si>
    <t>https://www.hkcsl.com</t>
  </si>
  <si>
    <t>Stub Hub</t>
  </si>
  <si>
    <t>https://upload.wikimedia.org/wikipedia/commons/3/32/Stubhub.svg</t>
  </si>
  <si>
    <t>https://www.stubhub.hk/en/</t>
  </si>
  <si>
    <t>MTR</t>
  </si>
  <si>
    <t>https://upload.wikimedia.org/wikipedia/commons/8/80/MTR_Corporation_logo.svg</t>
  </si>
  <si>
    <t>http://www.mtr.com.hk/ch/customer/tickets/travel_pass_ael.html</t>
  </si>
  <si>
    <t>HK Electric</t>
  </si>
  <si>
    <t>https://upload.wikimedia.org/wikipedia/en/d/d6/Hongkong_Electric_%28logo%29.png</t>
  </si>
  <si>
    <t>https://www.hkelectric.com/en</t>
  </si>
  <si>
    <t>CLP</t>
  </si>
  <si>
    <t>https://www.clp.com.hk/zh</t>
  </si>
  <si>
    <t>Town Gas</t>
  </si>
  <si>
    <t>https://upload.wikimedia.org/wikipedia/commons/1/1a/Towngas_Logo.svg</t>
  </si>
  <si>
    <t>https://www.towngas.com/en/Home</t>
  </si>
  <si>
    <t>WSD</t>
  </si>
  <si>
    <t>https://www.wsd.gov.hk/tc/home/index.html</t>
  </si>
  <si>
    <t>Royal Hong Kong Yatch Club</t>
  </si>
  <si>
    <t>https://www.rhkyc.org.hk</t>
  </si>
  <si>
    <t>https://upload.wikimedia.org/wikipedia/commons/c/c6/HK_TST_Harbour_City_office_英國保誠保險大樓_Prudential_Tower_night_HSBC_ETC_ATM_machine_Apr-2013.JPG</t>
  </si>
  <si>
    <t>https://www.hsbc.com.hk</t>
  </si>
  <si>
    <t>Donation Miss Xing</t>
  </si>
  <si>
    <t>Donation Mr and Mrs Liu</t>
  </si>
  <si>
    <t>Donation Mr and Mrs Yang</t>
  </si>
  <si>
    <t>Donation Mr Huang</t>
  </si>
  <si>
    <t>Donation Page Wu</t>
  </si>
  <si>
    <t>Donation Hong Kong Youth Hostels Association</t>
  </si>
  <si>
    <t>https://www.yha.org.hk/en/</t>
  </si>
  <si>
    <t>Donation The Hong Kong Society for the Blind</t>
  </si>
  <si>
    <t>https://www.hksb.org.hk/en/</t>
  </si>
  <si>
    <t>Donation Honds on Hong Kong</t>
  </si>
  <si>
    <t>https://www.handsonhongkong.org/about-us</t>
  </si>
  <si>
    <t>Donation Feeding Hong Kong</t>
  </si>
  <si>
    <t>https://upload.wikimedia.org/wikipedia/en/d/d8/Feeding_Hong_Kong_Logo.jpg</t>
  </si>
  <si>
    <t>https://www.feedinghk.org</t>
  </si>
  <si>
    <t>Mr D Zhou</t>
  </si>
  <si>
    <t>Po Leung Kuk</t>
  </si>
  <si>
    <t>http://elderly.poleungkuk.org.hk/tc/elderly-home2.aspx?pageid=21#</t>
  </si>
  <si>
    <t>Staint Paul's Hospital</t>
  </si>
  <si>
    <t>http://www.stpaul.org.hk/internet/</t>
  </si>
  <si>
    <t>Salary Mr R Bao</t>
  </si>
  <si>
    <t>Salary Mrs F Dunn</t>
  </si>
  <si>
    <t>Paid Invoice Mr Fan</t>
  </si>
  <si>
    <t>Paid Invoice Mr Kwok</t>
  </si>
  <si>
    <t>Paid Invoice Miss Lee</t>
  </si>
  <si>
    <t>Paid Invoice 76542 Mr Tin</t>
  </si>
  <si>
    <t>Paid Invoice  986 Mr Woo</t>
  </si>
  <si>
    <t>Paid Invoice 2297 Miss Wang</t>
  </si>
  <si>
    <t>http://www.mtr.com.hk/en/customer/tickets/tf_index.html</t>
  </si>
  <si>
    <t>https://upload.wikimedia.org/wikipedia/commons/b/b3/AIG_logo.svg</t>
  </si>
  <si>
    <t>https://www.aig.com.hk/zh/personal</t>
  </si>
  <si>
    <t>https://www.visa.com.hk</t>
  </si>
  <si>
    <t>should be unique</t>
  </si>
  <si>
    <t>Pewex</t>
  </si>
  <si>
    <t>http://www.pewex-supermercati.it/Content/Images/logo-pewex.png</t>
  </si>
  <si>
    <t>PAM</t>
  </si>
  <si>
    <r>
      <rPr>
        <u/>
        <sz val="11"/>
        <color rgb="FF0000FF"/>
        <rFont val="Calibri"/>
        <charset val="134"/>
      </rPr>
      <t>https://www.pampanorama.it/</t>
    </r>
  </si>
  <si>
    <t>COOP</t>
  </si>
  <si>
    <t>Todis</t>
  </si>
  <si>
    <t>discount</t>
  </si>
  <si>
    <t>http://www.todis.it/</t>
  </si>
  <si>
    <t>Giulius</t>
  </si>
  <si>
    <t>Animals shop</t>
  </si>
  <si>
    <t>http://www.giuliuspetshop.it/</t>
  </si>
  <si>
    <t>Arcaplanet</t>
  </si>
  <si>
    <t>http://www.arcaplanet.it/?gclid=CjwKEAjwndqrBRC16IyeqPicp3ASJAB-vB-c_TCeGW9fHXnHTmCGKhPC5xNMwwhawRe6q_MqdjSfxhoCTNjw_wcB</t>
  </si>
  <si>
    <t>Moby Dick</t>
  </si>
  <si>
    <t>Planet Pet</t>
  </si>
  <si>
    <t>Pandora</t>
  </si>
  <si>
    <t>Stroili Oro</t>
  </si>
  <si>
    <t>Gold</t>
  </si>
  <si>
    <t>Morellato</t>
  </si>
  <si>
    <t>Bracialets</t>
  </si>
  <si>
    <t>http://www.morellato.com/</t>
  </si>
  <si>
    <t>Hausmann &amp; Co</t>
  </si>
  <si>
    <t>Jewelry &amp; watch</t>
  </si>
  <si>
    <t>Panerai</t>
  </si>
  <si>
    <t>Watch</t>
  </si>
  <si>
    <t>La Rinascente</t>
  </si>
  <si>
    <t>Goods</t>
  </si>
  <si>
    <t>daily</t>
  </si>
  <si>
    <t>COIN</t>
  </si>
  <si>
    <t>Dresses</t>
  </si>
  <si>
    <t>http://www.coin.it/</t>
  </si>
  <si>
    <t>Oviesse</t>
  </si>
  <si>
    <t>http://www.ovs.it/</t>
  </si>
  <si>
    <t>Castel Romano</t>
  </si>
  <si>
    <t>Outlet</t>
  </si>
  <si>
    <t>ENEL</t>
  </si>
  <si>
    <t>Eletricity &amp; Gas</t>
  </si>
  <si>
    <r>
      <rPr>
        <u/>
        <sz val="11"/>
        <color rgb="FF0000FF"/>
        <rFont val="Calibri"/>
        <charset val="134"/>
      </rPr>
      <t>https://www.enelenergia.it/mercato/libero?blobcol=urldata&amp;blobkey=id&amp;blobtable=MungoBlobs&amp;blobwhere=1354231154575&amp;ssbinary=true</t>
    </r>
  </si>
  <si>
    <r>
      <rPr>
        <u/>
        <sz val="11"/>
        <color rgb="FF0000FF"/>
        <rFont val="Calibri"/>
        <charset val="134"/>
      </rPr>
      <t>https://www.enelenergia.it/mercato/libero/it-IT/casa?ecid=paidsearch-GOOGLE-1.COM_Brand_Top_Exact-1.COM_Enel_Exact-enel&amp;ecid=paidsearch-GOOGLE-1.COM01_Brand_Top_Exact-1.COM01_Enel_Exact-enel&amp;gclid=CjwKEAjwndqrBRC16IyeqPicp3ASJAB-vB-cZpW0aNubZJVgHw9x7t47FhF2y8sQf0I07UntmRngdhoCExrw_wcB</t>
    </r>
  </si>
  <si>
    <t>ACEA</t>
  </si>
  <si>
    <t>EDISON</t>
  </si>
  <si>
    <t>La Cicogna</t>
  </si>
  <si>
    <t>Children dresses</t>
  </si>
  <si>
    <t>http://www.lacicognaabbigliamento.it/</t>
  </si>
  <si>
    <t>Prenatal</t>
  </si>
  <si>
    <t>Baby &amp; Children</t>
  </si>
  <si>
    <t>http://www.prenatal.it/static/content/prenatal/it/home.html</t>
  </si>
  <si>
    <t>Primigi</t>
  </si>
  <si>
    <t>Baby &amp; Children shoes</t>
  </si>
  <si>
    <t>http://www.primigi.it/it/</t>
  </si>
  <si>
    <t>Prada</t>
  </si>
  <si>
    <t>Luxury clothing</t>
  </si>
  <si>
    <t>Armani</t>
  </si>
  <si>
    <t>http://www.armani.com/it/armanicollezioni/</t>
  </si>
  <si>
    <t>Fendi</t>
  </si>
  <si>
    <t>http://www.fendi.com/it/</t>
  </si>
  <si>
    <t>Ferrero Cinema</t>
  </si>
  <si>
    <t>http://www.ferrerocinemas.com/templates/ferrero/images/s5_logo.png</t>
  </si>
  <si>
    <t>http://www.ferrerocinemas.com/</t>
  </si>
  <si>
    <t>Teatro alla Scala</t>
  </si>
  <si>
    <t>Opera</t>
  </si>
  <si>
    <t>http://www.teatroallascala.org/includes/v2010/img/hp/logoTAS.png</t>
  </si>
  <si>
    <t>Ricordi</t>
  </si>
  <si>
    <t>Music &amp; Media</t>
  </si>
  <si>
    <t>http://www.trony.it/online/static/WFS/Trony-B2C-Site/-/-/it_IT/images/common/PageLogo.png</t>
  </si>
  <si>
    <t>http://www.trony.it/</t>
  </si>
  <si>
    <t>Artemisia</t>
  </si>
  <si>
    <t>Healtcare</t>
  </si>
  <si>
    <t>http://www.artemisialab.it/wp-content/themes/artemisia/images/logo_Artemisia-n.png</t>
  </si>
  <si>
    <t>http://www.artemisialab.it/?gclid=CjwKEAjwndqrBRC16IyeqPicp3ASJAB-vB-cM9_32PymRDcSNUj-3kRUiKdikhDLckyY91bsH5-HYRoC57Xw_wcB</t>
  </si>
  <si>
    <t>Panigea</t>
  </si>
  <si>
    <t>http://www.panigea.it/index.php</t>
  </si>
  <si>
    <t>Caravaggio</t>
  </si>
  <si>
    <t>http://www.caravaggio.it/wp-content/themes/simple-catch/images/caravaggio-logo.png</t>
  </si>
  <si>
    <t>http://www.caravaggio.it/</t>
  </si>
  <si>
    <t>Musei Capitolini</t>
  </si>
  <si>
    <t>Museum</t>
  </si>
  <si>
    <t>http://www.museicapitolini.org/extension/museicivici_user/design/common/images/header/loghi/museicapitolini.jpg</t>
  </si>
  <si>
    <t>http://www.museicapitolini.org/</t>
  </si>
  <si>
    <t>Musei Vaticani</t>
  </si>
  <si>
    <t>http://www.museivaticani.va/</t>
  </si>
  <si>
    <t>Galleria Uffizi</t>
  </si>
  <si>
    <t>http://www.galleria-uffizi.it/visit/galleria-uffizi/Galleria-Uffizi/it</t>
  </si>
  <si>
    <t>ATAC Roma</t>
  </si>
  <si>
    <t>Public Transportation</t>
  </si>
  <si>
    <t>http://www.atac.roma.it/images/logo_atac.png</t>
  </si>
  <si>
    <t>http://www.atac.roma.it/</t>
  </si>
  <si>
    <t>AMN Napoli</t>
  </si>
  <si>
    <t>http://www.anm.it/images/1.jpg</t>
  </si>
  <si>
    <t>http://www.anm.it/</t>
  </si>
  <si>
    <t>ATM Milano</t>
  </si>
  <si>
    <t>http://www.atm.it/Lists/Testate_Ita/testata_home.jpg</t>
  </si>
  <si>
    <t>Leroy Merlin</t>
  </si>
  <si>
    <t>http://www.leroymerlin.it/</t>
  </si>
  <si>
    <t>Brico Center</t>
  </si>
  <si>
    <t>Bricolage</t>
  </si>
  <si>
    <t>http://giardino.bricocenter.it/yep-content/view/res/img/logo-brico-center.gif</t>
  </si>
  <si>
    <t>http://giardino.bricocenter.it/giardino?gclid=CjwKEAjwndqrBRC16IyeqPicp3ASJAB-vB-cEBI3v4iL3cxpCdv6YHGVAraIQNmjHQ27KrhbA9Pq_xoCBHjw_wcB</t>
  </si>
  <si>
    <t>http://www.obi-italia.it/it/index.html</t>
  </si>
  <si>
    <t>Francorosso</t>
  </si>
  <si>
    <t>Holidays &amp; Travel</t>
  </si>
  <si>
    <t>https://www.alpitour.it/francorosso</t>
  </si>
  <si>
    <t>Veraotur</t>
  </si>
  <si>
    <t>http://www.veratour.it/</t>
  </si>
  <si>
    <t>I viaggi del turchese</t>
  </si>
  <si>
    <t>http://www.turchese.it/images/images_home/viaggi-turchese.gif</t>
  </si>
  <si>
    <t>http://www.turchese.it/</t>
  </si>
  <si>
    <t>Ferrari</t>
  </si>
  <si>
    <t>Dream cars</t>
  </si>
  <si>
    <t>http://www.ferrari.com/it_it/</t>
  </si>
  <si>
    <t>Lamborghini</t>
  </si>
  <si>
    <t>http://www.lamborghini.com/it/home/</t>
  </si>
  <si>
    <t>Maserati</t>
  </si>
  <si>
    <t>Luxury cars</t>
  </si>
  <si>
    <t>http://www.maserati.it/maserati/it/it/index.html</t>
  </si>
  <si>
    <t>Alfa Romeo</t>
  </si>
  <si>
    <t>Sports cars</t>
  </si>
  <si>
    <t>http://www.alfaromeo.it/resources/images/logo-home.png</t>
  </si>
  <si>
    <t>http://www.alfaromeo.it/it/home</t>
  </si>
  <si>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</si>
  <si>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</si>
  <si>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</si>
  <si>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</si>
  <si>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0 - FR</t>
  </si>
  <si>
    <t>Table 1</t>
  </si>
  <si>
    <t>1 - Italy</t>
  </si>
  <si>
    <t>2 -US</t>
  </si>
  <si>
    <t>3 -TR</t>
  </si>
  <si>
    <t xml:space="preserve"> 4 - BE</t>
  </si>
  <si>
    <t>5 - LON</t>
  </si>
  <si>
    <t>6 - Dubai</t>
  </si>
  <si>
    <t>7 - Singapore</t>
  </si>
  <si>
    <t>8 - Egypt</t>
  </si>
  <si>
    <t>9 - Saudi Arabia</t>
  </si>
  <si>
    <t>10 -DE</t>
  </si>
  <si>
    <t>11-FI</t>
  </si>
  <si>
    <t>12 - Korea (empty)</t>
  </si>
  <si>
    <t>13 - Austria</t>
  </si>
  <si>
    <t>14 - Netherlands</t>
  </si>
  <si>
    <t>15 - Australia</t>
  </si>
  <si>
    <t>orig - IT</t>
  </si>
  <si>
    <t>Denmark</t>
  </si>
  <si>
    <t>Denmark - Table 1</t>
  </si>
  <si>
    <t>Table 1-1</t>
  </si>
  <si>
    <t>Denmark - Table 1-1</t>
  </si>
  <si>
    <t>"All Drawings from the Sheet"</t>
  </si>
  <si>
    <t>Denmark - Drawings</t>
  </si>
  <si>
    <t>Paris Charles de Gaulle Airport</t>
  </si>
  <si>
    <t>Societe Generale</t>
  </si>
  <si>
    <t>Bnp Paribas</t>
  </si>
  <si>
    <t>Dior</t>
  </si>
  <si>
    <t>Donation Miss Dubois</t>
  </si>
  <si>
    <t>Donation Leroy Family</t>
  </si>
  <si>
    <t>Donation Paws Pets</t>
  </si>
  <si>
    <t>Donation Glaucoma Association</t>
  </si>
  <si>
    <t>Donation Emmaus</t>
  </si>
  <si>
    <t>Donation L'Union</t>
  </si>
  <si>
    <t>Paid Invoice Mr Perez</t>
  </si>
  <si>
    <t>Paid Invoice 76542 Mr Dubois</t>
  </si>
  <si>
    <t>Paid Invoice 986 Mr Dumont</t>
  </si>
  <si>
    <t>Paid Invoice 2297 Miss Clement</t>
  </si>
  <si>
    <t>CARREFOUR</t>
  </si>
  <si>
    <t>DARTY</t>
  </si>
  <si>
    <t>HISTOIRE D'OR</t>
  </si>
  <si>
    <t>FABIO SALSA</t>
  </si>
  <si>
    <t>Airport Services Association</t>
  </si>
  <si>
    <t>https://www.asaworld.aero/</t>
  </si>
  <si>
    <t>https://asaacademy.aero/asaweb/wp-content/uploads/2016/05/Screen-Shot-2016-05-11-at-16.45.10.png</t>
  </si>
  <si>
    <t>Statue of Liberty</t>
  </si>
  <si>
    <t>http://highstylewalldecals.com/shop/fcp/product_images/78_1.png</t>
  </si>
  <si>
    <t>http://www.statueoflibertytickets.com/</t>
  </si>
  <si>
    <t>McSorleys Old Ale House</t>
  </si>
  <si>
    <t>https://i0.wp.com/mcsorleysoldalehouse.nyc/wp-content/uploads/2015/09/Bryan-Thatcher_BRT0392.jpg?fit=600%2C400</t>
  </si>
  <si>
    <t>https://mcsorleysoldalehouse.nyc</t>
  </si>
  <si>
    <t>Amor y Amargo</t>
  </si>
  <si>
    <t>https://static1.squarespace.com/static/5773495a9de4bb841271eae3/t/577a7fc637c58134dd17f413/1467645855840/?format=500w</t>
  </si>
  <si>
    <t>https://www.amctheatres.com/</t>
  </si>
  <si>
    <t>New Jersey State Treasury</t>
  </si>
  <si>
    <t>http://orlind.com/logos/njdot.jpg</t>
  </si>
  <si>
    <t>http://www.state.nj.us/treasury/index.shtml</t>
  </si>
  <si>
    <t>Gallery 57 Dental</t>
  </si>
  <si>
    <t>https://irp-cdn.multiscreensite.com/78727162/dms3rep/multi/tablet/7da45c413b84487dbd0830ee42e65576-750x251.dm.edit_ane8Xd.jpg</t>
  </si>
  <si>
    <t>Browns Harris Stevens</t>
  </si>
  <si>
    <t>http://www.greenportvillage.com/wp-content/uploads/Photo76-e1398179053177.jpg</t>
  </si>
  <si>
    <t>Savemart</t>
  </si>
  <si>
    <t>http://media.bizj.us/view/img/417751/save-mart-logo-vector1*750xx400-225-0-88.png</t>
  </si>
  <si>
    <t>https://www.savemart.com/</t>
  </si>
  <si>
    <t>Kroger</t>
  </si>
  <si>
    <t>http://207jbxmvmgshm4prrou0t7hu.wpengine.netdna-cdn.com/wp-content/uploads/2015/07/Kroger-logo-lg-1024x860.png</t>
  </si>
  <si>
    <t>Roundys</t>
  </si>
  <si>
    <t>https://media.glassdoor.com/sqll/2960/roundy-s-supermarkets-squarelogo.png</t>
  </si>
  <si>
    <t>http://www.roundys.com/Home.gsn</t>
  </si>
  <si>
    <t>Wincofoods</t>
  </si>
  <si>
    <t>http://wincofoods.com/wp-content/themes/elogix/framework/images/WinCoREDLogo-employee-owned.png</t>
  </si>
  <si>
    <t>http://wincofoods.com/</t>
  </si>
  <si>
    <t>Foodlion</t>
  </si>
  <si>
    <t>http://logonoid.com/images/food-lion-logo.png</t>
  </si>
  <si>
    <t>https://www.foodlion.com/</t>
  </si>
  <si>
    <t>Supervalue Inc</t>
  </si>
  <si>
    <t>http://cdn2.insidermonkey.com/blog/wp-content/uploads/2013/07/SUPERVALU-INC..jpg</t>
  </si>
  <si>
    <t>http://supervalu.com/</t>
  </si>
  <si>
    <t>Anytime fitness</t>
  </si>
  <si>
    <t>http://logonoid.com/images/anytime-fitness-logo.png</t>
  </si>
  <si>
    <t>https://www.anytimefitness.com/</t>
  </si>
  <si>
    <t>Augusta National GC</t>
  </si>
  <si>
    <t>https://media.glassdoor.com/sqll/334736/augusta-national-golf-club-squarelogo-1426580352663.png</t>
  </si>
  <si>
    <t>http://www.augusta.com/</t>
  </si>
  <si>
    <r>
      <rPr>
        <sz val="11"/>
        <color rgb="FF000000"/>
        <rFont val="Calibri"/>
        <charset val="134"/>
      </rPr>
      <t>1</t>
    </r>
    <r>
      <rPr>
        <sz val="11"/>
        <color rgb="FF000000"/>
        <rFont val="Arial"/>
        <charset val="134"/>
      </rPr>
      <t>st</t>
    </r>
    <r>
      <rPr>
        <sz val="11"/>
        <color rgb="FF000000"/>
        <rFont val="Calibri1"/>
        <charset val="134"/>
      </rPr>
      <t xml:space="preserve"> California</t>
    </r>
  </si>
  <si>
    <t>http://s3-us-west-1.amazonaws.com/firstcal-assets/global/FirstCal-Logo-Color.png</t>
  </si>
  <si>
    <t>http://www.firstcal.net/</t>
  </si>
  <si>
    <t>Raymond</t>
  </si>
  <si>
    <t>http://raymondopticians.com/images/LogoSlider.png</t>
  </si>
  <si>
    <t>http://raymondopticians.com/index.html</t>
  </si>
  <si>
    <t>Bomar Opticians</t>
  </si>
  <si>
    <t>http://www.bomarr.com/images/logo_bomarr.gif</t>
  </si>
  <si>
    <t>http://www.bomarr.com/index.html</t>
  </si>
  <si>
    <t>Skidata</t>
  </si>
  <si>
    <t>https://www.skidata.com/fileadmin/Assets/press-media-pic/skidata-logo.png</t>
  </si>
  <si>
    <t>http://www.skidatausa.com/</t>
  </si>
  <si>
    <t>Imperial Appliance Repair Co</t>
  </si>
  <si>
    <t>http://a.mktgcdn.com/p/UYa7ac_lziL2iIwxYyjEhS0DUJ5KtRAxhVhXoq1L0Hs/460x460.jpg</t>
  </si>
  <si>
    <t>http://www.imperialappliancenyc.com/</t>
  </si>
  <si>
    <t>Pro Appliance Repairs</t>
  </si>
  <si>
    <t>https://s3-media1.fl.yelpcdn.com/bphoto/_PPjkKNPPL7NSMQIc5ySRw/ls.jpg</t>
  </si>
  <si>
    <t>http://www.azproservice.com/</t>
  </si>
  <si>
    <t>DNE Appliance repair</t>
  </si>
  <si>
    <t>https://s3-media4.fl.yelpcdn.com/bphoto/V4p13ZwemwlDLVKv62PY3A/ls.jpg</t>
  </si>
  <si>
    <t>http://www.manta.com/c/mvr16pg/dne-appliance-repair</t>
  </si>
  <si>
    <t>La Bernadin</t>
  </si>
  <si>
    <t>https://www.le-bernardin.com/dist/logo-dark.png</t>
  </si>
  <si>
    <t>https://www.le-bernardin.com/home</t>
  </si>
  <si>
    <t>Kimski Chicargo</t>
  </si>
  <si>
    <t>https://pbs.twimg.com/profile_images/618475464282148865/RAS77HdY.jpg</t>
  </si>
  <si>
    <t>http://kimskichicago.com/</t>
  </si>
  <si>
    <t>Gabriel Kreuther</t>
  </si>
  <si>
    <t>http://assets-cdn.getbento.com/assets/gknyc/!381dae4ed062!/images/logo-small.png</t>
  </si>
  <si>
    <t>http://www.gknyc.com/</t>
  </si>
  <si>
    <t>Wildair NY</t>
  </si>
  <si>
    <t>https://pbs.twimg.com/profile_images/601045972450435072/kmxNj5uP.jpg</t>
  </si>
  <si>
    <t>http://wildair.nyc/</t>
  </si>
  <si>
    <t>Momofuku Las Vegas</t>
  </si>
  <si>
    <t>https://noodlebar-ny.momofuku.com/app/uploads/sites/15/2015/12/noodle_nyc_color_hi.jpg</t>
  </si>
  <si>
    <t>https://momofuku.com/</t>
  </si>
  <si>
    <t>Balthazar NY</t>
  </si>
  <si>
    <t>http://mucca.com/wp-content/uploads/2014/05/Balthazar1_cs2.jpg</t>
  </si>
  <si>
    <t>http://www.balthazarny.com/</t>
  </si>
  <si>
    <t>The Dutch NY</t>
  </si>
  <si>
    <t>https://s-media-cache-ak0.pinimg.com/736x/42/7f/44/427f443eb517bcc97ff2bfc6b879ab61.jpg</t>
  </si>
  <si>
    <t>http://www.thedutchnyc.com/</t>
  </si>
  <si>
    <t>Lure Fishbar NY</t>
  </si>
  <si>
    <t>https://pbs.twimg.com/profile_images/684442605107585024/QpEr3Jjz.jpg</t>
  </si>
  <si>
    <t>http://lurefishbar.com/</t>
  </si>
  <si>
    <t>Katz’s Delicatessen</t>
  </si>
  <si>
    <t>https://pbs.twimg.com/profile_images/460791381057744896/Iuwc946y.jpeg</t>
  </si>
  <si>
    <t>http://www.katzsdelicatessen.com/</t>
  </si>
  <si>
    <t>Estela NYC</t>
  </si>
  <si>
    <t>http://getbento.imgix.net/accounts/59c6d62e3072ae6d81cdb042da5287a8/media/accounts/media/rvptwRNoT3iBhU62pC7G_logo.png?w=600&amp;fit=max&amp;auto=compress,format&amp;h=600</t>
  </si>
  <si>
    <t>http://www.estelanyc.com/</t>
  </si>
  <si>
    <t>Oiji NYC</t>
  </si>
  <si>
    <t>http://static1.squarespace.com/static/54db0902e4b072be6d6f881d/t/54e2ab0be4b0f4c3cc08ee53/1482357817287/</t>
  </si>
  <si>
    <t>http://oijinyc.com</t>
  </si>
  <si>
    <t>Hearth East Village NYC</t>
  </si>
  <si>
    <t>http://getbento.imgix.net/accounts/9994abc250cdda2fec762a350d5e0aa6/media/accounts/media/87nuHMDSB2P1rdAFtZGn_HearthMenu_Art-20.png?w=600&amp;fit=max&amp;auto=compress,format&amp;h=600</t>
  </si>
  <si>
    <t>http://www.restauranthearth.com/</t>
  </si>
  <si>
    <t>Vermont Department of motor vehicles</t>
  </si>
  <si>
    <t>https://www.google.de/url?sa=i&amp;rct=j&amp;q=&amp;esrc=s&amp;source=images&amp;cd=&amp;ved=0ahUKEwiWytOjnZLSAhXMmBoKHZfsDgYQjBwIBA&amp;url=https%3A%2F%2Fanrweb.vt.gov%2FDEC%2FIronPIG%2FDownloadFile.aspx%3FDID%3D129764%26DVID%3D0&amp;psig=AFQjCNHNhMdRrOPHGpxQHB0FiZX7W1EoWQ&amp;ust=1487252374445456</t>
  </si>
  <si>
    <t>http://dmv.vermont.gov/tax-title/vehicle-taxation</t>
  </si>
  <si>
    <t>Bronx High School of science</t>
  </si>
  <si>
    <t>http://www.bxscience.edu/ourpages/auto/2012/8/28/46653008/BXSci%20Logo%20New.jpg</t>
  </si>
  <si>
    <t>http://bxscience.edu/</t>
  </si>
  <si>
    <t>Barneys NY</t>
  </si>
  <si>
    <t>Ashley Homestore</t>
  </si>
  <si>
    <t>https://www.ashleyfurniturehomestore.com/-/media/images/header/ahs_logo_horizontal.png</t>
  </si>
  <si>
    <t>http://www.ashleyfurniture.com/</t>
  </si>
  <si>
    <t>American Freight</t>
  </si>
  <si>
    <t>http://media.yellowbot.com/r/650x500/photos/4FYG-15JAIU_o--/american-freight-furniture-and-mattress-mobile-mobile-al.jpg</t>
  </si>
  <si>
    <t>https://www.americanfreight.us/</t>
  </si>
  <si>
    <t>http://www.westelm.com/stores/us/nj/princeton-market-fair/</t>
  </si>
  <si>
    <t>Helzberg Diamonds</t>
  </si>
  <si>
    <t>https://www.helzberg.com/</t>
  </si>
  <si>
    <t>La Cantera</t>
  </si>
  <si>
    <t>https://media-cdn.tripadvisor.com/media/photo-s/0b/16/40/89/la-cantera-hill-country.jpg</t>
  </si>
  <si>
    <t>https://www.destinationhotels.com/skamania/la-cantera-resort-and-spa/spa</t>
  </si>
  <si>
    <t>Liberty Travel</t>
  </si>
  <si>
    <t>https://www.google.de/url?sa=i&amp;rct=j&amp;q=&amp;esrc=s&amp;source=images&amp;cd=&amp;ved=0ahUKEwiJ6JPP_JbSAhXJLhoKHdlNAssQjBwIBA&amp;url=http%3A%2F%2Fbowietowncenter.com%2Fimages%2Fdefault-source%2Fstore-logos%2Fstore-logos%2Fliberty-travel.tmb-t-400x400.png%3FStatus%3DMaster%26sfvrsn%3D7&amp;psig=AFQjCNGmiyvhsxMTpHMrRV02DMa7b8y0og&amp;ust=1487415478502575</t>
  </si>
  <si>
    <t>http://www.libertytravel.com/</t>
  </si>
  <si>
    <t>New York Yacht club</t>
  </si>
  <si>
    <t>http://media.m32world.com/2016/05/RaceWeek.png</t>
  </si>
  <si>
    <t>https://www.nyyc.org/</t>
  </si>
  <si>
    <t>Shoprite</t>
  </si>
  <si>
    <t>http://logonoid.com/images/shoprite-logo.png</t>
  </si>
  <si>
    <t>http://www.shoprite.com/</t>
  </si>
  <si>
    <t>https://www.google.de/maps/place/Bank+of+America+ATM/@40.7440631,-74.0852371,11z/data=!4m8!1m2!2m1!1satm+newyork!3m4!1s0x89c258e8c8e58919:0x8486925bfe61dd5a!8m2!3d40.7514601!4d-73.9714556</t>
  </si>
  <si>
    <t>https://www.google.de/maps/place/Santander+ATM/@40.760785,-74.0437469,12z/data=!4m8!1m2!2m1!1satm+newyork!3m4!1s0x0:0xf43ecfeb8f62a4f9!8m2!3d40.7438756!4d-73.9918685</t>
  </si>
  <si>
    <t>Donation Harry's Corner Shop</t>
  </si>
  <si>
    <t>https://www.harrys.com/assets/corner-shop/logo-3fb0a6186e6f9a5a5a77948ffc0a85a34b28f1bdd682d4e718d3ed040d538504.png</t>
  </si>
  <si>
    <t>https://www.harrys.com/cornershop</t>
  </si>
  <si>
    <t xml:space="preserve">Donation New York Eye </t>
  </si>
  <si>
    <t>http://www.newyorkeye.net/about.jpg</t>
  </si>
  <si>
    <t>http://www.newyorkeye.net/company.html</t>
  </si>
  <si>
    <t>Donation The Union club</t>
  </si>
  <si>
    <t>http://www.theunionclub.com/Images/pubHome_headerLogo.gif</t>
  </si>
  <si>
    <t>http://www.theunionclub.com</t>
  </si>
  <si>
    <t>VNSNY</t>
  </si>
  <si>
    <t>https://upload.wikimedia.org/wikipedia/en/6/6c/Visiting_Nurse_Service_of_New_York_Logo.jpg</t>
  </si>
  <si>
    <t>https://www.vnsny.org/how-we-can-help/hospice-palliative-care/our-services/</t>
  </si>
  <si>
    <t>New York-Presbyterian</t>
  </si>
  <si>
    <t>http://give.nyp.org/images/content/pagebuilder/nyp-logo.png</t>
  </si>
  <si>
    <t>http://www.nyp.org/home</t>
  </si>
</sst>
</file>

<file path=xl/styles.xml><?xml version="1.0" encoding="utf-8"?>
<styleSheet xmlns="http://schemas.openxmlformats.org/spreadsheetml/2006/main">
  <numFmts count="7">
    <numFmt numFmtId="176" formatCode="&quot; &quot;[$$-409]* #,##0&quot; &quot;;&quot; &quot;[$$-409]* \(#,##0\);&quot; &quot;[$$-409]* &quot;-&quot;??&quot; &quot;"/>
    <numFmt numFmtId="177" formatCode="#,##0&quot; &quot;[$€-2];&quot;-&quot;#,##0&quot; &quot;[$€-2]"/>
    <numFmt numFmtId="8" formatCode="&quot;£&quot;#,##0.00;[Red]\-&quot;£&quot;#,##0.00"/>
    <numFmt numFmtId="44" formatCode="_-&quot;£&quot;* #,##0.00_-;\-&quot;£&quot;* #,##0.00_-;_-&quot;£&quot;* &quot;-&quot;??_-;_-@_-"/>
    <numFmt numFmtId="41" formatCode="_-* #,##0_-;\-* #,##0_-;_-* &quot;-&quot;_-;_-@_-"/>
    <numFmt numFmtId="42" formatCode="_-&quot;£&quot;* #,##0_-;\-&quot;£&quot;* #,##0_-;_-&quot;£&quot;* &quot;-&quot;_-;_-@_-"/>
    <numFmt numFmtId="43" formatCode="_-* #,##0.00_-;\-* #,##0.00_-;_-* &quot;-&quot;??_-;_-@_-"/>
  </numFmts>
  <fonts count="55">
    <font>
      <sz val="11"/>
      <color rgb="FF000000"/>
      <name val="Calibri"/>
      <charset val="134"/>
    </font>
    <font>
      <b/>
      <sz val="11"/>
      <color rgb="FF000000"/>
      <name val="Calibri"/>
      <charset val="134"/>
    </font>
    <font>
      <b/>
      <sz val="11"/>
      <color rgb="FFFF0000"/>
      <name val="Calibri"/>
      <charset val="134"/>
    </font>
    <font>
      <u/>
      <sz val="11"/>
      <color rgb="FF000000"/>
      <name val="Calibri"/>
      <charset val="134"/>
    </font>
    <font>
      <sz val="11"/>
      <color rgb="FF555555"/>
      <name val="Calibri"/>
      <charset val="134"/>
    </font>
    <font>
      <b/>
      <sz val="12"/>
      <name val="Calibri"/>
      <charset val="134"/>
    </font>
    <font>
      <sz val="11"/>
      <name val="Calibri"/>
      <charset val="134"/>
    </font>
    <font>
      <sz val="12"/>
      <color rgb="FF000000"/>
      <name val="Calibri"/>
      <charset val="134"/>
    </font>
    <font>
      <sz val="14"/>
      <color rgb="FF000000"/>
      <name val="Calibri"/>
      <charset val="134"/>
    </font>
    <font>
      <u/>
      <sz val="12"/>
      <color rgb="FF0000FF"/>
      <name val="Calibri"/>
      <charset val="134"/>
    </font>
    <font>
      <sz val="11"/>
      <color rgb="FFFF0000"/>
      <name val="Calibri"/>
      <charset val="134"/>
    </font>
    <font>
      <u/>
      <sz val="11"/>
      <color rgb="FF0000FF"/>
      <name val="Calibri"/>
      <charset val="134"/>
    </font>
    <font>
      <sz val="11"/>
      <color rgb="FF006621"/>
      <name val="Arial"/>
      <charset val="134"/>
    </font>
    <font>
      <u/>
      <sz val="11"/>
      <color theme="10"/>
      <name val="Calibri"/>
      <charset val="134"/>
    </font>
    <font>
      <sz val="11"/>
      <color rgb="FF000000"/>
      <name val="Arial"/>
      <charset val="134"/>
    </font>
    <font>
      <sz val="11"/>
      <color rgb="FF222222"/>
      <name val="Arial"/>
      <charset val="134"/>
    </font>
    <font>
      <u/>
      <sz val="11"/>
      <color rgb="FF006621"/>
      <name val="Arial"/>
      <charset val="134"/>
    </font>
    <font>
      <b/>
      <u/>
      <sz val="11"/>
      <color rgb="FF000000"/>
      <name val="Calibri"/>
      <charset val="134"/>
    </font>
    <font>
      <u/>
      <sz val="11"/>
      <color rgb="FF222325"/>
      <name val="Montserrat"/>
      <charset val="134"/>
    </font>
    <font>
      <u/>
      <sz val="11"/>
      <color rgb="FF000000"/>
      <name val="Arial"/>
      <charset val="134"/>
    </font>
    <font>
      <sz val="11"/>
      <color rgb="FF002060"/>
      <name val="Calibri"/>
      <charset val="134"/>
    </font>
    <font>
      <sz val="16"/>
      <color rgb="FF222222"/>
      <name val="Arial"/>
      <charset val="134"/>
    </font>
    <font>
      <sz val="11"/>
      <color rgb="FF99403D"/>
      <name val="Calibri"/>
      <charset val="134"/>
    </font>
    <font>
      <sz val="11"/>
      <color rgb="FF99403D"/>
      <name val="Arial"/>
      <charset val="134"/>
    </font>
    <font>
      <sz val="13"/>
      <color rgb="FF212121"/>
      <name val="Arial"/>
      <charset val="134"/>
    </font>
    <font>
      <sz val="13"/>
      <color rgb="FF212121"/>
      <name val="Calibri"/>
      <charset val="134"/>
    </font>
    <font>
      <sz val="14"/>
      <color rgb="FF272A34"/>
      <name val="Helvetica Neue"/>
      <charset val="134"/>
    </font>
    <font>
      <sz val="12"/>
      <color rgb="FF454545"/>
      <name val="Helvetica Neue"/>
      <charset val="134"/>
    </font>
    <font>
      <sz val="10"/>
      <color rgb="FF000000"/>
      <name val="Arial"/>
      <charset val="134"/>
    </font>
    <font>
      <u/>
      <sz val="11"/>
      <color rgb="FF002060"/>
      <name val="Calibri"/>
      <charset val="134"/>
    </font>
    <font>
      <sz val="11"/>
      <color rgb="FF0070C0"/>
      <name val="Calibri"/>
      <charset val="134"/>
    </font>
    <font>
      <sz val="11"/>
      <color rgb="FF002060"/>
      <name val="Verdana"/>
      <charset val="134"/>
    </font>
    <font>
      <b/>
      <sz val="11"/>
      <color rgb="FF0070C0"/>
      <name val="Calibri"/>
      <charset val="134"/>
    </font>
    <font>
      <sz val="11"/>
      <color rgb="FF000000"/>
      <name val="Trebuchet MS"/>
      <charset val="134"/>
    </font>
    <font>
      <sz val="10"/>
      <color rgb="FF212121"/>
      <name val="Inherit"/>
      <charset val="134"/>
    </font>
    <font>
      <sz val="11"/>
      <color theme="1"/>
      <name val="Calibri"/>
      <charset val="134"/>
      <scheme val="minor"/>
    </font>
    <font>
      <sz val="11"/>
      <color theme="0"/>
      <name val="Calibri"/>
      <charset val="0"/>
      <scheme val="minor"/>
    </font>
    <font>
      <sz val="11"/>
      <color theme="1"/>
      <name val="Calibri"/>
      <charset val="0"/>
      <scheme val="minor"/>
    </font>
    <font>
      <sz val="11"/>
      <color rgb="FF006100"/>
      <name val="Calibri"/>
      <charset val="0"/>
      <scheme val="minor"/>
    </font>
    <font>
      <b/>
      <sz val="13"/>
      <color theme="3"/>
      <name val="Calibri"/>
      <charset val="134"/>
      <scheme val="minor"/>
    </font>
    <font>
      <b/>
      <sz val="11"/>
      <color rgb="FFFA7D00"/>
      <name val="Calibri"/>
      <charset val="0"/>
      <scheme val="minor"/>
    </font>
    <font>
      <sz val="11"/>
      <color rgb="FF3F3F76"/>
      <name val="Calibri"/>
      <charset val="0"/>
      <scheme val="minor"/>
    </font>
    <font>
      <b/>
      <sz val="11"/>
      <color rgb="FFFFFFFF"/>
      <name val="Calibri"/>
      <charset val="0"/>
      <scheme val="minor"/>
    </font>
    <font>
      <b/>
      <sz val="18"/>
      <color theme="3"/>
      <name val="Calibri"/>
      <charset val="134"/>
      <scheme val="minor"/>
    </font>
    <font>
      <b/>
      <sz val="11"/>
      <color rgb="FF3F3F3F"/>
      <name val="Calibri"/>
      <charset val="0"/>
      <scheme val="minor"/>
    </font>
    <font>
      <b/>
      <sz val="11"/>
      <color theme="1"/>
      <name val="Calibri"/>
      <charset val="0"/>
      <scheme val="minor"/>
    </font>
    <font>
      <b/>
      <sz val="11"/>
      <color theme="3"/>
      <name val="Calibri"/>
      <charset val="134"/>
      <scheme val="minor"/>
    </font>
    <font>
      <sz val="11"/>
      <color rgb="FF9C6500"/>
      <name val="Calibri"/>
      <charset val="0"/>
      <scheme val="minor"/>
    </font>
    <font>
      <i/>
      <sz val="11"/>
      <color rgb="FF7F7F7F"/>
      <name val="Calibri"/>
      <charset val="0"/>
      <scheme val="minor"/>
    </font>
    <font>
      <b/>
      <sz val="15"/>
      <color theme="3"/>
      <name val="Calibri"/>
      <charset val="134"/>
      <scheme val="minor"/>
    </font>
    <font>
      <sz val="11"/>
      <color rgb="FFFA7D00"/>
      <name val="Calibri"/>
      <charset val="0"/>
      <scheme val="minor"/>
    </font>
    <font>
      <sz val="11"/>
      <color rgb="FF9C0006"/>
      <name val="Calibri"/>
      <charset val="0"/>
      <scheme val="minor"/>
    </font>
    <font>
      <sz val="11"/>
      <color rgb="FFFF0000"/>
      <name val="Calibri"/>
      <charset val="0"/>
      <scheme val="minor"/>
    </font>
    <font>
      <sz val="11"/>
      <color rgb="FF000000"/>
      <name val="Calibri1"/>
      <charset val="134"/>
    </font>
    <font>
      <b/>
      <sz val="11"/>
      <color rgb="FF006621"/>
      <name val="Arial"/>
      <charset val="134"/>
    </font>
  </fonts>
  <fills count="39">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FF0000"/>
        <bgColor rgb="FFFF0000"/>
      </patternFill>
    </fill>
    <fill>
      <patternFill patternType="solid">
        <fgColor rgb="FFFFFF00"/>
        <bgColor rgb="FFFFFF00"/>
      </patternFill>
    </fill>
    <fill>
      <patternFill patternType="solid">
        <fgColor rgb="FFFFCC00"/>
        <bgColor rgb="FFFFCC00"/>
      </patternFill>
    </fill>
    <fill>
      <patternFill patternType="solid">
        <fgColor theme="7"/>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rgb="FFA5A5A5"/>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8"/>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799981688894314"/>
        <bgColor indexed="64"/>
      </patternFill>
    </fill>
  </fills>
  <borders count="40">
    <border>
      <left/>
      <right/>
      <top/>
      <bottom/>
      <diagonal/>
    </border>
    <border>
      <left style="thin">
        <color rgb="FF000000"/>
      </left>
      <right style="thin">
        <color rgb="FF000000"/>
      </right>
      <top style="thin">
        <color rgb="FF000000"/>
      </top>
      <bottom style="thin">
        <color rgb="FF000000"/>
      </bottom>
      <diagonal/>
    </border>
    <border>
      <left style="thin">
        <color rgb="FFAAAAAA"/>
      </left>
      <right style="thin">
        <color rgb="FFAAAAAA"/>
      </right>
      <top/>
      <bottom/>
      <diagonal/>
    </border>
    <border>
      <left style="thin">
        <color rgb="FFAAAAAA"/>
      </left>
      <right style="thin">
        <color rgb="FFAAAAAA"/>
      </right>
      <top style="thin">
        <color rgb="FFAAAAAA"/>
      </top>
      <bottom style="thin">
        <color rgb="FFAAAAAA"/>
      </bottom>
      <diagonal/>
    </border>
    <border>
      <left style="thin">
        <color rgb="FFAAAAAA"/>
      </left>
      <right style="thin">
        <color rgb="FFAAAAAA"/>
      </right>
      <top/>
      <bottom style="thin">
        <color rgb="FF000000"/>
      </bottom>
      <diagonal/>
    </border>
    <border>
      <left/>
      <right style="thin">
        <color rgb="FFAAAAAA"/>
      </right>
      <top/>
      <bottom style="thin">
        <color rgb="FF000000"/>
      </bottom>
      <diagonal/>
    </border>
    <border>
      <left/>
      <right style="thin">
        <color rgb="FFAAAAAA"/>
      </right>
      <top style="thin">
        <color rgb="FFAAAAAA"/>
      </top>
      <bottom style="thin">
        <color rgb="FFAAAAAA"/>
      </bottom>
      <diagonal/>
    </border>
    <border>
      <left style="thin">
        <color rgb="FFAAAAAA"/>
      </left>
      <right style="thin">
        <color rgb="FFAAAAAA"/>
      </right>
      <top/>
      <bottom style="thin">
        <color rgb="FFAAAAAA"/>
      </bottom>
      <diagonal/>
    </border>
    <border>
      <left/>
      <right style="thin">
        <color rgb="FF000000"/>
      </right>
      <top/>
      <bottom style="thin">
        <color rgb="FFAAAAAA"/>
      </bottom>
      <diagonal/>
    </border>
    <border>
      <left/>
      <right style="thin">
        <color rgb="FFAAAAAA"/>
      </right>
      <top/>
      <bottom style="thin">
        <color rgb="FFAAAAAA"/>
      </bottom>
      <diagonal/>
    </border>
    <border>
      <left style="thin">
        <color rgb="FFAAAAAA"/>
      </left>
      <right style="thin">
        <color rgb="FFAAAAAA"/>
      </right>
      <top style="thin">
        <color rgb="FF000000"/>
      </top>
      <bottom style="thin">
        <color rgb="FF000000"/>
      </bottom>
      <diagonal/>
    </border>
    <border>
      <left/>
      <right style="thin">
        <color rgb="FFAAAAAA"/>
      </right>
      <top style="thin">
        <color rgb="FF000000"/>
      </top>
      <bottom style="thin">
        <color rgb="FFAAAAAA"/>
      </bottom>
      <diagonal/>
    </border>
    <border>
      <left/>
      <right style="thin">
        <color rgb="FFAAAAAA"/>
      </right>
      <top/>
      <bottom/>
      <diagonal/>
    </border>
    <border>
      <left/>
      <right/>
      <top style="thin">
        <color rgb="FF000000"/>
      </top>
      <bottom/>
      <diagonal/>
    </border>
    <border>
      <left style="thin">
        <color rgb="FFAAAAAA"/>
      </left>
      <right style="thin">
        <color rgb="FF000000"/>
      </right>
      <top/>
      <bottom style="thin">
        <color rgb="FFAAAAAA"/>
      </bottom>
      <diagonal/>
    </border>
    <border>
      <left style="thin">
        <color rgb="FFAAAAAA"/>
      </left>
      <right style="thin">
        <color rgb="FFAAAAAA"/>
      </right>
      <top style="thin">
        <color rgb="FFAAAAAA"/>
      </top>
      <bottom style="thin">
        <color rgb="FF000000"/>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AAAAAA"/>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style="thin">
        <color rgb="FFAAAAAA"/>
      </left>
      <right style="thin">
        <color rgb="FF000000"/>
      </right>
      <top style="thin">
        <color rgb="FF000000"/>
      </top>
      <bottom style="thin">
        <color rgb="FFAAAAAA"/>
      </bottom>
      <diagonal/>
    </border>
    <border>
      <left style="thin">
        <color rgb="FFAAAAAA"/>
      </left>
      <right style="thin">
        <color rgb="FF000000"/>
      </right>
      <top style="thin">
        <color rgb="FFAAAAAA"/>
      </top>
      <bottom style="thin">
        <color rgb="FFAAAAAA"/>
      </bottom>
      <diagonal/>
    </border>
    <border>
      <left style="thin">
        <color rgb="FF000000"/>
      </left>
      <right style="thin">
        <color rgb="FF000000"/>
      </right>
      <top style="thin">
        <color rgb="FFAAAAAA"/>
      </top>
      <bottom style="thin">
        <color rgb="FFAAAAAA"/>
      </bottom>
      <diagonal/>
    </border>
    <border>
      <left style="thin">
        <color rgb="FF000000"/>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000000"/>
      </bottom>
      <diagonal/>
    </border>
    <border>
      <left style="thin">
        <color rgb="FF000000"/>
      </left>
      <right style="thin">
        <color rgb="FF000000"/>
      </right>
      <top style="thin">
        <color rgb="FFAAAAAA"/>
      </top>
      <bottom style="thin">
        <color rgb="FF000000"/>
      </bottom>
      <diagonal/>
    </border>
    <border>
      <left style="thin">
        <color rgb="FF000000"/>
      </left>
      <right style="thin">
        <color rgb="FFAAAAAA"/>
      </right>
      <top style="thin">
        <color rgb="FF000000"/>
      </top>
      <bottom style="thin">
        <color rgb="FF000000"/>
      </bottom>
      <diagonal/>
    </border>
    <border>
      <left style="thin">
        <color rgb="FF000000"/>
      </left>
      <right style="thin">
        <color rgb="FF000000"/>
      </right>
      <top style="thin">
        <color rgb="FF000000"/>
      </top>
      <bottom style="thin">
        <color rgb="FFAAAAAA"/>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8">
    <xf numFmtId="0" fontId="0" fillId="0" borderId="0"/>
    <xf numFmtId="0" fontId="36" fillId="26" borderId="0" applyNumberFormat="0" applyBorder="0" applyAlignment="0" applyProtection="0">
      <alignment vertical="center"/>
    </xf>
    <xf numFmtId="0" fontId="37" fillId="32" borderId="0" applyNumberFormat="0" applyBorder="0" applyAlignment="0" applyProtection="0">
      <alignment vertical="center"/>
    </xf>
    <xf numFmtId="0" fontId="36" fillId="30" borderId="0" applyNumberFormat="0" applyBorder="0" applyAlignment="0" applyProtection="0">
      <alignment vertical="center"/>
    </xf>
    <xf numFmtId="0" fontId="36" fillId="33" borderId="0" applyNumberFormat="0" applyBorder="0" applyAlignment="0" applyProtection="0">
      <alignment vertical="center"/>
    </xf>
    <xf numFmtId="0" fontId="37" fillId="19" borderId="0" applyNumberFormat="0" applyBorder="0" applyAlignment="0" applyProtection="0">
      <alignment vertical="center"/>
    </xf>
    <xf numFmtId="0" fontId="37" fillId="34" borderId="0" applyNumberFormat="0" applyBorder="0" applyAlignment="0" applyProtection="0">
      <alignment vertical="center"/>
    </xf>
    <xf numFmtId="0" fontId="36" fillId="37" borderId="0" applyNumberFormat="0" applyBorder="0" applyAlignment="0" applyProtection="0">
      <alignment vertical="center"/>
    </xf>
    <xf numFmtId="0" fontId="36" fillId="35" borderId="0" applyNumberFormat="0" applyBorder="0" applyAlignment="0" applyProtection="0">
      <alignment vertical="center"/>
    </xf>
    <xf numFmtId="0" fontId="37" fillId="31" borderId="0" applyNumberFormat="0" applyBorder="0" applyAlignment="0" applyProtection="0">
      <alignment vertical="center"/>
    </xf>
    <xf numFmtId="0" fontId="36" fillId="8" borderId="0" applyNumberFormat="0" applyBorder="0" applyAlignment="0" applyProtection="0">
      <alignment vertical="center"/>
    </xf>
    <xf numFmtId="0" fontId="50" fillId="0" borderId="39" applyNumberFormat="0" applyFill="0" applyAlignment="0" applyProtection="0">
      <alignment vertical="center"/>
    </xf>
    <xf numFmtId="0" fontId="37" fillId="36" borderId="0" applyNumberFormat="0" applyBorder="0" applyAlignment="0" applyProtection="0">
      <alignment vertical="center"/>
    </xf>
    <xf numFmtId="0" fontId="36" fillId="27" borderId="0" applyNumberFormat="0" applyBorder="0" applyAlignment="0" applyProtection="0">
      <alignment vertical="center"/>
    </xf>
    <xf numFmtId="0" fontId="36" fillId="22" borderId="0" applyNumberFormat="0" applyBorder="0" applyAlignment="0" applyProtection="0">
      <alignment vertical="center"/>
    </xf>
    <xf numFmtId="0" fontId="37" fillId="24" borderId="0" applyNumberFormat="0" applyBorder="0" applyAlignment="0" applyProtection="0">
      <alignment vertical="center"/>
    </xf>
    <xf numFmtId="0" fontId="37" fillId="23" borderId="0" applyNumberFormat="0" applyBorder="0" applyAlignment="0" applyProtection="0">
      <alignment vertical="center"/>
    </xf>
    <xf numFmtId="0" fontId="36" fillId="20" borderId="0" applyNumberFormat="0" applyBorder="0" applyAlignment="0" applyProtection="0">
      <alignment vertical="center"/>
    </xf>
    <xf numFmtId="0" fontId="37" fillId="18" borderId="0" applyNumberFormat="0" applyBorder="0" applyAlignment="0" applyProtection="0">
      <alignment vertical="center"/>
    </xf>
    <xf numFmtId="0" fontId="37" fillId="38" borderId="0" applyNumberFormat="0" applyBorder="0" applyAlignment="0" applyProtection="0">
      <alignment vertical="center"/>
    </xf>
    <xf numFmtId="0" fontId="36" fillId="25" borderId="0" applyNumberFormat="0" applyBorder="0" applyAlignment="0" applyProtection="0">
      <alignment vertical="center"/>
    </xf>
    <xf numFmtId="0" fontId="47" fillId="16" borderId="0" applyNumberFormat="0" applyBorder="0" applyAlignment="0" applyProtection="0">
      <alignment vertical="center"/>
    </xf>
    <xf numFmtId="0" fontId="36" fillId="17" borderId="0" applyNumberFormat="0" applyBorder="0" applyAlignment="0" applyProtection="0">
      <alignment vertical="center"/>
    </xf>
    <xf numFmtId="0" fontId="51" fillId="29" borderId="0" applyNumberFormat="0" applyBorder="0" applyAlignment="0" applyProtection="0">
      <alignment vertical="center"/>
    </xf>
    <xf numFmtId="0" fontId="37" fillId="15" borderId="0" applyNumberFormat="0" applyBorder="0" applyAlignment="0" applyProtection="0">
      <alignment vertical="center"/>
    </xf>
    <xf numFmtId="0" fontId="45" fillId="0" borderId="37" applyNumberFormat="0" applyFill="0" applyAlignment="0" applyProtection="0">
      <alignment vertical="center"/>
    </xf>
    <xf numFmtId="0" fontId="44" fillId="11" borderId="36" applyNumberFormat="0" applyAlignment="0" applyProtection="0">
      <alignment vertical="center"/>
    </xf>
    <xf numFmtId="44" fontId="35" fillId="0" borderId="0" applyFont="0" applyFill="0" applyBorder="0" applyAlignment="0" applyProtection="0">
      <alignment vertical="center"/>
    </xf>
    <xf numFmtId="0" fontId="37" fillId="21" borderId="0" applyNumberFormat="0" applyBorder="0" applyAlignment="0" applyProtection="0">
      <alignment vertical="center"/>
    </xf>
    <xf numFmtId="0" fontId="35" fillId="13" borderId="34" applyNumberFormat="0" applyFont="0" applyAlignment="0" applyProtection="0">
      <alignment vertical="center"/>
    </xf>
    <xf numFmtId="0" fontId="41" fillId="12" borderId="33" applyNumberFormat="0" applyAlignment="0" applyProtection="0">
      <alignment vertical="center"/>
    </xf>
    <xf numFmtId="0" fontId="46" fillId="0" borderId="0" applyNumberFormat="0" applyFill="0" applyBorder="0" applyAlignment="0" applyProtection="0">
      <alignment vertical="center"/>
    </xf>
    <xf numFmtId="0" fontId="40" fillId="11" borderId="33" applyNumberFormat="0" applyAlignment="0" applyProtection="0">
      <alignment vertical="center"/>
    </xf>
    <xf numFmtId="0" fontId="38" fillId="10" borderId="0" applyNumberFormat="0" applyBorder="0" applyAlignment="0" applyProtection="0">
      <alignment vertical="center"/>
    </xf>
    <xf numFmtId="0" fontId="46" fillId="0" borderId="38" applyNumberFormat="0" applyFill="0" applyAlignment="0" applyProtection="0">
      <alignment vertical="center"/>
    </xf>
    <xf numFmtId="0" fontId="48" fillId="0" borderId="0" applyNumberFormat="0" applyFill="0" applyBorder="0" applyAlignment="0" applyProtection="0">
      <alignment vertical="center"/>
    </xf>
    <xf numFmtId="0" fontId="49" fillId="0" borderId="32" applyNumberFormat="0" applyFill="0" applyAlignment="0" applyProtection="0">
      <alignment vertical="center"/>
    </xf>
    <xf numFmtId="41" fontId="35" fillId="0" borderId="0" applyFont="0" applyFill="0" applyBorder="0" applyAlignment="0" applyProtection="0">
      <alignment vertical="center"/>
    </xf>
    <xf numFmtId="0" fontId="37" fillId="9" borderId="0" applyNumberFormat="0" applyBorder="0" applyAlignment="0" applyProtection="0">
      <alignment vertical="center"/>
    </xf>
    <xf numFmtId="0" fontId="43" fillId="0" borderId="0" applyNumberFormat="0" applyFill="0" applyBorder="0" applyAlignment="0" applyProtection="0">
      <alignment vertical="center"/>
    </xf>
    <xf numFmtId="42" fontId="35" fillId="0" borderId="0" applyFont="0" applyFill="0" applyBorder="0" applyAlignment="0" applyProtection="0">
      <alignment vertical="center"/>
    </xf>
    <xf numFmtId="0" fontId="52" fillId="0" borderId="0" applyNumberFormat="0" applyFill="0" applyBorder="0" applyAlignment="0" applyProtection="0">
      <alignment vertical="center"/>
    </xf>
    <xf numFmtId="0" fontId="39" fillId="0" borderId="32" applyNumberFormat="0" applyFill="0" applyAlignment="0" applyProtection="0">
      <alignment vertical="center"/>
    </xf>
    <xf numFmtId="43" fontId="35" fillId="0" borderId="0" applyFont="0" applyFill="0" applyBorder="0" applyAlignment="0" applyProtection="0">
      <alignment vertical="center"/>
    </xf>
    <xf numFmtId="0" fontId="42" fillId="14" borderId="35" applyNumberFormat="0" applyAlignment="0" applyProtection="0">
      <alignment vertical="center"/>
    </xf>
    <xf numFmtId="0" fontId="36" fillId="28" borderId="0" applyNumberFormat="0" applyBorder="0" applyAlignment="0" applyProtection="0">
      <alignment vertical="center"/>
    </xf>
    <xf numFmtId="9" fontId="35" fillId="0" borderId="0" applyFont="0" applyFill="0" applyBorder="0" applyAlignment="0" applyProtection="0">
      <alignment vertical="center"/>
    </xf>
    <xf numFmtId="0" fontId="13" fillId="0" borderId="0" applyNumberFormat="0" applyFill="0" applyBorder="0" applyAlignment="0" applyProtection="0"/>
  </cellStyleXfs>
  <cellXfs count="232">
    <xf numFmtId="0" fontId="0" fillId="0" borderId="0" xfId="0" applyFont="1" applyAlignment="1"/>
    <xf numFmtId="0" fontId="1" fillId="0" borderId="0" xfId="0" applyFont="1" applyAlignment="1">
      <alignment horizontal="left"/>
    </xf>
    <xf numFmtId="0" fontId="0" fillId="0" borderId="0" xfId="0" applyFont="1"/>
    <xf numFmtId="0" fontId="2" fillId="0" borderId="1" xfId="0" applyFont="1" applyBorder="1" applyAlignment="1">
      <alignment horizontal="left"/>
    </xf>
    <xf numFmtId="0" fontId="1" fillId="0" borderId="1" xfId="0" applyFont="1" applyBorder="1"/>
    <xf numFmtId="0" fontId="2" fillId="0" borderId="1" xfId="0" applyFont="1" applyBorder="1"/>
    <xf numFmtId="0" fontId="0" fillId="0" borderId="0" xfId="0" applyFont="1" applyAlignment="1">
      <alignment horizontal="left"/>
    </xf>
    <xf numFmtId="0" fontId="0" fillId="0" borderId="1" xfId="0" applyFont="1" applyBorder="1"/>
    <xf numFmtId="3" fontId="0" fillId="0" borderId="0" xfId="0" applyNumberFormat="1" applyFont="1"/>
    <xf numFmtId="0" fontId="3" fillId="0" borderId="0" xfId="0" applyFont="1"/>
    <xf numFmtId="49" fontId="0" fillId="2" borderId="2" xfId="0" applyNumberFormat="1" applyFont="1" applyFill="1" applyBorder="1"/>
    <xf numFmtId="49" fontId="0" fillId="2" borderId="0" xfId="0" applyNumberFormat="1" applyFont="1" applyFill="1" applyBorder="1"/>
    <xf numFmtId="0" fontId="4" fillId="0" borderId="0" xfId="0" applyFont="1"/>
    <xf numFmtId="49" fontId="0" fillId="2" borderId="3" xfId="0" applyNumberFormat="1" applyFont="1" applyFill="1" applyBorder="1"/>
    <xf numFmtId="3" fontId="0" fillId="2" borderId="3" xfId="0" applyNumberFormat="1" applyFont="1" applyFill="1" applyBorder="1"/>
    <xf numFmtId="0" fontId="1" fillId="2" borderId="0" xfId="0" applyFont="1" applyFill="1" applyBorder="1"/>
    <xf numFmtId="0" fontId="1" fillId="0" borderId="0" xfId="0" applyFont="1"/>
    <xf numFmtId="0" fontId="1" fillId="2" borderId="4" xfId="0" applyFont="1" applyFill="1" applyBorder="1"/>
    <xf numFmtId="0" fontId="1" fillId="0" borderId="5" xfId="0" applyFont="1" applyBorder="1"/>
    <xf numFmtId="0" fontId="0" fillId="2" borderId="5" xfId="0" applyFont="1" applyFill="1" applyBorder="1"/>
    <xf numFmtId="0" fontId="0" fillId="2" borderId="0" xfId="0" applyFont="1" applyFill="1" applyBorder="1"/>
    <xf numFmtId="0" fontId="0" fillId="2" borderId="6" xfId="0" applyFont="1" applyFill="1" applyBorder="1"/>
    <xf numFmtId="0" fontId="0" fillId="2" borderId="7" xfId="0" applyFont="1" applyFill="1" applyBorder="1"/>
    <xf numFmtId="0" fontId="0" fillId="2" borderId="0" xfId="0" applyFont="1" applyFill="1" applyBorder="1" applyAlignment="1">
      <alignment horizontal="right"/>
    </xf>
    <xf numFmtId="0" fontId="3" fillId="2" borderId="0" xfId="0" applyFont="1" applyFill="1" applyBorder="1"/>
    <xf numFmtId="0" fontId="0" fillId="2" borderId="8" xfId="0" applyFont="1" applyFill="1" applyBorder="1"/>
    <xf numFmtId="0" fontId="0" fillId="2" borderId="9" xfId="0" applyFont="1" applyFill="1" applyBorder="1"/>
    <xf numFmtId="0" fontId="5" fillId="0" borderId="0" xfId="0" applyFont="1"/>
    <xf numFmtId="0" fontId="3" fillId="2" borderId="9" xfId="0" applyFont="1" applyFill="1" applyBorder="1"/>
    <xf numFmtId="0" fontId="3" fillId="2" borderId="5" xfId="0" applyFont="1" applyFill="1" applyBorder="1"/>
    <xf numFmtId="0" fontId="0" fillId="2" borderId="10" xfId="0" applyFont="1" applyFill="1" applyBorder="1"/>
    <xf numFmtId="0" fontId="0" fillId="2" borderId="11" xfId="0" applyFont="1" applyFill="1" applyBorder="1"/>
    <xf numFmtId="0" fontId="0" fillId="2" borderId="11" xfId="0" applyFont="1" applyFill="1" applyBorder="1" applyAlignment="1">
      <alignment horizontal="right"/>
    </xf>
    <xf numFmtId="3" fontId="0" fillId="2" borderId="0" xfId="0" applyNumberFormat="1" applyFont="1" applyFill="1" applyBorder="1" applyAlignment="1">
      <alignment horizontal="right"/>
    </xf>
    <xf numFmtId="0" fontId="3" fillId="2" borderId="11" xfId="0" applyFont="1" applyFill="1" applyBorder="1"/>
    <xf numFmtId="0" fontId="0" fillId="2" borderId="2" xfId="0" applyFont="1" applyFill="1" applyBorder="1"/>
    <xf numFmtId="0" fontId="0" fillId="2" borderId="12" xfId="0" applyFont="1" applyFill="1" applyBorder="1"/>
    <xf numFmtId="0" fontId="0" fillId="0" borderId="13" xfId="0" applyFont="1" applyBorder="1"/>
    <xf numFmtId="58" fontId="6" fillId="0" borderId="0" xfId="0" applyNumberFormat="1" applyFont="1"/>
    <xf numFmtId="0" fontId="6" fillId="0" borderId="0" xfId="0" applyFont="1"/>
    <xf numFmtId="8" fontId="6" fillId="0" borderId="0" xfId="0" applyNumberFormat="1" applyFont="1"/>
    <xf numFmtId="0" fontId="0" fillId="2" borderId="14" xfId="0" applyFont="1" applyFill="1" applyBorder="1"/>
    <xf numFmtId="0" fontId="0" fillId="2" borderId="9" xfId="0" applyFont="1" applyFill="1" applyBorder="1" applyAlignment="1">
      <alignment horizontal="right"/>
    </xf>
    <xf numFmtId="0" fontId="3" fillId="2" borderId="6" xfId="0" applyFont="1" applyFill="1" applyBorder="1"/>
    <xf numFmtId="0" fontId="7" fillId="0" borderId="0" xfId="0" applyFont="1" applyAlignment="1">
      <alignment wrapText="1"/>
    </xf>
    <xf numFmtId="0" fontId="8" fillId="0" borderId="0" xfId="0" applyFont="1"/>
    <xf numFmtId="0" fontId="7" fillId="3" borderId="0" xfId="0" applyFont="1" applyFill="1" applyBorder="1"/>
    <xf numFmtId="0" fontId="7" fillId="4" borderId="0" xfId="0" applyFont="1" applyFill="1" applyBorder="1"/>
    <xf numFmtId="0" fontId="9" fillId="4" borderId="0" xfId="0" applyFont="1" applyFill="1" applyBorder="1"/>
    <xf numFmtId="0" fontId="0" fillId="0" borderId="15" xfId="0" applyFont="1" applyBorder="1"/>
    <xf numFmtId="49" fontId="1" fillId="2" borderId="1" xfId="0" applyNumberFormat="1" applyFont="1" applyFill="1" applyBorder="1" applyAlignment="1">
      <alignment horizontal="left" wrapText="1"/>
    </xf>
    <xf numFmtId="49" fontId="1" fillId="2" borderId="1" xfId="0" applyNumberFormat="1" applyFont="1" applyFill="1" applyBorder="1" applyAlignment="1">
      <alignment wrapText="1"/>
    </xf>
    <xf numFmtId="49" fontId="0" fillId="2" borderId="1" xfId="0" applyNumberFormat="1" applyFont="1" applyFill="1" applyBorder="1"/>
    <xf numFmtId="177" fontId="0" fillId="2" borderId="1" xfId="0" applyNumberFormat="1" applyFont="1" applyFill="1" applyBorder="1"/>
    <xf numFmtId="49" fontId="3" fillId="2" borderId="1" xfId="0" applyNumberFormat="1" applyFont="1" applyFill="1" applyBorder="1"/>
    <xf numFmtId="0" fontId="10" fillId="0" borderId="0" xfId="0" applyFont="1" applyAlignment="1"/>
    <xf numFmtId="49" fontId="1" fillId="2" borderId="3" xfId="0" applyNumberFormat="1" applyFont="1" applyFill="1" applyBorder="1" applyAlignment="1">
      <alignment horizontal="left"/>
    </xf>
    <xf numFmtId="0" fontId="0" fillId="0" borderId="3" xfId="0" applyFont="1" applyBorder="1"/>
    <xf numFmtId="49" fontId="1" fillId="2" borderId="15" xfId="0" applyNumberFormat="1" applyFont="1" applyFill="1" applyBorder="1" applyAlignment="1">
      <alignment horizontal="left"/>
    </xf>
    <xf numFmtId="49" fontId="0" fillId="2" borderId="15" xfId="0" applyNumberFormat="1" applyFont="1" applyFill="1" applyBorder="1"/>
    <xf numFmtId="49" fontId="1" fillId="2" borderId="1" xfId="0" applyNumberFormat="1" applyFont="1" applyFill="1" applyBorder="1" applyAlignment="1">
      <alignment horizontal="left"/>
    </xf>
    <xf numFmtId="49" fontId="1" fillId="2" borderId="1" xfId="0" applyNumberFormat="1" applyFont="1" applyFill="1" applyBorder="1"/>
    <xf numFmtId="49" fontId="0" fillId="2" borderId="16" xfId="0" applyNumberFormat="1" applyFont="1" applyFill="1" applyBorder="1"/>
    <xf numFmtId="49" fontId="0" fillId="2" borderId="17" xfId="0" applyNumberFormat="1" applyFont="1" applyFill="1" applyBorder="1"/>
    <xf numFmtId="49" fontId="0" fillId="2" borderId="3" xfId="0" applyNumberFormat="1" applyFont="1" applyFill="1" applyBorder="1" applyAlignment="1">
      <alignment horizontal="left"/>
    </xf>
    <xf numFmtId="0" fontId="0" fillId="2" borderId="3" xfId="0" applyFont="1" applyFill="1" applyBorder="1"/>
    <xf numFmtId="49" fontId="10" fillId="2" borderId="3" xfId="0" applyNumberFormat="1" applyFont="1" applyFill="1" applyBorder="1"/>
    <xf numFmtId="0" fontId="10" fillId="0" borderId="3" xfId="0" applyFont="1" applyBorder="1"/>
    <xf numFmtId="49" fontId="3" fillId="2" borderId="3" xfId="0" applyNumberFormat="1" applyFont="1" applyFill="1" applyBorder="1"/>
    <xf numFmtId="0" fontId="10" fillId="0" borderId="0" xfId="0" applyFont="1"/>
    <xf numFmtId="49" fontId="0" fillId="2" borderId="10" xfId="0" applyNumberFormat="1" applyFont="1" applyFill="1" applyBorder="1"/>
    <xf numFmtId="3" fontId="0" fillId="2" borderId="17" xfId="0" applyNumberFormat="1" applyFont="1" applyFill="1" applyBorder="1"/>
    <xf numFmtId="0" fontId="0" fillId="0" borderId="3" xfId="0" applyFont="1" applyBorder="1" applyAlignment="1"/>
    <xf numFmtId="49" fontId="11" fillId="2" borderId="3" xfId="0" applyNumberFormat="1" applyFont="1" applyFill="1" applyBorder="1"/>
    <xf numFmtId="49" fontId="12" fillId="2" borderId="3" xfId="0" applyNumberFormat="1" applyFont="1" applyFill="1" applyBorder="1"/>
    <xf numFmtId="49" fontId="13" fillId="2" borderId="3" xfId="47" applyNumberFormat="1" applyFill="1" applyBorder="1"/>
    <xf numFmtId="49" fontId="0" fillId="2" borderId="2" xfId="0" applyNumberFormat="1" applyFont="1" applyFill="1" applyBorder="1" applyAlignment="1">
      <alignment horizontal="left"/>
    </xf>
    <xf numFmtId="49" fontId="0" fillId="2" borderId="7" xfId="0" applyNumberFormat="1" applyFont="1" applyFill="1" applyBorder="1" applyAlignment="1">
      <alignment horizontal="left"/>
    </xf>
    <xf numFmtId="49" fontId="0" fillId="2" borderId="2" xfId="0" applyNumberFormat="1" applyFont="1" applyFill="1" applyBorder="1" applyAlignment="1"/>
    <xf numFmtId="0" fontId="14" fillId="0" borderId="0" xfId="0" applyFont="1" applyAlignment="1"/>
    <xf numFmtId="49" fontId="15" fillId="2" borderId="0" xfId="0" applyNumberFormat="1" applyFont="1" applyFill="1" applyBorder="1" applyAlignment="1">
      <alignment horizontal="left"/>
    </xf>
    <xf numFmtId="49" fontId="0" fillId="2" borderId="18" xfId="0" applyNumberFormat="1" applyFont="1" applyFill="1" applyBorder="1"/>
    <xf numFmtId="0" fontId="6" fillId="0" borderId="13" xfId="0" applyFont="1" applyBorder="1"/>
    <xf numFmtId="49" fontId="0" fillId="2" borderId="19" xfId="0" applyNumberFormat="1" applyFont="1" applyFill="1" applyBorder="1"/>
    <xf numFmtId="49" fontId="0" fillId="2" borderId="20" xfId="0" applyNumberFormat="1" applyFont="1" applyFill="1" applyBorder="1"/>
    <xf numFmtId="0" fontId="6" fillId="0" borderId="21" xfId="0" applyFont="1" applyBorder="1"/>
    <xf numFmtId="3" fontId="0" fillId="2" borderId="20" xfId="0" applyNumberFormat="1" applyFont="1" applyFill="1" applyBorder="1"/>
    <xf numFmtId="49" fontId="14" fillId="2" borderId="0" xfId="0" applyNumberFormat="1" applyFont="1" applyFill="1" applyBorder="1" applyAlignment="1">
      <alignment horizontal="left"/>
    </xf>
    <xf numFmtId="0" fontId="6" fillId="0" borderId="22" xfId="0" applyFont="1" applyBorder="1"/>
    <xf numFmtId="49" fontId="3" fillId="2" borderId="18" xfId="0" applyNumberFormat="1" applyFont="1" applyFill="1" applyBorder="1"/>
    <xf numFmtId="49" fontId="6" fillId="0" borderId="23" xfId="0" applyNumberFormat="1" applyFont="1" applyBorder="1"/>
    <xf numFmtId="49" fontId="3" fillId="2" borderId="20" xfId="0" applyNumberFormat="1" applyFont="1" applyFill="1" applyBorder="1"/>
    <xf numFmtId="49" fontId="3" fillId="0" borderId="21" xfId="0" applyNumberFormat="1" applyFont="1" applyBorder="1"/>
    <xf numFmtId="49" fontId="6" fillId="0" borderId="20" xfId="0" applyNumberFormat="1" applyFont="1" applyBorder="1"/>
    <xf numFmtId="0" fontId="3" fillId="0" borderId="3" xfId="0" applyFont="1" applyBorder="1"/>
    <xf numFmtId="49" fontId="3" fillId="2" borderId="17" xfId="0" applyNumberFormat="1" applyFont="1" applyFill="1" applyBorder="1"/>
    <xf numFmtId="49" fontId="16" fillId="2" borderId="3" xfId="0" applyNumberFormat="1" applyFont="1" applyFill="1" applyBorder="1"/>
    <xf numFmtId="49" fontId="17" fillId="2" borderId="3" xfId="0" applyNumberFormat="1" applyFont="1" applyFill="1" applyBorder="1"/>
    <xf numFmtId="0" fontId="0" fillId="0" borderId="17" xfId="0" applyFont="1" applyBorder="1"/>
    <xf numFmtId="49" fontId="18" fillId="0" borderId="0" xfId="0" applyNumberFormat="1" applyFont="1"/>
    <xf numFmtId="49" fontId="19" fillId="2" borderId="3" xfId="0" applyNumberFormat="1" applyFont="1" applyFill="1" applyBorder="1"/>
    <xf numFmtId="49" fontId="14" fillId="2" borderId="3" xfId="0" applyNumberFormat="1" applyFont="1" applyFill="1" applyBorder="1"/>
    <xf numFmtId="0" fontId="0" fillId="0" borderId="13" xfId="0" applyFont="1" applyBorder="1" applyAlignment="1"/>
    <xf numFmtId="0" fontId="0" fillId="0" borderId="6" xfId="0" applyFont="1" applyBorder="1"/>
    <xf numFmtId="49" fontId="1" fillId="2" borderId="4" xfId="0" applyNumberFormat="1" applyFont="1" applyFill="1" applyBorder="1" applyAlignment="1">
      <alignment horizontal="left"/>
    </xf>
    <xf numFmtId="0" fontId="0" fillId="0" borderId="5" xfId="0" applyFont="1" applyBorder="1"/>
    <xf numFmtId="49" fontId="0" fillId="2" borderId="5" xfId="0" applyNumberFormat="1" applyFont="1" applyFill="1" applyBorder="1"/>
    <xf numFmtId="49" fontId="1" fillId="2" borderId="19" xfId="0" applyNumberFormat="1" applyFont="1" applyFill="1" applyBorder="1" applyAlignment="1">
      <alignment horizontal="left"/>
    </xf>
    <xf numFmtId="49" fontId="1" fillId="2" borderId="20" xfId="0" applyNumberFormat="1" applyFont="1" applyFill="1" applyBorder="1"/>
    <xf numFmtId="49" fontId="0" fillId="2" borderId="4" xfId="0" applyNumberFormat="1" applyFont="1" applyFill="1" applyBorder="1"/>
    <xf numFmtId="49" fontId="0" fillId="2" borderId="9" xfId="0" applyNumberFormat="1" applyFont="1" applyFill="1" applyBorder="1"/>
    <xf numFmtId="0" fontId="0" fillId="0" borderId="9" xfId="0" applyFont="1" applyBorder="1"/>
    <xf numFmtId="49" fontId="0" fillId="2" borderId="7" xfId="0" applyNumberFormat="1" applyFont="1" applyFill="1" applyBorder="1"/>
    <xf numFmtId="3" fontId="0" fillId="2" borderId="9" xfId="0" applyNumberFormat="1" applyFont="1" applyFill="1" applyBorder="1"/>
    <xf numFmtId="49" fontId="11" fillId="2" borderId="12" xfId="0" applyNumberFormat="1" applyFont="1" applyFill="1" applyBorder="1"/>
    <xf numFmtId="49" fontId="20" fillId="2" borderId="7" xfId="0" applyNumberFormat="1" applyFont="1" applyFill="1" applyBorder="1" applyAlignment="1">
      <alignment horizontal="left"/>
    </xf>
    <xf numFmtId="49" fontId="20" fillId="2" borderId="9" xfId="0" applyNumberFormat="1" applyFont="1" applyFill="1" applyBorder="1"/>
    <xf numFmtId="0" fontId="20" fillId="2" borderId="9" xfId="0" applyFont="1" applyFill="1" applyBorder="1"/>
    <xf numFmtId="49" fontId="14" fillId="2" borderId="9" xfId="0" applyNumberFormat="1" applyFont="1" applyFill="1" applyBorder="1"/>
    <xf numFmtId="49" fontId="11" fillId="2" borderId="9" xfId="0" applyNumberFormat="1" applyFont="1" applyFill="1" applyBorder="1"/>
    <xf numFmtId="0" fontId="21" fillId="0" borderId="0" xfId="0" applyFont="1"/>
    <xf numFmtId="49" fontId="20" fillId="2" borderId="3" xfId="0" applyNumberFormat="1" applyFont="1" applyFill="1" applyBorder="1" applyAlignment="1">
      <alignment horizontal="left"/>
    </xf>
    <xf numFmtId="49" fontId="20" fillId="2" borderId="3" xfId="0" applyNumberFormat="1" applyFont="1" applyFill="1" applyBorder="1"/>
    <xf numFmtId="0" fontId="20" fillId="2" borderId="3" xfId="0" applyFont="1" applyFill="1" applyBorder="1"/>
    <xf numFmtId="0" fontId="20" fillId="0" borderId="0" xfId="0" applyFont="1"/>
    <xf numFmtId="0" fontId="0" fillId="5" borderId="0" xfId="0" applyFont="1" applyFill="1" applyBorder="1"/>
    <xf numFmtId="0" fontId="0" fillId="6" borderId="0" xfId="0" applyFont="1" applyFill="1" applyBorder="1"/>
    <xf numFmtId="0" fontId="14" fillId="0" borderId="0" xfId="0" applyFont="1"/>
    <xf numFmtId="0" fontId="11" fillId="0" borderId="0" xfId="0" applyFont="1"/>
    <xf numFmtId="0" fontId="1" fillId="0" borderId="18" xfId="0" applyFont="1" applyBorder="1" applyAlignment="1"/>
    <xf numFmtId="0" fontId="2" fillId="0" borderId="18" xfId="0" applyFont="1" applyBorder="1" applyAlignment="1"/>
    <xf numFmtId="0" fontId="0" fillId="0" borderId="1" xfId="0" applyFont="1" applyBorder="1" applyAlignment="1"/>
    <xf numFmtId="3" fontId="0" fillId="0" borderId="0" xfId="0" applyNumberFormat="1" applyFont="1" applyAlignment="1"/>
    <xf numFmtId="0" fontId="13" fillId="0" borderId="0" xfId="47" applyAlignment="1"/>
    <xf numFmtId="0" fontId="3" fillId="0" borderId="0" xfId="0" applyFont="1" applyAlignment="1"/>
    <xf numFmtId="49" fontId="0" fillId="2" borderId="3" xfId="0" applyNumberFormat="1" applyFont="1" applyFill="1" applyBorder="1" applyAlignment="1"/>
    <xf numFmtId="49" fontId="0" fillId="2" borderId="6" xfId="0" applyNumberFormat="1" applyFont="1" applyFill="1" applyBorder="1" applyAlignment="1"/>
    <xf numFmtId="0" fontId="0" fillId="2" borderId="6" xfId="0" applyFont="1" applyFill="1" applyBorder="1" applyAlignment="1"/>
    <xf numFmtId="49" fontId="11" fillId="2" borderId="6" xfId="0" applyNumberFormat="1" applyFont="1" applyFill="1" applyBorder="1" applyAlignment="1"/>
    <xf numFmtId="49" fontId="0" fillId="2" borderId="12" xfId="0" applyNumberFormat="1" applyFont="1" applyFill="1" applyBorder="1" applyAlignment="1"/>
    <xf numFmtId="49" fontId="0" fillId="2" borderId="0" xfId="0" applyNumberFormat="1" applyFont="1" applyFill="1" applyAlignment="1"/>
    <xf numFmtId="0" fontId="4" fillId="0" borderId="0" xfId="0" applyFont="1" applyAlignment="1"/>
    <xf numFmtId="3" fontId="0" fillId="2" borderId="6" xfId="0" applyNumberFormat="1" applyFont="1" applyFill="1" applyBorder="1" applyAlignment="1"/>
    <xf numFmtId="58" fontId="6" fillId="0" borderId="0" xfId="0" applyNumberFormat="1" applyFont="1" applyAlignment="1"/>
    <xf numFmtId="0" fontId="6" fillId="0" borderId="0" xfId="0" applyFont="1" applyAlignment="1"/>
    <xf numFmtId="8" fontId="6" fillId="0" borderId="0" xfId="0" applyNumberFormat="1" applyFont="1" applyAlignment="1"/>
    <xf numFmtId="0" fontId="0" fillId="7" borderId="0" xfId="0" applyFont="1" applyFill="1" applyBorder="1"/>
    <xf numFmtId="0" fontId="15" fillId="0" borderId="0" xfId="0" applyFont="1"/>
    <xf numFmtId="0" fontId="0" fillId="0" borderId="0" xfId="0" applyFont="1" applyAlignment="1">
      <alignment wrapText="1"/>
    </xf>
    <xf numFmtId="49" fontId="0" fillId="0" borderId="3" xfId="0" applyNumberFormat="1" applyFont="1" applyBorder="1"/>
    <xf numFmtId="49" fontId="0" fillId="2" borderId="15" xfId="0" applyNumberFormat="1" applyFont="1" applyFill="1" applyBorder="1" applyAlignment="1">
      <alignment horizontal="left"/>
    </xf>
    <xf numFmtId="49" fontId="0" fillId="2" borderId="17" xfId="0" applyNumberFormat="1" applyFont="1" applyFill="1" applyBorder="1" applyAlignment="1">
      <alignment horizontal="left"/>
    </xf>
    <xf numFmtId="49" fontId="22" fillId="2" borderId="3" xfId="0" applyNumberFormat="1" applyFont="1" applyFill="1" applyBorder="1"/>
    <xf numFmtId="49" fontId="23" fillId="2" borderId="3" xfId="0" applyNumberFormat="1" applyFont="1" applyFill="1" applyBorder="1"/>
    <xf numFmtId="49" fontId="24" fillId="2" borderId="3" xfId="0" applyNumberFormat="1" applyFont="1" applyFill="1" applyBorder="1" applyAlignment="1">
      <alignment horizontal="left"/>
    </xf>
    <xf numFmtId="49" fontId="25" fillId="2" borderId="3" xfId="0" applyNumberFormat="1" applyFont="1" applyFill="1" applyBorder="1" applyAlignment="1">
      <alignment horizontal="left"/>
    </xf>
    <xf numFmtId="49" fontId="24" fillId="0" borderId="3" xfId="0" applyNumberFormat="1" applyFont="1" applyBorder="1" applyAlignment="1">
      <alignment horizontal="left"/>
    </xf>
    <xf numFmtId="49" fontId="25" fillId="0" borderId="3" xfId="0" applyNumberFormat="1" applyFont="1" applyBorder="1" applyAlignment="1">
      <alignment horizontal="left"/>
    </xf>
    <xf numFmtId="0" fontId="24" fillId="0" borderId="3" xfId="0" applyFont="1" applyBorder="1" applyAlignment="1">
      <alignment horizontal="left"/>
    </xf>
    <xf numFmtId="0" fontId="25" fillId="0" borderId="3" xfId="0" applyFont="1" applyBorder="1" applyAlignment="1">
      <alignment horizontal="left"/>
    </xf>
    <xf numFmtId="3" fontId="10" fillId="2" borderId="3" xfId="0" applyNumberFormat="1" applyFont="1" applyFill="1" applyBorder="1"/>
    <xf numFmtId="0" fontId="0" fillId="0" borderId="16" xfId="0" applyFont="1" applyBorder="1"/>
    <xf numFmtId="49" fontId="1" fillId="2" borderId="3" xfId="0" applyNumberFormat="1" applyFont="1" applyFill="1" applyBorder="1"/>
    <xf numFmtId="49" fontId="0" fillId="2" borderId="10" xfId="0" applyNumberFormat="1" applyFont="1" applyFill="1" applyBorder="1" applyAlignment="1">
      <alignment horizontal="left"/>
    </xf>
    <xf numFmtId="49" fontId="0" fillId="2" borderId="3" xfId="0" applyNumberFormat="1" applyFont="1" applyFill="1" applyBorder="1" applyAlignment="1">
      <alignment wrapText="1"/>
    </xf>
    <xf numFmtId="49" fontId="0" fillId="2" borderId="16" xfId="0" applyNumberFormat="1" applyFont="1" applyFill="1" applyBorder="1" applyAlignment="1"/>
    <xf numFmtId="49" fontId="3" fillId="2" borderId="3" xfId="0" applyNumberFormat="1" applyFont="1" applyFill="1" applyBorder="1" applyAlignment="1"/>
    <xf numFmtId="0" fontId="3" fillId="0" borderId="3" xfId="0" applyFont="1" applyBorder="1" applyAlignment="1"/>
    <xf numFmtId="3" fontId="0" fillId="2" borderId="6" xfId="0" applyNumberFormat="1" applyFont="1" applyFill="1" applyBorder="1" applyAlignment="1">
      <alignment horizontal="right"/>
    </xf>
    <xf numFmtId="49" fontId="0" fillId="2" borderId="7" xfId="0" applyNumberFormat="1" applyFont="1" applyFill="1" applyBorder="1" applyAlignment="1"/>
    <xf numFmtId="49" fontId="0" fillId="2" borderId="9" xfId="0" applyNumberFormat="1" applyFont="1" applyFill="1" applyBorder="1" applyAlignment="1"/>
    <xf numFmtId="3" fontId="0" fillId="2" borderId="9" xfId="0" applyNumberFormat="1" applyFont="1" applyFill="1" applyBorder="1" applyAlignment="1">
      <alignment horizontal="right"/>
    </xf>
    <xf numFmtId="49" fontId="3" fillId="2" borderId="6" xfId="0" applyNumberFormat="1" applyFont="1" applyFill="1" applyBorder="1" applyAlignment="1"/>
    <xf numFmtId="49" fontId="16" fillId="2" borderId="3" xfId="0" applyNumberFormat="1" applyFont="1" applyFill="1" applyBorder="1" applyAlignment="1"/>
    <xf numFmtId="49" fontId="26" fillId="2" borderId="3" xfId="0" applyNumberFormat="1" applyFont="1" applyFill="1" applyBorder="1"/>
    <xf numFmtId="49" fontId="3" fillId="2" borderId="9" xfId="0" applyNumberFormat="1" applyFont="1" applyFill="1" applyBorder="1" applyAlignment="1"/>
    <xf numFmtId="49" fontId="0" fillId="2" borderId="4" xfId="0" applyNumberFormat="1" applyFont="1" applyFill="1" applyBorder="1" applyAlignment="1"/>
    <xf numFmtId="49" fontId="0" fillId="2" borderId="5" xfId="0" applyNumberFormat="1" applyFont="1" applyFill="1" applyBorder="1" applyAlignment="1"/>
    <xf numFmtId="49" fontId="6" fillId="0" borderId="0" xfId="0" applyNumberFormat="1" applyFont="1" applyAlignment="1"/>
    <xf numFmtId="49" fontId="0" fillId="0" borderId="0" xfId="0" applyNumberFormat="1" applyFont="1" applyAlignment="1"/>
    <xf numFmtId="49" fontId="6" fillId="0" borderId="21" xfId="0" applyNumberFormat="1" applyFont="1" applyBorder="1" applyAlignment="1"/>
    <xf numFmtId="0" fontId="27" fillId="0" borderId="0" xfId="0" applyFont="1"/>
    <xf numFmtId="0" fontId="0" fillId="2" borderId="15" xfId="0" applyFont="1" applyFill="1" applyBorder="1"/>
    <xf numFmtId="49" fontId="0" fillId="2" borderId="24" xfId="0" applyNumberFormat="1" applyFont="1" applyFill="1" applyBorder="1" applyAlignment="1">
      <alignment horizontal="left"/>
    </xf>
    <xf numFmtId="0" fontId="0" fillId="2" borderId="1" xfId="0" applyFont="1" applyFill="1" applyBorder="1"/>
    <xf numFmtId="0" fontId="0" fillId="2" borderId="17" xfId="0" applyFont="1" applyFill="1" applyBorder="1"/>
    <xf numFmtId="49" fontId="0" fillId="2" borderId="25" xfId="0" applyNumberFormat="1" applyFont="1" applyFill="1" applyBorder="1"/>
    <xf numFmtId="49" fontId="0" fillId="2" borderId="1" xfId="0" applyNumberFormat="1" applyFont="1" applyFill="1" applyBorder="1" applyAlignment="1">
      <alignment horizontal="center" vertical="center"/>
    </xf>
    <xf numFmtId="49" fontId="0" fillId="2" borderId="26" xfId="0" applyNumberFormat="1" applyFont="1" applyFill="1" applyBorder="1"/>
    <xf numFmtId="4" fontId="0" fillId="2" borderId="1" xfId="0" applyNumberFormat="1" applyFont="1" applyFill="1" applyBorder="1" applyAlignment="1">
      <alignment horizontal="center" vertical="center"/>
    </xf>
    <xf numFmtId="4" fontId="28" fillId="2" borderId="1" xfId="0" applyNumberFormat="1" applyFont="1" applyFill="1" applyBorder="1" applyAlignment="1">
      <alignment horizontal="center" vertical="center"/>
    </xf>
    <xf numFmtId="49" fontId="0" fillId="2" borderId="1" xfId="0" applyNumberFormat="1" applyFont="1" applyFill="1" applyBorder="1" applyAlignment="1">
      <alignment horizontal="center"/>
    </xf>
    <xf numFmtId="49" fontId="0" fillId="2" borderId="10" xfId="0" applyNumberFormat="1" applyFont="1" applyFill="1" applyBorder="1" applyAlignment="1">
      <alignment horizontal="center"/>
    </xf>
    <xf numFmtId="49" fontId="0" fillId="2" borderId="1" xfId="0" applyNumberFormat="1" applyFont="1" applyFill="1" applyBorder="1" applyAlignment="1">
      <alignment horizontal="center" vertical="center" wrapText="1"/>
    </xf>
    <xf numFmtId="0" fontId="0" fillId="0" borderId="26" xfId="0" applyFont="1" applyBorder="1"/>
    <xf numFmtId="49" fontId="0" fillId="2" borderId="1" xfId="0" applyNumberFormat="1" applyFont="1" applyFill="1" applyBorder="1" applyAlignment="1">
      <alignment horizontal="center" wrapText="1"/>
    </xf>
    <xf numFmtId="0" fontId="0" fillId="0" borderId="25" xfId="0" applyFont="1" applyBorder="1"/>
    <xf numFmtId="49" fontId="0" fillId="2" borderId="1" xfId="0" applyNumberFormat="1" applyFont="1" applyFill="1" applyBorder="1" applyAlignment="1">
      <alignment wrapText="1"/>
    </xf>
    <xf numFmtId="176" fontId="0" fillId="2" borderId="1" xfId="0" applyNumberFormat="1" applyFont="1" applyFill="1" applyBorder="1"/>
    <xf numFmtId="49" fontId="29" fillId="2" borderId="1" xfId="0" applyNumberFormat="1" applyFont="1" applyFill="1" applyBorder="1"/>
    <xf numFmtId="49" fontId="0" fillId="2" borderId="27" xfId="0" applyNumberFormat="1" applyFont="1" applyFill="1" applyBorder="1"/>
    <xf numFmtId="49" fontId="30" fillId="2" borderId="10" xfId="0" applyNumberFormat="1" applyFont="1" applyFill="1" applyBorder="1"/>
    <xf numFmtId="49" fontId="31" fillId="2" borderId="27" xfId="0" applyNumberFormat="1" applyFont="1" applyFill="1" applyBorder="1"/>
    <xf numFmtId="49" fontId="31" fillId="2" borderId="26" xfId="0" applyNumberFormat="1" applyFont="1" applyFill="1" applyBorder="1"/>
    <xf numFmtId="49" fontId="20" fillId="2" borderId="16" xfId="0" applyNumberFormat="1" applyFont="1" applyFill="1" applyBorder="1"/>
    <xf numFmtId="49" fontId="20" fillId="2" borderId="26" xfId="0" applyNumberFormat="1" applyFont="1" applyFill="1" applyBorder="1"/>
    <xf numFmtId="49" fontId="3" fillId="2" borderId="16" xfId="0" applyNumberFormat="1" applyFont="1" applyFill="1" applyBorder="1"/>
    <xf numFmtId="49" fontId="29" fillId="2" borderId="16" xfId="0" applyNumberFormat="1" applyFont="1" applyFill="1" applyBorder="1"/>
    <xf numFmtId="49" fontId="20" fillId="2" borderId="28" xfId="0" applyNumberFormat="1" applyFont="1" applyFill="1" applyBorder="1"/>
    <xf numFmtId="49" fontId="20" fillId="2" borderId="29" xfId="0" applyNumberFormat="1" applyFont="1" applyFill="1" applyBorder="1"/>
    <xf numFmtId="49" fontId="20" fillId="2" borderId="1" xfId="0" applyNumberFormat="1" applyFont="1" applyFill="1" applyBorder="1"/>
    <xf numFmtId="49" fontId="20" fillId="2" borderId="30" xfId="0" applyNumberFormat="1" applyFont="1" applyFill="1" applyBorder="1"/>
    <xf numFmtId="49" fontId="32" fillId="2" borderId="10" xfId="0" applyNumberFormat="1" applyFont="1" applyFill="1" applyBorder="1"/>
    <xf numFmtId="49" fontId="0" fillId="2" borderId="1" xfId="0" applyNumberFormat="1" applyFont="1" applyFill="1" applyBorder="1" applyAlignment="1"/>
    <xf numFmtId="49" fontId="33" fillId="2" borderId="1" xfId="0" applyNumberFormat="1" applyFont="1" applyFill="1" applyBorder="1"/>
    <xf numFmtId="0" fontId="0" fillId="2" borderId="16" xfId="0" applyFont="1" applyFill="1" applyBorder="1"/>
    <xf numFmtId="49" fontId="0" fillId="2" borderId="25" xfId="0" applyNumberFormat="1" applyFont="1" applyFill="1" applyBorder="1" applyAlignment="1">
      <alignment wrapText="1"/>
    </xf>
    <xf numFmtId="49" fontId="3" fillId="2" borderId="1" xfId="0" applyNumberFormat="1" applyFont="1" applyFill="1" applyBorder="1" applyAlignment="1">
      <alignment vertical="center"/>
    </xf>
    <xf numFmtId="49" fontId="0" fillId="2" borderId="28" xfId="0" applyNumberFormat="1" applyFont="1" applyFill="1" applyBorder="1"/>
    <xf numFmtId="49" fontId="3" fillId="2" borderId="3" xfId="0" applyNumberFormat="1" applyFont="1" applyFill="1" applyBorder="1" applyAlignment="1">
      <alignment vertical="center"/>
    </xf>
    <xf numFmtId="49" fontId="0" fillId="2" borderId="10" xfId="0" applyNumberFormat="1" applyFont="1" applyFill="1" applyBorder="1" applyAlignment="1"/>
    <xf numFmtId="0" fontId="34" fillId="0" borderId="0" xfId="0" applyFont="1" applyAlignment="1"/>
    <xf numFmtId="49" fontId="0" fillId="2" borderId="1" xfId="0" applyNumberFormat="1" applyFont="1" applyFill="1" applyBorder="1" applyAlignment="1">
      <alignment vertical="center"/>
    </xf>
    <xf numFmtId="49" fontId="3" fillId="2" borderId="27" xfId="0" applyNumberFormat="1" applyFont="1" applyFill="1" applyBorder="1" applyAlignment="1">
      <alignment vertical="center"/>
    </xf>
    <xf numFmtId="49" fontId="3" fillId="2" borderId="16" xfId="0" applyNumberFormat="1" applyFont="1" applyFill="1" applyBorder="1" applyAlignment="1">
      <alignment vertical="center"/>
    </xf>
    <xf numFmtId="49" fontId="3" fillId="2" borderId="28" xfId="0" applyNumberFormat="1" applyFont="1" applyFill="1" applyBorder="1" applyAlignment="1">
      <alignment vertical="center"/>
    </xf>
    <xf numFmtId="49" fontId="3" fillId="2" borderId="27" xfId="0" applyNumberFormat="1" applyFont="1" applyFill="1" applyBorder="1"/>
    <xf numFmtId="49" fontId="0" fillId="2" borderId="16" xfId="0" applyNumberFormat="1" applyFont="1" applyFill="1" applyBorder="1" applyAlignment="1">
      <alignment vertical="center"/>
    </xf>
    <xf numFmtId="49" fontId="0" fillId="2" borderId="24" xfId="0" applyNumberFormat="1" applyFont="1" applyFill="1" applyBorder="1"/>
    <xf numFmtId="49" fontId="0" fillId="2" borderId="31" xfId="0" applyNumberFormat="1" applyFont="1" applyFill="1" applyBorder="1"/>
    <xf numFmtId="0" fontId="0" fillId="2" borderId="27" xfId="0" applyFont="1" applyFill="1" applyBorder="1"/>
    <xf numFmtId="49" fontId="0" fillId="2" borderId="3" xfId="0" applyNumberFormat="1" applyFont="1" applyFill="1" applyBorder="1" applyAlignment="1">
      <alignment vertical="center"/>
    </xf>
  </cellXfs>
  <cellStyles count="48">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Heading 2" xfId="42" builtinId="17"/>
    <cellStyle name="Comma" xfId="43" builtinId="3"/>
    <cellStyle name="Check Cell" xfId="44" builtinId="23"/>
    <cellStyle name="60% - Accent3" xfId="45" builtinId="40"/>
    <cellStyle name="Percent" xfId="46" builtinId="5"/>
    <cellStyle name="Hyperlink" xfId="47" builtinId="8"/>
  </cellStyles>
  <dxfs count="1">
    <dxf>
      <font>
        <color rgb="FFFF0000"/>
      </font>
      <fill>
        <patternFill patternType="none"/>
      </fill>
      <border>
        <left/>
        <right/>
        <top/>
        <bottom/>
      </border>
    </dxf>
  </dxf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haredStrings" Target="sharedStrings.xml"/><Relationship Id="rId34" Type="http://schemas.openxmlformats.org/officeDocument/2006/relationships/styles" Target="styles.xml"/><Relationship Id="rId33" Type="http://schemas.openxmlformats.org/officeDocument/2006/relationships/theme" Target="theme/theme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45</xdr:row>
      <xdr:rowOff>0</xdr:rowOff>
    </xdr:from>
    <xdr:to>
      <xdr:col>5</xdr:col>
      <xdr:colOff>304800</xdr:colOff>
      <xdr:row>46</xdr:row>
      <xdr:rowOff>114300</xdr:rowOff>
    </xdr:to>
    <xdr:sp>
      <xdr:nvSpPr>
        <xdr:cNvPr id="3" name="Shape 3"/>
        <xdr:cNvSpPr/>
      </xdr:nvSpPr>
      <xdr:spPr>
        <a:xfrm>
          <a:off x="5521960" y="8572500"/>
          <a:ext cx="304800" cy="304800"/>
        </a:xfrm>
        <a:prstGeom prst="rect">
          <a:avLst/>
        </a:prstGeom>
        <a:noFill/>
        <a:ln>
          <a:noFill/>
        </a:ln>
      </xdr:spPr>
      <xdr:txBody>
        <a:bodyPr wrap="square" lIns="45700" tIns="45700" rIns="45700" bIns="45700" anchor="t" anchorCtr="0">
          <a:noAutofit/>
        </a:bodyPr>
        <a:lstStyle/>
        <a:p>
          <a:pPr marL="0" marR="0" lvl="0" indent="0" algn="l" rtl="0">
            <a:lnSpc>
              <a:spcPct val="100000"/>
            </a:lnSpc>
            <a:spcBef>
              <a:spcPts val="0"/>
            </a:spcBef>
            <a:spcAft>
              <a:spcPts val="0"/>
            </a:spcAft>
            <a:buFont typeface="Arial" panose="020B0604020202090204"/>
            <a:buNone/>
          </a:pPr>
          <a:endParaRPr sz="1100" b="0" i="0" u="none" strike="noStrike" cap="none">
            <a:solidFill>
              <a:srgbClr val="000000"/>
            </a:solidFill>
            <a:latin typeface="Calibri" panose="020F0702030404030204"/>
            <a:ea typeface="Calibri" panose="020F0702030404030204"/>
            <a:cs typeface="Calibri" panose="020F0702030404030204"/>
            <a:sym typeface="Calibri" panose="020F0702030404030204"/>
          </a:endParaRPr>
        </a:p>
      </xdr:txBody>
    </xdr:sp>
    <xdr:clientData fLocksWithSheet="0"/>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1533525</xdr:colOff>
      <xdr:row>114</xdr:row>
      <xdr:rowOff>47625</xdr:rowOff>
    </xdr:from>
    <xdr:to>
      <xdr:col>4</xdr:col>
      <xdr:colOff>1789430</xdr:colOff>
      <xdr:row>115</xdr:row>
      <xdr:rowOff>95250</xdr:rowOff>
    </xdr:to>
    <xdr:sp>
      <xdr:nvSpPr>
        <xdr:cNvPr id="4" name="Shape 4"/>
        <xdr:cNvSpPr/>
      </xdr:nvSpPr>
      <xdr:spPr>
        <a:xfrm>
          <a:off x="7778750" y="21783675"/>
          <a:ext cx="255905" cy="238125"/>
        </a:xfrm>
        <a:prstGeom prst="rect">
          <a:avLst/>
        </a:prstGeom>
        <a:noFill/>
        <a:ln>
          <a:noFill/>
        </a:ln>
      </xdr:spPr>
      <xdr:txBody>
        <a:bodyPr wrap="square" lIns="91425" tIns="45700" rIns="91425" bIns="45700" anchor="t" anchorCtr="0">
          <a:noAutofit/>
        </a:bodyPr>
        <a:lstStyle/>
        <a:p>
          <a:pPr lvl="0" indent="0">
            <a:spcBef>
              <a:spcPts val="0"/>
            </a:spcBef>
            <a:buFont typeface="Arial" panose="020B0604020202090204"/>
            <a:buNone/>
          </a:pPr>
          <a:endParaRPr sz="1100"/>
        </a:p>
      </xdr:txBody>
    </xdr:sp>
    <xdr:clientData fLocksWithSheet="0"/>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1533525</xdr:colOff>
      <xdr:row>114</xdr:row>
      <xdr:rowOff>47625</xdr:rowOff>
    </xdr:from>
    <xdr:to>
      <xdr:col>4</xdr:col>
      <xdr:colOff>1789430</xdr:colOff>
      <xdr:row>115</xdr:row>
      <xdr:rowOff>95250</xdr:rowOff>
    </xdr:to>
    <xdr:sp>
      <xdr:nvSpPr>
        <xdr:cNvPr id="4" name="Shape 4"/>
        <xdr:cNvSpPr/>
      </xdr:nvSpPr>
      <xdr:spPr>
        <a:xfrm>
          <a:off x="7778750" y="21783675"/>
          <a:ext cx="255905" cy="238125"/>
        </a:xfrm>
        <a:prstGeom prst="rect">
          <a:avLst/>
        </a:prstGeom>
        <a:noFill/>
        <a:ln>
          <a:noFill/>
        </a:ln>
      </xdr:spPr>
      <xdr:txBody>
        <a:bodyPr wrap="square" lIns="91425" tIns="45700" rIns="91425" bIns="45700" anchor="t" anchorCtr="0">
          <a:noAutofit/>
        </a:bodyPr>
        <a:lstStyle/>
        <a:p>
          <a:pPr lvl="0" indent="0">
            <a:spcBef>
              <a:spcPts val="0"/>
            </a:spcBef>
            <a:buFont typeface="Arial" panose="020B0604020202090204"/>
            <a:buNone/>
          </a:pPr>
          <a:endParaRPr sz="1100"/>
        </a:p>
      </xdr:txBody>
    </xdr:sp>
    <xdr:clientData fLocksWithSheet="0"/>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5</xdr:col>
      <xdr:colOff>704850</xdr:colOff>
      <xdr:row>114</xdr:row>
      <xdr:rowOff>47625</xdr:rowOff>
    </xdr:from>
    <xdr:to>
      <xdr:col>6</xdr:col>
      <xdr:colOff>285750</xdr:colOff>
      <xdr:row>115</xdr:row>
      <xdr:rowOff>95250</xdr:rowOff>
    </xdr:to>
    <xdr:sp>
      <xdr:nvSpPr>
        <xdr:cNvPr id="5" name="Shape 5"/>
        <xdr:cNvSpPr/>
      </xdr:nvSpPr>
      <xdr:spPr>
        <a:xfrm>
          <a:off x="6214745" y="19592925"/>
          <a:ext cx="872490" cy="219075"/>
        </a:xfrm>
        <a:prstGeom prst="rect">
          <a:avLst/>
        </a:prstGeom>
        <a:noFill/>
        <a:ln>
          <a:noFill/>
        </a:ln>
      </xdr:spPr>
      <xdr:txBody>
        <a:bodyPr wrap="square" lIns="91425" tIns="45700" rIns="91425" bIns="45700" anchor="t" anchorCtr="0">
          <a:noAutofit/>
        </a:bodyPr>
        <a:lstStyle/>
        <a:p>
          <a:pPr lvl="0" indent="0">
            <a:spcBef>
              <a:spcPts val="0"/>
            </a:spcBef>
            <a:buFont typeface="Arial" panose="020B0604020202090204"/>
            <a:buNone/>
          </a:pPr>
          <a:endParaRPr sz="1100"/>
        </a:p>
      </xdr:txBody>
    </xdr:sp>
    <xdr:clientData fLocksWithSheet="0"/>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4</xdr:col>
      <xdr:colOff>1533525</xdr:colOff>
      <xdr:row>114</xdr:row>
      <xdr:rowOff>47625</xdr:rowOff>
    </xdr:from>
    <xdr:to>
      <xdr:col>4</xdr:col>
      <xdr:colOff>1789430</xdr:colOff>
      <xdr:row>115</xdr:row>
      <xdr:rowOff>95250</xdr:rowOff>
    </xdr:to>
    <xdr:sp>
      <xdr:nvSpPr>
        <xdr:cNvPr id="4" name="Shape 4"/>
        <xdr:cNvSpPr/>
      </xdr:nvSpPr>
      <xdr:spPr>
        <a:xfrm>
          <a:off x="7778750" y="21783675"/>
          <a:ext cx="255905" cy="238125"/>
        </a:xfrm>
        <a:prstGeom prst="rect">
          <a:avLst/>
        </a:prstGeom>
        <a:noFill/>
        <a:ln>
          <a:noFill/>
        </a:ln>
      </xdr:spPr>
      <xdr:txBody>
        <a:bodyPr wrap="square" lIns="91425" tIns="45700" rIns="91425" bIns="45700" anchor="t" anchorCtr="0">
          <a:noAutofit/>
        </a:bodyPr>
        <a:lstStyle/>
        <a:p>
          <a:pPr lvl="0" indent="0">
            <a:spcBef>
              <a:spcPts val="0"/>
            </a:spcBef>
            <a:buFont typeface="Arial" panose="020B0604020202090204"/>
            <a:buNone/>
          </a:pPr>
          <a:endParaRPr sz="1100"/>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6.xml.rels><?xml version="1.0" encoding="UTF-8" standalone="yes"?>
<Relationships xmlns="http://schemas.openxmlformats.org/package/2006/relationships"><Relationship Id="rId1" Type="http://schemas.openxmlformats.org/officeDocument/2006/relationships/hyperlink" Target="http://officelondon.co.uk/"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9" Type="http://schemas.openxmlformats.org/officeDocument/2006/relationships/hyperlink" Target="https://www.berlin.de/sen/finanzen/steuern/finanzaemter/pankow-weissensee/" TargetMode="External"/><Relationship Id="rId81" Type="http://schemas.openxmlformats.org/officeDocument/2006/relationships/hyperlink" Target="https://www.mastercard.de/de-de.html" TargetMode="External"/><Relationship Id="rId80" Type="http://schemas.openxmlformats.org/officeDocument/2006/relationships/hyperlink" Target="https://www.hiscox.de/" TargetMode="External"/><Relationship Id="rId8" Type="http://schemas.openxmlformats.org/officeDocument/2006/relationships/hyperlink" Target="https://www.berlin.de/css/berlin_de/echo/images/logo_berlin_de.svg" TargetMode="External"/><Relationship Id="rId79" Type="http://schemas.openxmlformats.org/officeDocument/2006/relationships/hyperlink" Target="https://i.pinimg.com/originals/9d/2f/7c/9d2f7c1b7a3a454bb230508e8c017ddc.jpg" TargetMode="External"/><Relationship Id="rId78" Type="http://schemas.openxmlformats.org/officeDocument/2006/relationships/hyperlink" Target="http://www.alexianer-berlin-hedwigkliniken.de/st_hedwig_krankenhaus/home/" TargetMode="External"/><Relationship Id="rId77" Type="http://schemas.openxmlformats.org/officeDocument/2006/relationships/hyperlink" Target="http://www.female-refugee-study.com/wp-content/uploads/2016/07/alexianer-logo-300x300.jpg" TargetMode="External"/><Relationship Id="rId76" Type="http://schemas.openxmlformats.org/officeDocument/2006/relationships/hyperlink" Target="https://www.ricam-hospiz.de/" TargetMode="External"/><Relationship Id="rId75" Type="http://schemas.openxmlformats.org/officeDocument/2006/relationships/hyperlink" Target="https://www.clicks4charity.net/uploads/tx_usercharityshopping/ricam.png" TargetMode="External"/><Relationship Id="rId74" Type="http://schemas.openxmlformats.org/officeDocument/2006/relationships/hyperlink" Target="https://www.fc-union-berlin.de/landing/" TargetMode="External"/><Relationship Id="rId73" Type="http://schemas.openxmlformats.org/officeDocument/2006/relationships/hyperlink" Target="https://upload.wikimedia.org/wikipedia/en/thumb/f/fe/1._FC_Union_Berlin_logo.svg/1280px-1._FC_Union_Berlin_logo.svg.png" TargetMode="External"/><Relationship Id="rId72" Type="http://schemas.openxmlformats.org/officeDocument/2006/relationships/hyperlink" Target="https://www.berlin-mitte-hotel.com/de" TargetMode="External"/><Relationship Id="rId71" Type="http://schemas.openxmlformats.org/officeDocument/2006/relationships/hyperlink" Target="https://static.opendi.com/yellow/production/de/6198387/images/4364726.jpg" TargetMode="External"/><Relationship Id="rId70" Type="http://schemas.openxmlformats.org/officeDocument/2006/relationships/hyperlink" Target="http://www.optiker-berlin.com/" TargetMode="External"/><Relationship Id="rId7" Type="http://schemas.openxmlformats.org/officeDocument/2006/relationships/hyperlink" Target="http://www.hoermann.com/produkte/" TargetMode="External"/><Relationship Id="rId69" Type="http://schemas.openxmlformats.org/officeDocument/2006/relationships/hyperlink" Target="http://www.augen-optic-actuell.de/GRA/LOG/Logo_AOA2017_trans.gif" TargetMode="External"/><Relationship Id="rId68" Type="http://schemas.openxmlformats.org/officeDocument/2006/relationships/hyperlink" Target="https://thebarn.de/" TargetMode="External"/><Relationship Id="rId67" Type="http://schemas.openxmlformats.org/officeDocument/2006/relationships/hyperlink" Target="https://cdn.shopify.com/s/files/1/0831/4141/t/41/assets/footer-logo.png" TargetMode="External"/><Relationship Id="rId66" Type="http://schemas.openxmlformats.org/officeDocument/2006/relationships/hyperlink" Target="https://smiletrain.org/" TargetMode="External"/><Relationship Id="rId65" Type="http://schemas.openxmlformats.org/officeDocument/2006/relationships/hyperlink" Target="https://www.sparkasse.de/" TargetMode="External"/><Relationship Id="rId64" Type="http://schemas.openxmlformats.org/officeDocument/2006/relationships/hyperlink" Target="https://pic.immobilienscout24.de/userfiles/H/u/z/Q/8/E7jEaQRU3kL6gPyxCAXXDa.jpg" TargetMode="External"/><Relationship Id="rId63" Type="http://schemas.openxmlformats.org/officeDocument/2006/relationships/hyperlink" Target="https://www.santander.de/de/privatkunden/index.html" TargetMode="External"/><Relationship Id="rId62" Type="http://schemas.openxmlformats.org/officeDocument/2006/relationships/hyperlink" Target="http://riemerassociates.com/wp-content/uploads/2015/06/NEW_Double_ATM.png" TargetMode="External"/><Relationship Id="rId61" Type="http://schemas.openxmlformats.org/officeDocument/2006/relationships/hyperlink" Target="http://www.byc.berlin/" TargetMode="External"/><Relationship Id="rId60" Type="http://schemas.openxmlformats.org/officeDocument/2006/relationships/hyperlink" Target="http://www.byc.berlin/wp-content/uploads/2017/02/BYC_150_ohneVerlauf.jpg" TargetMode="External"/><Relationship Id="rId6" Type="http://schemas.openxmlformats.org/officeDocument/2006/relationships/hyperlink" Target="http://www.hoermann.ae/fileadmin/user_upload/Hoermann.ae/News/teaser_News_HOE-WM_714x300.jpg" TargetMode="External"/><Relationship Id="rId59" Type="http://schemas.openxmlformats.org/officeDocument/2006/relationships/hyperlink" Target="http://www.schneider-electric.de/de/" TargetMode="External"/><Relationship Id="rId58" Type="http://schemas.openxmlformats.org/officeDocument/2006/relationships/hyperlink" Target="http://solar.schneider-electric.com/wp-content/uploads/2016/04/Schneider_Electric.svg_.png" TargetMode="External"/><Relationship Id="rId57" Type="http://schemas.openxmlformats.org/officeDocument/2006/relationships/hyperlink" Target="https://www.veolia.de/" TargetMode="External"/><Relationship Id="rId56" Type="http://schemas.openxmlformats.org/officeDocument/2006/relationships/hyperlink" Target="https://veolia-trennrechner.netwaste.de/images/6883453.png" TargetMode="External"/><Relationship Id="rId55" Type="http://schemas.openxmlformats.org/officeDocument/2006/relationships/hyperlink" Target="http://www.bwb.de/content/en/html/index.php" TargetMode="External"/><Relationship Id="rId54" Type="http://schemas.openxmlformats.org/officeDocument/2006/relationships/hyperlink" Target="http://www.bwb.de/content/language1/img_307/Logo-BWB-rgb_307x150.jpg" TargetMode="External"/><Relationship Id="rId53" Type="http://schemas.openxmlformats.org/officeDocument/2006/relationships/hyperlink" Target="https://www.wingas.com/produkte.html" TargetMode="External"/><Relationship Id="rId52" Type="http://schemas.openxmlformats.org/officeDocument/2006/relationships/hyperlink" Target="https://www.wingas.com/fileadmin/WINGAS-Designportal/03_Basiselemente/Downloads/WINGAS_Logo_Standard_RGB_1200px.jpg" TargetMode="External"/><Relationship Id="rId51" Type="http://schemas.openxmlformats.org/officeDocument/2006/relationships/hyperlink" Target="http://www.ticketmaster.de/" TargetMode="External"/><Relationship Id="rId50" Type="http://schemas.openxmlformats.org/officeDocument/2006/relationships/hyperlink" Target="https://www.handyflatrate.de/" TargetMode="External"/><Relationship Id="rId5" Type="http://schemas.openxmlformats.org/officeDocument/2006/relationships/hyperlink" Target="http://de.whales.org/" TargetMode="External"/><Relationship Id="rId49" Type="http://schemas.openxmlformats.org/officeDocument/2006/relationships/hyperlink" Target="https://upload.wikimedia.org/wikipedia/commons/thumb/2/2a/E-Plus%2BLogo.svg/2000px-E-Plus%2BLogo.svg.png" TargetMode="External"/><Relationship Id="rId48" Type="http://schemas.openxmlformats.org/officeDocument/2006/relationships/hyperlink" Target="https://www.dominos.de/" TargetMode="External"/><Relationship Id="rId47" Type="http://schemas.openxmlformats.org/officeDocument/2006/relationships/hyperlink" Target="http://de.farnell.com/" TargetMode="External"/><Relationship Id="rId46" Type="http://schemas.openxmlformats.org/officeDocument/2006/relationships/hyperlink" Target="http://www.tmtech.de/index.php" TargetMode="External"/><Relationship Id="rId45" Type="http://schemas.openxmlformats.org/officeDocument/2006/relationships/hyperlink" Target="http://buslibrary.busworld.org/import/companylogos/139356.jpg" TargetMode="External"/><Relationship Id="rId44" Type="http://schemas.openxmlformats.org/officeDocument/2006/relationships/hyperlink" Target="https://www.euroshop-online.de/1-euro-shop.html" TargetMode="External"/><Relationship Id="rId43" Type="http://schemas.openxmlformats.org/officeDocument/2006/relationships/hyperlink" Target="http://l7.alamy.com/zooms/9149357fd48a4195ad6df0cd39781d6b/das-logo-der-marke-euroshop-berlin-hab0n3.jpg" TargetMode="External"/><Relationship Id="rId42" Type="http://schemas.openxmlformats.org/officeDocument/2006/relationships/hyperlink" Target="https://www.manufactum.de/manufactum-berlin-c-41/" TargetMode="External"/><Relationship Id="rId41" Type="http://schemas.openxmlformats.org/officeDocument/2006/relationships/hyperlink" Target="https://meineinkauf.ch/fileadmin/_processed_/4/c/csm_1637_manufactum_5532e46608.png" TargetMode="External"/><Relationship Id="rId40" Type="http://schemas.openxmlformats.org/officeDocument/2006/relationships/hyperlink" Target="https://aus.berlin/" TargetMode="External"/><Relationship Id="rId4" Type="http://schemas.openxmlformats.org/officeDocument/2006/relationships/hyperlink" Target="https://upload.wikimedia.org/wikipedia/commons/thumb/e/e8/WDC_Logo_H_D_CMYK.jpg/1200px-WDC_Logo_H_D_CMYK.jpg" TargetMode="External"/><Relationship Id="rId39" Type="http://schemas.openxmlformats.org/officeDocument/2006/relationships/hyperlink" Target="http://www.disneystore.de/" TargetMode="External"/><Relationship Id="rId38" Type="http://schemas.openxmlformats.org/officeDocument/2006/relationships/hyperlink" Target="http://www.vdik.de/startseite.html?L=1%27A%3D0" TargetMode="External"/><Relationship Id="rId37" Type="http://schemas.openxmlformats.org/officeDocument/2006/relationships/hyperlink" Target="https://blog.vdi.de/wp-content/uploads/2014/05/ab-1985-01-Bild.jpg" TargetMode="External"/><Relationship Id="rId36" Type="http://schemas.openxmlformats.org/officeDocument/2006/relationships/hyperlink" Target="http://www.thebirdinberlin.com/" TargetMode="External"/><Relationship Id="rId35" Type="http://schemas.openxmlformats.org/officeDocument/2006/relationships/hyperlink" Target="http://www.thebirdinberlin.com/uploads/1/9/9/0/19902721/editor/the-bird-prenzlauer-berg-logo_2.png?1489954335" TargetMode="External"/><Relationship Id="rId34" Type="http://schemas.openxmlformats.org/officeDocument/2006/relationships/hyperlink" Target="https://www.co-chu.de/" TargetMode="External"/><Relationship Id="rId33" Type="http://schemas.openxmlformats.org/officeDocument/2006/relationships/hyperlink" Target="https://media-cdn.tripadvisor.com/media/photo-s/10/15/26/c9/photo2jpg.jpg" TargetMode="External"/><Relationship Id="rId32" Type="http://schemas.openxmlformats.org/officeDocument/2006/relationships/hyperlink" Target="http://babelrestaurant.alaqsamosque.co/" TargetMode="External"/><Relationship Id="rId31" Type="http://schemas.openxmlformats.org/officeDocument/2006/relationships/hyperlink" Target="https://berlinfoodstories.com/wp-content/uploads/2012/02/babel-berlin-restaurant-outside.jpg" TargetMode="External"/><Relationship Id="rId30" Type="http://schemas.openxmlformats.org/officeDocument/2006/relationships/hyperlink" Target="https://www.kmcomputer.de/Filiale/info/storeId/4" TargetMode="External"/><Relationship Id="rId3" Type="http://schemas.openxmlformats.org/officeDocument/2006/relationships/hyperlink" Target="https://www.easyjet.com/de" TargetMode="External"/><Relationship Id="rId29" Type="http://schemas.openxmlformats.org/officeDocument/2006/relationships/hyperlink" Target="https://upload.wikimedia.org/wikipedia/commons/thumb/8/8f/K%26M_Elektronik_Logo.svg/2000px-K%26M_Elektronik_Logo.svg.png" TargetMode="External"/><Relationship Id="rId28" Type="http://schemas.openxmlformats.org/officeDocument/2006/relationships/hyperlink" Target="http://www.witte-tube.com/" TargetMode="External"/><Relationship Id="rId27" Type="http://schemas.openxmlformats.org/officeDocument/2006/relationships/hyperlink" Target="https://upload.wikimedia.org/wikipedia/commons/c/c0/WITTE_Logo_HKS93.jpg" TargetMode="External"/><Relationship Id="rId26" Type="http://schemas.openxmlformats.org/officeDocument/2006/relationships/hyperlink" Target="http://www.contipark.de/de-DE/find-parking/berlin-tiefgarage-kulturbrauerei/" TargetMode="External"/><Relationship Id="rId25" Type="http://schemas.openxmlformats.org/officeDocument/2006/relationships/hyperlink" Target="https://upload.wikimedia.org/wikipedia/commons/thumb/5/5b/Contipark-logo.svg/2000px-Contipark-logo.svg.png" TargetMode="External"/><Relationship Id="rId24" Type="http://schemas.openxmlformats.org/officeDocument/2006/relationships/hyperlink" Target="https://specs-berlin.de/de" TargetMode="External"/><Relationship Id="rId23" Type="http://schemas.openxmlformats.org/officeDocument/2006/relationships/hyperlink" Target="http://unit-berlin.de/co/upload/unitPics/b_unit-berlin_4d9f59fd55c56.gif" TargetMode="External"/><Relationship Id="rId22" Type="http://schemas.openxmlformats.org/officeDocument/2006/relationships/hyperlink" Target="http://www.viking.de/en/bueroartikel" TargetMode="External"/><Relationship Id="rId21" Type="http://schemas.openxmlformats.org/officeDocument/2006/relationships/hyperlink" Target="http://www.golf-pankow.de/" TargetMode="External"/><Relationship Id="rId20" Type="http://schemas.openxmlformats.org/officeDocument/2006/relationships/hyperlink" Target="http://www.golf-resort-berlin-pankow.de/images/Logo_pankow_120.jpg" TargetMode="External"/><Relationship Id="rId2" Type="http://schemas.openxmlformats.org/officeDocument/2006/relationships/hyperlink" Target="http://www.lufthansa.com/online/portal/lh/de/homepage" TargetMode="External"/><Relationship Id="rId19" Type="http://schemas.openxmlformats.org/officeDocument/2006/relationships/hyperlink" Target="https://www.vodafone.de/" TargetMode="External"/><Relationship Id="rId18" Type="http://schemas.openxmlformats.org/officeDocument/2006/relationships/hyperlink" Target="https://www.vodafone.co.uk/cs/groups/public/documents/webcontent/1287x929_vodafone_logo.jpg" TargetMode="External"/><Relationship Id="rId17" Type="http://schemas.openxmlformats.org/officeDocument/2006/relationships/hyperlink" Target="https://www.boschrexroth.com/de/de/" TargetMode="External"/><Relationship Id="rId16" Type="http://schemas.openxmlformats.org/officeDocument/2006/relationships/hyperlink" Target="https://upload.wikimedia.org/wikipedia/commons/thumb/7/78/Logo_Bosch_Rexroth_Ltda.jpg/1200px-Logo_Bosch_Rexroth_Ltda.jpg" TargetMode="External"/><Relationship Id="rId15" Type="http://schemas.openxmlformats.org/officeDocument/2006/relationships/hyperlink" Target="http://www.schaeffler.de/content.schaeffler.de/en/company/company.jsp" TargetMode="External"/><Relationship Id="rId14" Type="http://schemas.openxmlformats.org/officeDocument/2006/relationships/hyperlink" Target="https://pbs.twimg.com/profile_images/848831561831260164/ZkoeG1mx_400x400.jpg" TargetMode="External"/><Relationship Id="rId13" Type="http://schemas.openxmlformats.org/officeDocument/2006/relationships/hyperlink" Target="https://www.lidl.de/" TargetMode="External"/><Relationship Id="rId12" Type="http://schemas.openxmlformats.org/officeDocument/2006/relationships/hyperlink" Target="https://www.lidl.de/imgs/llogo.png" TargetMode="External"/><Relationship Id="rId11" Type="http://schemas.openxmlformats.org/officeDocument/2006/relationships/hyperlink" Target="https://www.msc.com/deu?lang=de-de" TargetMode="External"/><Relationship Id="rId10" Type="http://schemas.openxmlformats.org/officeDocument/2006/relationships/hyperlink" Target="http://www.blue-whale.in/wp-content/uploads/2015/10/msc-logo.png" TargetMode="External"/><Relationship Id="rId1" Type="http://schemas.openxmlformats.org/officeDocument/2006/relationships/hyperlink" Target="https://upload.wikimedia.org/wikipedia/commons/thumb/4/41/Lufthansa-Logo_1964.svg/1024px-Lufthansa-Logo_1964.svg.png"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6" Type="http://schemas.openxmlformats.org/officeDocument/2006/relationships/hyperlink" Target="https://seeklogo.com/images/M/mastercard-logo-473B8726A9-seeklogo.com.png" TargetMode="External"/><Relationship Id="rId5" Type="http://schemas.openxmlformats.org/officeDocument/2006/relationships/hyperlink" Target="http://partners.webmasterplan.com/click.asp?ref=586499&amp;site=5247&amp;type=text&amp;tnb=4" TargetMode="External"/><Relationship Id="rId4" Type="http://schemas.openxmlformats.org/officeDocument/2006/relationships/hyperlink" Target="http://www.xn--weissbr-bxa.de/" TargetMode="External"/><Relationship Id="rId3" Type="http://schemas.openxmlformats.org/officeDocument/2006/relationships/hyperlink" Target="http://www.amazon.de/" TargetMode="External"/><Relationship Id="rId2" Type="http://schemas.openxmlformats.org/officeDocument/2006/relationships/hyperlink" Target="http://www.marksandspencer.com/" TargetMode="External"/><Relationship Id="rId1" Type="http://schemas.openxmlformats.org/officeDocument/2006/relationships/hyperlink" Target="http://i.forbesimg.com/media/lists/companies/marks-spencer_416x416.jpg"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6.xml.rels><?xml version="1.0" encoding="UTF-8" standalone="yes"?>
<Relationships xmlns="http://schemas.openxmlformats.org/package/2006/relationships"><Relationship Id="rId1" Type="http://schemas.openxmlformats.org/officeDocument/2006/relationships/hyperlink" Target="http://www.amazon.com/" TargetMode="External"/></Relationships>
</file>

<file path=xl/worksheets/_rels/sheet28.xml.rels><?xml version="1.0" encoding="UTF-8" standalone="yes"?>
<Relationships xmlns="http://schemas.openxmlformats.org/package/2006/relationships"><Relationship Id="rId5" Type="http://schemas.openxmlformats.org/officeDocument/2006/relationships/hyperlink" Target="http://www.chanel.com/en_HK/" TargetMode="External"/><Relationship Id="rId4" Type="http://schemas.openxmlformats.org/officeDocument/2006/relationships/hyperlink" Target="http://www.amazon.com.hk/" TargetMode="External"/><Relationship Id="rId3" Type="http://schemas.openxmlformats.org/officeDocument/2006/relationships/hyperlink" Target="https://www.ebay.com.hk/" TargetMode="External"/><Relationship Id="rId2" Type="http://schemas.openxmlformats.org/officeDocument/2006/relationships/hyperlink" Target="http://www.maccosmetics.com/" TargetMode="External"/><Relationship Id="rId1" Type="http://schemas.openxmlformats.org/officeDocument/2006/relationships/hyperlink" Target="http://www.zara.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2"/>
  <sheetViews>
    <sheetView showGridLines="0" topLeftCell="A94" workbookViewId="0">
      <selection activeCell="A126" sqref="A126"/>
    </sheetView>
  </sheetViews>
  <sheetFormatPr defaultColWidth="12.6607142857143" defaultRowHeight="15" customHeight="1"/>
  <cols>
    <col min="1" max="1" width="29.8303571428571" customWidth="1"/>
    <col min="2" max="2" width="23.3303571428571"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customHeight="1" spans="1:26">
      <c r="A1" s="56" t="s">
        <v>0</v>
      </c>
      <c r="B1" s="56"/>
      <c r="C1" s="57"/>
      <c r="D1" s="57"/>
      <c r="E1" s="57"/>
      <c r="F1" s="57"/>
      <c r="G1" s="57"/>
      <c r="H1" s="2"/>
      <c r="I1" s="2"/>
      <c r="J1" s="2"/>
      <c r="K1" s="2"/>
      <c r="L1" s="2"/>
      <c r="M1" s="2"/>
      <c r="N1" s="2"/>
      <c r="O1" s="2"/>
      <c r="P1" s="2"/>
      <c r="Q1" s="2"/>
      <c r="R1" s="2"/>
      <c r="S1" s="2"/>
      <c r="T1" s="2"/>
      <c r="U1" s="2"/>
      <c r="V1" s="2"/>
      <c r="W1" s="2"/>
      <c r="X1" s="2"/>
      <c r="Y1" s="2"/>
      <c r="Z1" s="2"/>
    </row>
    <row r="2" customHeight="1" spans="1:26">
      <c r="A2" s="58" t="s">
        <v>1</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213" t="s">
        <v>10</v>
      </c>
      <c r="B4" s="62" t="s">
        <v>11</v>
      </c>
      <c r="C4" s="13" t="s">
        <v>12</v>
      </c>
      <c r="D4" s="57"/>
      <c r="E4" s="57"/>
      <c r="F4" s="13" t="s">
        <v>13</v>
      </c>
      <c r="G4" s="13" t="s">
        <v>14</v>
      </c>
      <c r="H4" s="2"/>
      <c r="I4" s="2"/>
      <c r="J4" s="2"/>
      <c r="K4" s="2"/>
      <c r="L4" s="2"/>
      <c r="M4" s="2"/>
      <c r="N4" s="2"/>
      <c r="O4" s="2"/>
      <c r="P4" s="2"/>
      <c r="Q4" s="2"/>
      <c r="R4" s="2"/>
      <c r="S4" s="2"/>
      <c r="T4" s="2"/>
      <c r="U4" s="2"/>
      <c r="V4" s="2"/>
      <c r="W4" s="2"/>
      <c r="X4" s="2"/>
      <c r="Y4" s="2"/>
      <c r="Z4" s="2"/>
    </row>
    <row r="5" customHeight="1" spans="1:26">
      <c r="A5" s="169" t="s">
        <v>15</v>
      </c>
      <c r="B5" s="13" t="s">
        <v>16</v>
      </c>
      <c r="C5" s="13" t="s">
        <v>12</v>
      </c>
      <c r="D5" s="57"/>
      <c r="E5" s="57"/>
      <c r="F5" s="13" t="s">
        <v>17</v>
      </c>
      <c r="G5" s="68" t="str">
        <f>HYPERLINK("http://www.easyjet.com/fr/","http://www.easyjet.com/fr/")</f>
        <v>http://www.easyjet.com/fr/</v>
      </c>
      <c r="H5" s="2"/>
      <c r="I5" s="2"/>
      <c r="J5" s="2"/>
      <c r="K5" s="2"/>
      <c r="L5" s="2"/>
      <c r="M5" s="2"/>
      <c r="N5" s="2"/>
      <c r="O5" s="2"/>
      <c r="P5" s="2"/>
      <c r="Q5" s="2"/>
      <c r="R5" s="2"/>
      <c r="S5" s="2"/>
      <c r="T5" s="2"/>
      <c r="U5" s="2"/>
      <c r="V5" s="2"/>
      <c r="W5" s="2"/>
      <c r="X5" s="2"/>
      <c r="Y5" s="2"/>
      <c r="Z5" s="2"/>
    </row>
    <row r="6" customHeight="1" spans="1:26">
      <c r="A6" s="169" t="s">
        <v>18</v>
      </c>
      <c r="B6" s="13" t="s">
        <v>19</v>
      </c>
      <c r="C6" s="13" t="s">
        <v>20</v>
      </c>
      <c r="D6" s="14">
        <v>340</v>
      </c>
      <c r="E6" s="13" t="s">
        <v>21</v>
      </c>
      <c r="F6" s="13" t="s">
        <v>22</v>
      </c>
      <c r="G6" s="13" t="s">
        <v>23</v>
      </c>
      <c r="H6" s="2"/>
      <c r="I6" s="2"/>
      <c r="J6" s="2"/>
      <c r="K6" s="2"/>
      <c r="L6" s="2"/>
      <c r="M6" s="2"/>
      <c r="N6" s="2"/>
      <c r="O6" s="2"/>
      <c r="P6" s="2"/>
      <c r="Q6" s="2"/>
      <c r="R6" s="2"/>
      <c r="S6" s="2"/>
      <c r="T6" s="2"/>
      <c r="U6" s="2"/>
      <c r="V6" s="2"/>
      <c r="W6" s="2"/>
      <c r="X6" s="2"/>
      <c r="Y6" s="2"/>
      <c r="Z6" s="2"/>
    </row>
    <row r="7" customHeight="1" spans="1:26">
      <c r="A7" s="169" t="s">
        <v>24</v>
      </c>
      <c r="B7" s="52" t="s">
        <v>25</v>
      </c>
      <c r="C7" s="52" t="s">
        <v>26</v>
      </c>
      <c r="D7" s="184"/>
      <c r="E7" s="184"/>
      <c r="F7" s="52" t="s">
        <v>27</v>
      </c>
      <c r="G7" s="52" t="s">
        <v>28</v>
      </c>
      <c r="H7" s="2"/>
      <c r="I7" s="2"/>
      <c r="J7" s="2"/>
      <c r="K7" s="2"/>
      <c r="L7" s="2"/>
      <c r="M7" s="2"/>
      <c r="N7" s="2"/>
      <c r="O7" s="2"/>
      <c r="P7" s="2"/>
      <c r="Q7" s="2"/>
      <c r="R7" s="2"/>
      <c r="S7" s="2"/>
      <c r="T7" s="2"/>
      <c r="U7" s="2"/>
      <c r="V7" s="2"/>
      <c r="W7" s="2"/>
      <c r="X7" s="2"/>
      <c r="Y7" s="2"/>
      <c r="Z7" s="2"/>
    </row>
    <row r="8" customHeight="1" spans="1:26">
      <c r="A8" s="77" t="s">
        <v>29</v>
      </c>
      <c r="B8" s="13" t="s">
        <v>30</v>
      </c>
      <c r="C8" s="13" t="s">
        <v>31</v>
      </c>
      <c r="D8" s="65">
        <v>30</v>
      </c>
      <c r="E8" s="13" t="s">
        <v>32</v>
      </c>
      <c r="F8" s="13" t="s">
        <v>33</v>
      </c>
      <c r="G8" s="13" t="s">
        <v>34</v>
      </c>
      <c r="H8" s="2"/>
      <c r="I8" s="2"/>
      <c r="J8" s="2"/>
      <c r="K8" s="2"/>
      <c r="L8" s="2"/>
      <c r="M8" s="2"/>
      <c r="N8" s="2"/>
      <c r="O8" s="2"/>
      <c r="P8" s="2"/>
      <c r="Q8" s="2"/>
      <c r="R8" s="2"/>
      <c r="S8" s="2"/>
      <c r="T8" s="2"/>
      <c r="U8" s="2"/>
      <c r="V8" s="2"/>
      <c r="W8" s="2"/>
      <c r="X8" s="2"/>
      <c r="Y8" s="2"/>
      <c r="Z8" s="2"/>
    </row>
    <row r="9" customHeight="1" spans="1:26">
      <c r="A9" s="77" t="s">
        <v>35</v>
      </c>
      <c r="B9" s="13" t="s">
        <v>36</v>
      </c>
      <c r="C9" s="13" t="s">
        <v>31</v>
      </c>
      <c r="D9" s="65">
        <v>30</v>
      </c>
      <c r="E9" s="13" t="s">
        <v>37</v>
      </c>
      <c r="F9" s="13" t="s">
        <v>38</v>
      </c>
      <c r="G9" s="13" t="s">
        <v>39</v>
      </c>
      <c r="H9" s="2"/>
      <c r="I9" s="2"/>
      <c r="J9" s="2"/>
      <c r="K9" s="2"/>
      <c r="L9" s="2"/>
      <c r="M9" s="2"/>
      <c r="N9" s="2"/>
      <c r="O9" s="2"/>
      <c r="P9" s="2"/>
      <c r="Q9" s="2"/>
      <c r="R9" s="2"/>
      <c r="S9" s="2"/>
      <c r="T9" s="2"/>
      <c r="U9" s="2"/>
      <c r="V9" s="2"/>
      <c r="W9" s="2"/>
      <c r="X9" s="2"/>
      <c r="Y9" s="2"/>
      <c r="Z9" s="2"/>
    </row>
    <row r="10" customHeight="1" spans="1:26">
      <c r="A10" s="77" t="s">
        <v>40</v>
      </c>
      <c r="B10" s="13" t="s">
        <v>41</v>
      </c>
      <c r="C10" s="13" t="s">
        <v>41</v>
      </c>
      <c r="D10" s="65">
        <v>106</v>
      </c>
      <c r="E10" s="13" t="s">
        <v>21</v>
      </c>
      <c r="F10" s="13" t="s">
        <v>42</v>
      </c>
      <c r="G10" s="13" t="s">
        <v>43</v>
      </c>
      <c r="H10" s="2"/>
      <c r="I10" s="2"/>
      <c r="J10" s="2"/>
      <c r="K10" s="2"/>
      <c r="L10" s="2"/>
      <c r="M10" s="2"/>
      <c r="N10" s="2"/>
      <c r="O10" s="2"/>
      <c r="P10" s="2"/>
      <c r="Q10" s="2"/>
      <c r="R10" s="2"/>
      <c r="S10" s="2"/>
      <c r="T10" s="2"/>
      <c r="U10" s="2"/>
      <c r="V10" s="2"/>
      <c r="W10" s="2"/>
      <c r="X10" s="2"/>
      <c r="Y10" s="2"/>
      <c r="Z10" s="2"/>
    </row>
    <row r="11" customHeight="1" spans="1:26">
      <c r="A11" s="169" t="s">
        <v>44</v>
      </c>
      <c r="B11" s="13" t="s">
        <v>45</v>
      </c>
      <c r="C11" s="13" t="s">
        <v>46</v>
      </c>
      <c r="D11" s="57"/>
      <c r="E11" s="57"/>
      <c r="F11" s="13" t="s">
        <v>47</v>
      </c>
      <c r="G11" s="13" t="s">
        <v>48</v>
      </c>
      <c r="H11" s="2"/>
      <c r="I11" s="2"/>
      <c r="J11" s="2"/>
      <c r="K11" s="2"/>
      <c r="L11" s="2"/>
      <c r="M11" s="2"/>
      <c r="N11" s="2"/>
      <c r="O11" s="2"/>
      <c r="P11" s="2"/>
      <c r="Q11" s="2"/>
      <c r="R11" s="2"/>
      <c r="S11" s="2"/>
      <c r="T11" s="2"/>
      <c r="U11" s="2"/>
      <c r="V11" s="2"/>
      <c r="W11" s="2"/>
      <c r="X11" s="2"/>
      <c r="Y11" s="2"/>
      <c r="Z11" s="2"/>
    </row>
    <row r="12" customHeight="1" spans="1:26">
      <c r="A12" s="169" t="s">
        <v>49</v>
      </c>
      <c r="B12" s="13" t="s">
        <v>50</v>
      </c>
      <c r="C12" s="13" t="s">
        <v>51</v>
      </c>
      <c r="D12" s="57"/>
      <c r="E12" s="57"/>
      <c r="F12" s="13" t="s">
        <v>52</v>
      </c>
      <c r="G12" s="13" t="s">
        <v>53</v>
      </c>
      <c r="H12" s="2"/>
      <c r="I12" s="2"/>
      <c r="J12" s="2"/>
      <c r="K12" s="2"/>
      <c r="L12" s="2"/>
      <c r="M12" s="2"/>
      <c r="N12" s="2"/>
      <c r="O12" s="2"/>
      <c r="P12" s="2"/>
      <c r="Q12" s="2"/>
      <c r="R12" s="2"/>
      <c r="S12" s="2"/>
      <c r="T12" s="2"/>
      <c r="U12" s="2"/>
      <c r="V12" s="2"/>
      <c r="W12" s="2"/>
      <c r="X12" s="2"/>
      <c r="Y12" s="2"/>
      <c r="Z12" s="2"/>
    </row>
    <row r="13" ht="27" customHeight="1" spans="1:26">
      <c r="A13" s="169" t="s">
        <v>54</v>
      </c>
      <c r="B13" s="52" t="s">
        <v>55</v>
      </c>
      <c r="C13" s="52" t="s">
        <v>56</v>
      </c>
      <c r="D13" s="184"/>
      <c r="E13" s="184"/>
      <c r="F13" s="52" t="s">
        <v>57</v>
      </c>
      <c r="G13" s="52" t="s">
        <v>58</v>
      </c>
      <c r="H13" s="2"/>
      <c r="I13" s="2"/>
      <c r="J13" s="2"/>
      <c r="K13" s="2"/>
      <c r="L13" s="2"/>
      <c r="M13" s="2"/>
      <c r="N13" s="2"/>
      <c r="O13" s="2"/>
      <c r="P13" s="2"/>
      <c r="Q13" s="2"/>
      <c r="R13" s="2"/>
      <c r="S13" s="2"/>
      <c r="T13" s="2"/>
      <c r="U13" s="2"/>
      <c r="V13" s="2"/>
      <c r="W13" s="2"/>
      <c r="X13" s="2"/>
      <c r="Y13" s="2"/>
      <c r="Z13" s="2"/>
    </row>
    <row r="14" customHeight="1" spans="1:26">
      <c r="A14" s="77" t="s">
        <v>59</v>
      </c>
      <c r="B14" s="13" t="s">
        <v>60</v>
      </c>
      <c r="C14" s="13" t="s">
        <v>61</v>
      </c>
      <c r="D14" s="65">
        <v>13</v>
      </c>
      <c r="E14" s="13" t="s">
        <v>37</v>
      </c>
      <c r="F14" s="13" t="s">
        <v>62</v>
      </c>
      <c r="G14" s="13" t="s">
        <v>63</v>
      </c>
      <c r="H14" s="2"/>
      <c r="I14" s="2"/>
      <c r="J14" s="2"/>
      <c r="K14" s="2"/>
      <c r="L14" s="2"/>
      <c r="M14" s="2"/>
      <c r="N14" s="2"/>
      <c r="O14" s="2"/>
      <c r="P14" s="2"/>
      <c r="Q14" s="2"/>
      <c r="R14" s="2"/>
      <c r="S14" s="2"/>
      <c r="T14" s="2"/>
      <c r="U14" s="2"/>
      <c r="V14" s="2"/>
      <c r="W14" s="2"/>
      <c r="X14" s="2"/>
      <c r="Y14" s="2"/>
      <c r="Z14" s="2"/>
    </row>
    <row r="15" customHeight="1" spans="1:26">
      <c r="A15" s="77" t="s">
        <v>64</v>
      </c>
      <c r="B15" s="13" t="s">
        <v>65</v>
      </c>
      <c r="C15" s="13" t="s">
        <v>66</v>
      </c>
      <c r="D15" s="65">
        <v>13</v>
      </c>
      <c r="E15" s="13" t="s">
        <v>32</v>
      </c>
      <c r="F15" s="13" t="s">
        <v>67</v>
      </c>
      <c r="G15" s="13" t="s">
        <v>68</v>
      </c>
      <c r="H15" s="2"/>
      <c r="I15" s="2"/>
      <c r="J15" s="2"/>
      <c r="K15" s="2"/>
      <c r="L15" s="2"/>
      <c r="M15" s="2"/>
      <c r="N15" s="2"/>
      <c r="O15" s="2"/>
      <c r="P15" s="2"/>
      <c r="Q15" s="2"/>
      <c r="R15" s="2"/>
      <c r="S15" s="2"/>
      <c r="T15" s="2"/>
      <c r="U15" s="2"/>
      <c r="V15" s="2"/>
      <c r="W15" s="2"/>
      <c r="X15" s="2"/>
      <c r="Y15" s="2"/>
      <c r="Z15" s="2"/>
    </row>
    <row r="16" customHeight="1" spans="1:26">
      <c r="A16" s="77" t="s">
        <v>69</v>
      </c>
      <c r="B16" s="13" t="s">
        <v>70</v>
      </c>
      <c r="C16" s="13" t="s">
        <v>66</v>
      </c>
      <c r="D16" s="65">
        <v>12</v>
      </c>
      <c r="E16" s="13" t="s">
        <v>71</v>
      </c>
      <c r="F16" s="13" t="s">
        <v>72</v>
      </c>
      <c r="G16" s="13" t="s">
        <v>73</v>
      </c>
      <c r="H16" s="2"/>
      <c r="I16" s="2"/>
      <c r="J16" s="2"/>
      <c r="K16" s="2"/>
      <c r="L16" s="2"/>
      <c r="M16" s="2"/>
      <c r="N16" s="2"/>
      <c r="O16" s="2"/>
      <c r="P16" s="2"/>
      <c r="Q16" s="2"/>
      <c r="R16" s="2"/>
      <c r="S16" s="2"/>
      <c r="T16" s="2"/>
      <c r="U16" s="2"/>
      <c r="V16" s="2"/>
      <c r="W16" s="2"/>
      <c r="X16" s="2"/>
      <c r="Y16" s="2"/>
      <c r="Z16" s="2"/>
    </row>
    <row r="17" customHeight="1" spans="1:26">
      <c r="A17" s="169" t="s">
        <v>74</v>
      </c>
      <c r="B17" s="13" t="s">
        <v>75</v>
      </c>
      <c r="C17" s="13" t="s">
        <v>76</v>
      </c>
      <c r="D17" s="57"/>
      <c r="E17" s="57"/>
      <c r="F17" s="13" t="s">
        <v>77</v>
      </c>
      <c r="G17" s="13" t="s">
        <v>78</v>
      </c>
      <c r="H17" s="2"/>
      <c r="I17" s="2"/>
      <c r="J17" s="2"/>
      <c r="K17" s="2"/>
      <c r="L17" s="2"/>
      <c r="M17" s="2"/>
      <c r="N17" s="2"/>
      <c r="O17" s="2"/>
      <c r="P17" s="2"/>
      <c r="Q17" s="2"/>
      <c r="R17" s="2"/>
      <c r="S17" s="2"/>
      <c r="T17" s="2"/>
      <c r="U17" s="2"/>
      <c r="V17" s="2"/>
      <c r="W17" s="2"/>
      <c r="X17" s="2"/>
      <c r="Y17" s="2"/>
      <c r="Z17" s="2"/>
    </row>
    <row r="18" customHeight="1" spans="1:26">
      <c r="A18" s="77" t="s">
        <v>79</v>
      </c>
      <c r="B18" s="13" t="s">
        <v>80</v>
      </c>
      <c r="C18" s="13" t="s">
        <v>81</v>
      </c>
      <c r="D18" s="65">
        <v>30</v>
      </c>
      <c r="E18" s="13" t="s">
        <v>37</v>
      </c>
      <c r="F18" s="13" t="s">
        <v>82</v>
      </c>
      <c r="G18" s="13" t="s">
        <v>83</v>
      </c>
      <c r="H18" s="2"/>
      <c r="I18" s="2"/>
      <c r="J18" s="2"/>
      <c r="K18" s="2"/>
      <c r="L18" s="2"/>
      <c r="M18" s="2"/>
      <c r="N18" s="2"/>
      <c r="O18" s="2"/>
      <c r="P18" s="2"/>
      <c r="Q18" s="2"/>
      <c r="R18" s="2"/>
      <c r="S18" s="2"/>
      <c r="T18" s="2"/>
      <c r="U18" s="2"/>
      <c r="V18" s="2"/>
      <c r="W18" s="2"/>
      <c r="X18" s="2"/>
      <c r="Y18" s="2"/>
      <c r="Z18" s="2"/>
    </row>
    <row r="19" customHeight="1" spans="1:26">
      <c r="A19" s="169" t="s">
        <v>84</v>
      </c>
      <c r="B19" s="52" t="s">
        <v>85</v>
      </c>
      <c r="C19" s="52" t="s">
        <v>86</v>
      </c>
      <c r="D19" s="184"/>
      <c r="E19" s="184"/>
      <c r="F19" s="52" t="s">
        <v>87</v>
      </c>
      <c r="G19" s="52" t="s">
        <v>88</v>
      </c>
      <c r="H19" s="2"/>
      <c r="I19" s="2"/>
      <c r="J19" s="2"/>
      <c r="K19" s="2"/>
      <c r="L19" s="2"/>
      <c r="M19" s="2"/>
      <c r="N19" s="2"/>
      <c r="O19" s="2"/>
      <c r="P19" s="2"/>
      <c r="Q19" s="2"/>
      <c r="R19" s="2"/>
      <c r="S19" s="2"/>
      <c r="T19" s="2"/>
      <c r="U19" s="2"/>
      <c r="V19" s="2"/>
      <c r="W19" s="2"/>
      <c r="X19" s="2"/>
      <c r="Y19" s="2"/>
      <c r="Z19" s="2"/>
    </row>
    <row r="20" customHeight="1" spans="1:26">
      <c r="A20" s="169" t="s">
        <v>89</v>
      </c>
      <c r="B20" s="13" t="s">
        <v>90</v>
      </c>
      <c r="C20" s="13" t="s">
        <v>91</v>
      </c>
      <c r="D20" s="57"/>
      <c r="E20" s="57"/>
      <c r="F20" s="13" t="s">
        <v>92</v>
      </c>
      <c r="G20" s="13" t="s">
        <v>93</v>
      </c>
      <c r="H20" s="2"/>
      <c r="I20" s="2"/>
      <c r="J20" s="2"/>
      <c r="K20" s="2"/>
      <c r="L20" s="2"/>
      <c r="M20" s="2"/>
      <c r="N20" s="2"/>
      <c r="O20" s="2"/>
      <c r="P20" s="2"/>
      <c r="Q20" s="2"/>
      <c r="R20" s="2"/>
      <c r="S20" s="2"/>
      <c r="T20" s="2"/>
      <c r="U20" s="2"/>
      <c r="V20" s="2"/>
      <c r="W20" s="2"/>
      <c r="X20" s="2"/>
      <c r="Y20" s="2"/>
      <c r="Z20" s="2"/>
    </row>
    <row r="21" customHeight="1" spans="1:26">
      <c r="A21" s="77" t="s">
        <v>94</v>
      </c>
      <c r="B21" s="52" t="s">
        <v>95</v>
      </c>
      <c r="C21" s="52" t="s">
        <v>96</v>
      </c>
      <c r="D21" s="184">
        <v>80</v>
      </c>
      <c r="E21" s="52" t="s">
        <v>97</v>
      </c>
      <c r="F21" s="52" t="s">
        <v>98</v>
      </c>
      <c r="G21" s="217" t="str">
        <f>HYPERLINK("http://www.total.fr/","www.total.fr/")</f>
        <v>www.total.fr/</v>
      </c>
      <c r="H21" s="2"/>
      <c r="I21" s="2"/>
      <c r="J21" s="2"/>
      <c r="K21" s="2"/>
      <c r="L21" s="2"/>
      <c r="M21" s="2"/>
      <c r="N21" s="2"/>
      <c r="O21" s="2"/>
      <c r="P21" s="2"/>
      <c r="Q21" s="2"/>
      <c r="R21" s="2"/>
      <c r="S21" s="2"/>
      <c r="T21" s="2"/>
      <c r="U21" s="2"/>
      <c r="V21" s="2"/>
      <c r="W21" s="2"/>
      <c r="X21" s="2"/>
      <c r="Y21" s="2"/>
      <c r="Z21" s="2"/>
    </row>
    <row r="22" customHeight="1" spans="1:26">
      <c r="A22" s="77" t="s">
        <v>99</v>
      </c>
      <c r="B22" s="52" t="s">
        <v>100</v>
      </c>
      <c r="C22" s="52" t="s">
        <v>96</v>
      </c>
      <c r="D22" s="184">
        <v>80</v>
      </c>
      <c r="E22" s="52" t="s">
        <v>97</v>
      </c>
      <c r="F22" s="52" t="s">
        <v>101</v>
      </c>
      <c r="G22" s="54" t="str">
        <f>HYPERLINK("http://www.shell.fr/","www.shell.fr/")</f>
        <v>www.shell.fr/</v>
      </c>
      <c r="H22" s="2"/>
      <c r="I22" s="2"/>
      <c r="J22" s="2"/>
      <c r="K22" s="2"/>
      <c r="L22" s="2"/>
      <c r="M22" s="2"/>
      <c r="N22" s="2"/>
      <c r="O22" s="2"/>
      <c r="P22" s="2"/>
      <c r="Q22" s="2"/>
      <c r="R22" s="2"/>
      <c r="S22" s="2"/>
      <c r="T22" s="2"/>
      <c r="U22" s="2"/>
      <c r="V22" s="2"/>
      <c r="W22" s="2"/>
      <c r="X22" s="2"/>
      <c r="Y22" s="2"/>
      <c r="Z22" s="2"/>
    </row>
    <row r="23" ht="27" customHeight="1" spans="1:26">
      <c r="A23" s="77" t="s">
        <v>102</v>
      </c>
      <c r="B23" s="52" t="s">
        <v>103</v>
      </c>
      <c r="C23" s="52" t="s">
        <v>104</v>
      </c>
      <c r="D23" s="184"/>
      <c r="E23" s="184"/>
      <c r="F23" s="52" t="s">
        <v>105</v>
      </c>
      <c r="G23" s="52" t="s">
        <v>106</v>
      </c>
      <c r="H23" s="2"/>
      <c r="I23" s="2"/>
      <c r="J23" s="2"/>
      <c r="K23" s="2"/>
      <c r="L23" s="2"/>
      <c r="M23" s="2"/>
      <c r="N23" s="2"/>
      <c r="O23" s="2"/>
      <c r="P23" s="2"/>
      <c r="Q23" s="2"/>
      <c r="R23" s="2"/>
      <c r="S23" s="2"/>
      <c r="T23" s="2"/>
      <c r="U23" s="2"/>
      <c r="V23" s="2"/>
      <c r="W23" s="2"/>
      <c r="X23" s="2"/>
      <c r="Y23" s="2"/>
      <c r="Z23" s="2"/>
    </row>
    <row r="24" customHeight="1" spans="1:26">
      <c r="A24" s="169" t="s">
        <v>107</v>
      </c>
      <c r="B24" s="13" t="s">
        <v>16</v>
      </c>
      <c r="C24" s="13" t="s">
        <v>108</v>
      </c>
      <c r="D24" s="65">
        <v>123</v>
      </c>
      <c r="E24" s="13" t="s">
        <v>21</v>
      </c>
      <c r="F24" s="13" t="s">
        <v>109</v>
      </c>
      <c r="G24" s="68" t="str">
        <f>HYPERLINK("http://www.easyjet.fr/","http://www.easyjet.fr/")</f>
        <v>http://www.easyjet.fr/</v>
      </c>
      <c r="H24" s="2"/>
      <c r="I24" s="2"/>
      <c r="J24" s="2"/>
      <c r="K24" s="2"/>
      <c r="L24" s="2"/>
      <c r="M24" s="2"/>
      <c r="N24" s="2"/>
      <c r="O24" s="2"/>
      <c r="P24" s="2"/>
      <c r="Q24" s="2"/>
      <c r="R24" s="2"/>
      <c r="S24" s="2"/>
      <c r="T24" s="2"/>
      <c r="U24" s="2"/>
      <c r="V24" s="2"/>
      <c r="W24" s="2"/>
      <c r="X24" s="2"/>
      <c r="Y24" s="2"/>
      <c r="Z24" s="2"/>
    </row>
    <row r="25" customHeight="1" spans="1:26">
      <c r="A25" s="169" t="s">
        <v>110</v>
      </c>
      <c r="B25" s="13" t="s">
        <v>111</v>
      </c>
      <c r="C25" s="13" t="s">
        <v>112</v>
      </c>
      <c r="D25" s="57"/>
      <c r="E25" s="57"/>
      <c r="F25" s="13" t="s">
        <v>113</v>
      </c>
      <c r="G25" s="13" t="s">
        <v>114</v>
      </c>
      <c r="H25" s="2"/>
      <c r="I25" s="2"/>
      <c r="J25" s="2"/>
      <c r="K25" s="2"/>
      <c r="L25" s="2"/>
      <c r="M25" s="2"/>
      <c r="N25" s="2"/>
      <c r="O25" s="2"/>
      <c r="P25" s="2"/>
      <c r="Q25" s="2"/>
      <c r="R25" s="2"/>
      <c r="S25" s="2"/>
      <c r="T25" s="2"/>
      <c r="U25" s="2"/>
      <c r="V25" s="2"/>
      <c r="W25" s="2"/>
      <c r="X25" s="2"/>
      <c r="Y25" s="2"/>
      <c r="Z25" s="2"/>
    </row>
    <row r="26" ht="27" customHeight="1" spans="1:26">
      <c r="A26" s="169" t="s">
        <v>115</v>
      </c>
      <c r="B26" s="52" t="s">
        <v>116</v>
      </c>
      <c r="C26" s="52" t="s">
        <v>117</v>
      </c>
      <c r="D26" s="7"/>
      <c r="E26" s="7"/>
      <c r="F26" s="52" t="s">
        <v>118</v>
      </c>
      <c r="G26" s="52" t="s">
        <v>119</v>
      </c>
      <c r="H26" s="2"/>
      <c r="I26" s="2"/>
      <c r="J26" s="2"/>
      <c r="K26" s="2"/>
      <c r="L26" s="2"/>
      <c r="M26" s="2"/>
      <c r="N26" s="2"/>
      <c r="O26" s="2"/>
      <c r="P26" s="2"/>
      <c r="Q26" s="2"/>
      <c r="R26" s="2"/>
      <c r="S26" s="2"/>
      <c r="T26" s="2"/>
      <c r="U26" s="2"/>
      <c r="V26" s="2"/>
      <c r="W26" s="2"/>
      <c r="X26" s="2"/>
      <c r="Y26" s="2"/>
      <c r="Z26" s="2"/>
    </row>
    <row r="27" customHeight="1" spans="1:26">
      <c r="A27" s="77" t="s">
        <v>120</v>
      </c>
      <c r="B27" s="214" t="s">
        <v>121</v>
      </c>
      <c r="C27" s="52" t="s">
        <v>117</v>
      </c>
      <c r="D27" s="7"/>
      <c r="E27" s="7"/>
      <c r="F27" s="52" t="s">
        <v>122</v>
      </c>
      <c r="G27" s="7"/>
      <c r="H27" s="2"/>
      <c r="I27" s="2"/>
      <c r="J27" s="2"/>
      <c r="K27" s="2"/>
      <c r="L27" s="2"/>
      <c r="M27" s="2"/>
      <c r="N27" s="2"/>
      <c r="O27" s="2"/>
      <c r="P27" s="2"/>
      <c r="Q27" s="2"/>
      <c r="R27" s="2"/>
      <c r="S27" s="2"/>
      <c r="T27" s="2"/>
      <c r="U27" s="2"/>
      <c r="V27" s="2"/>
      <c r="W27" s="2"/>
      <c r="X27" s="2"/>
      <c r="Y27" s="2"/>
      <c r="Z27" s="2"/>
    </row>
    <row r="28" customHeight="1" spans="1:26">
      <c r="A28" s="169" t="s">
        <v>123</v>
      </c>
      <c r="B28" s="214" t="s">
        <v>124</v>
      </c>
      <c r="C28" s="52" t="s">
        <v>117</v>
      </c>
      <c r="D28" s="7"/>
      <c r="E28" s="7"/>
      <c r="F28" s="52" t="s">
        <v>125</v>
      </c>
      <c r="G28" s="52" t="s">
        <v>126</v>
      </c>
      <c r="H28" s="2"/>
      <c r="I28" s="2"/>
      <c r="J28" s="2"/>
      <c r="K28" s="2"/>
      <c r="L28" s="2"/>
      <c r="M28" s="2"/>
      <c r="N28" s="2"/>
      <c r="O28" s="2"/>
      <c r="P28" s="2"/>
      <c r="Q28" s="2"/>
      <c r="R28" s="2"/>
      <c r="S28" s="2"/>
      <c r="T28" s="2"/>
      <c r="U28" s="2"/>
      <c r="V28" s="2"/>
      <c r="W28" s="2"/>
      <c r="X28" s="2"/>
      <c r="Y28" s="2"/>
      <c r="Z28" s="2"/>
    </row>
    <row r="29" customHeight="1" spans="1:26">
      <c r="A29" s="77" t="s">
        <v>127</v>
      </c>
      <c r="B29" s="214" t="s">
        <v>128</v>
      </c>
      <c r="C29" s="52" t="s">
        <v>117</v>
      </c>
      <c r="D29" s="7"/>
      <c r="E29" s="7"/>
      <c r="F29" s="52" t="s">
        <v>129</v>
      </c>
      <c r="G29" s="52" t="s">
        <v>130</v>
      </c>
      <c r="H29" s="2"/>
      <c r="I29" s="2"/>
      <c r="J29" s="2"/>
      <c r="K29" s="2"/>
      <c r="L29" s="2"/>
      <c r="M29" s="2"/>
      <c r="N29" s="2"/>
      <c r="O29" s="2"/>
      <c r="P29" s="2"/>
      <c r="Q29" s="2"/>
      <c r="R29" s="2"/>
      <c r="S29" s="2"/>
      <c r="T29" s="2"/>
      <c r="U29" s="2"/>
      <c r="V29" s="2"/>
      <c r="W29" s="2"/>
      <c r="X29" s="2"/>
      <c r="Y29" s="2"/>
      <c r="Z29" s="2"/>
    </row>
    <row r="30" customHeight="1" spans="1:26">
      <c r="A30" s="77" t="s">
        <v>131</v>
      </c>
      <c r="B30" s="214" t="s">
        <v>132</v>
      </c>
      <c r="C30" s="52" t="s">
        <v>117</v>
      </c>
      <c r="D30" s="7"/>
      <c r="E30" s="7"/>
      <c r="F30" s="52" t="s">
        <v>133</v>
      </c>
      <c r="G30" s="52" t="s">
        <v>134</v>
      </c>
      <c r="H30" s="2"/>
      <c r="I30" s="2"/>
      <c r="J30" s="2"/>
      <c r="K30" s="2"/>
      <c r="L30" s="2"/>
      <c r="M30" s="2"/>
      <c r="N30" s="2"/>
      <c r="O30" s="2"/>
      <c r="P30" s="2"/>
      <c r="Q30" s="2"/>
      <c r="R30" s="2"/>
      <c r="S30" s="2"/>
      <c r="T30" s="2"/>
      <c r="U30" s="2"/>
      <c r="V30" s="2"/>
      <c r="W30" s="2"/>
      <c r="X30" s="2"/>
      <c r="Y30" s="2"/>
      <c r="Z30" s="2"/>
    </row>
    <row r="31" customHeight="1" spans="1:26">
      <c r="A31" s="77" t="s">
        <v>135</v>
      </c>
      <c r="B31" s="214" t="s">
        <v>136</v>
      </c>
      <c r="C31" s="52" t="s">
        <v>117</v>
      </c>
      <c r="D31" s="7"/>
      <c r="E31" s="7"/>
      <c r="F31" s="52" t="s">
        <v>137</v>
      </c>
      <c r="G31" s="52" t="s">
        <v>138</v>
      </c>
      <c r="H31" s="2"/>
      <c r="I31" s="2"/>
      <c r="J31" s="2"/>
      <c r="K31" s="2"/>
      <c r="L31" s="2"/>
      <c r="M31" s="2"/>
      <c r="N31" s="2"/>
      <c r="O31" s="2"/>
      <c r="P31" s="2"/>
      <c r="Q31" s="2"/>
      <c r="R31" s="2"/>
      <c r="S31" s="2"/>
      <c r="T31" s="2"/>
      <c r="U31" s="2"/>
      <c r="V31" s="2"/>
      <c r="W31" s="2"/>
      <c r="X31" s="2"/>
      <c r="Y31" s="2"/>
      <c r="Z31" s="2"/>
    </row>
    <row r="32" ht="27" customHeight="1" spans="1:26">
      <c r="A32" s="169" t="s">
        <v>139</v>
      </c>
      <c r="B32" s="52" t="s">
        <v>140</v>
      </c>
      <c r="C32" s="52" t="s">
        <v>141</v>
      </c>
      <c r="D32" s="184"/>
      <c r="E32" s="184"/>
      <c r="F32" s="52" t="s">
        <v>142</v>
      </c>
      <c r="G32" s="52" t="s">
        <v>143</v>
      </c>
      <c r="H32" s="2"/>
      <c r="I32" s="2"/>
      <c r="J32" s="2"/>
      <c r="K32" s="2"/>
      <c r="L32" s="2"/>
      <c r="M32" s="2"/>
      <c r="N32" s="2"/>
      <c r="O32" s="2"/>
      <c r="P32" s="2"/>
      <c r="Q32" s="2"/>
      <c r="R32" s="2"/>
      <c r="S32" s="2"/>
      <c r="T32" s="2"/>
      <c r="U32" s="2"/>
      <c r="V32" s="2"/>
      <c r="W32" s="2"/>
      <c r="X32" s="2"/>
      <c r="Y32" s="2"/>
      <c r="Z32" s="2"/>
    </row>
    <row r="33" customHeight="1" spans="1:26">
      <c r="A33" s="169" t="s">
        <v>144</v>
      </c>
      <c r="B33" s="13" t="s">
        <v>145</v>
      </c>
      <c r="C33" s="13" t="s">
        <v>146</v>
      </c>
      <c r="D33" s="57"/>
      <c r="E33" s="57"/>
      <c r="F33" s="13" t="s">
        <v>147</v>
      </c>
      <c r="G33" s="13" t="s">
        <v>148</v>
      </c>
      <c r="H33" s="2"/>
      <c r="I33" s="2"/>
      <c r="J33" s="2"/>
      <c r="K33" s="2"/>
      <c r="L33" s="2"/>
      <c r="M33" s="2"/>
      <c r="N33" s="2"/>
      <c r="O33" s="2"/>
      <c r="P33" s="2"/>
      <c r="Q33" s="2"/>
      <c r="R33" s="2"/>
      <c r="S33" s="2"/>
      <c r="T33" s="2"/>
      <c r="U33" s="2"/>
      <c r="V33" s="2"/>
      <c r="W33" s="2"/>
      <c r="X33" s="2"/>
      <c r="Y33" s="2"/>
      <c r="Z33" s="2"/>
    </row>
    <row r="34" customHeight="1" spans="1:26">
      <c r="A34" s="169" t="s">
        <v>149</v>
      </c>
      <c r="B34" s="13" t="s">
        <v>150</v>
      </c>
      <c r="C34" s="13" t="s">
        <v>151</v>
      </c>
      <c r="D34" s="57"/>
      <c r="E34" s="57"/>
      <c r="F34" s="13" t="s">
        <v>152</v>
      </c>
      <c r="G34" s="13" t="s">
        <v>153</v>
      </c>
      <c r="H34" s="2"/>
      <c r="I34" s="2"/>
      <c r="J34" s="2"/>
      <c r="K34" s="2"/>
      <c r="L34" s="2"/>
      <c r="M34" s="2"/>
      <c r="N34" s="2"/>
      <c r="O34" s="2"/>
      <c r="P34" s="2"/>
      <c r="Q34" s="2"/>
      <c r="R34" s="2"/>
      <c r="S34" s="2"/>
      <c r="T34" s="2"/>
      <c r="U34" s="2"/>
      <c r="V34" s="2"/>
      <c r="W34" s="2"/>
      <c r="X34" s="2"/>
      <c r="Y34" s="2"/>
      <c r="Z34" s="2"/>
    </row>
    <row r="35" customHeight="1" spans="1:26">
      <c r="A35" s="77" t="s">
        <v>154</v>
      </c>
      <c r="B35" s="13" t="s">
        <v>155</v>
      </c>
      <c r="C35" s="13" t="s">
        <v>156</v>
      </c>
      <c r="D35" s="65">
        <v>30</v>
      </c>
      <c r="E35" s="13" t="s">
        <v>37</v>
      </c>
      <c r="F35" s="13" t="s">
        <v>157</v>
      </c>
      <c r="G35" s="13" t="s">
        <v>158</v>
      </c>
      <c r="H35" s="2"/>
      <c r="I35" s="2"/>
      <c r="J35" s="2"/>
      <c r="K35" s="2"/>
      <c r="L35" s="2"/>
      <c r="M35" s="2"/>
      <c r="N35" s="2"/>
      <c r="O35" s="2"/>
      <c r="P35" s="2"/>
      <c r="Q35" s="2"/>
      <c r="R35" s="2"/>
      <c r="S35" s="2"/>
      <c r="T35" s="2"/>
      <c r="U35" s="2"/>
      <c r="V35" s="2"/>
      <c r="W35" s="2"/>
      <c r="X35" s="2"/>
      <c r="Y35" s="2"/>
      <c r="Z35" s="2"/>
    </row>
    <row r="36" customHeight="1" spans="1:26">
      <c r="A36" s="169" t="s">
        <v>159</v>
      </c>
      <c r="B36" s="13" t="s">
        <v>160</v>
      </c>
      <c r="C36" s="13" t="s">
        <v>161</v>
      </c>
      <c r="D36" s="57"/>
      <c r="E36" s="57"/>
      <c r="F36" s="13" t="s">
        <v>162</v>
      </c>
      <c r="G36" s="13" t="s">
        <v>163</v>
      </c>
      <c r="H36" s="2"/>
      <c r="I36" s="2"/>
      <c r="J36" s="2"/>
      <c r="K36" s="2"/>
      <c r="L36" s="2"/>
      <c r="M36" s="2"/>
      <c r="N36" s="2"/>
      <c r="O36" s="2"/>
      <c r="P36" s="2"/>
      <c r="Q36" s="2"/>
      <c r="R36" s="2"/>
      <c r="S36" s="2"/>
      <c r="T36" s="2"/>
      <c r="U36" s="2"/>
      <c r="V36" s="2"/>
      <c r="W36" s="2"/>
      <c r="X36" s="2"/>
      <c r="Y36" s="2"/>
      <c r="Z36" s="2"/>
    </row>
    <row r="37" customHeight="1" spans="1:26">
      <c r="A37" s="169" t="s">
        <v>164</v>
      </c>
      <c r="B37" s="13" t="s">
        <v>165</v>
      </c>
      <c r="C37" s="13" t="s">
        <v>166</v>
      </c>
      <c r="D37" s="57"/>
      <c r="E37" s="57"/>
      <c r="F37" s="13" t="s">
        <v>167</v>
      </c>
      <c r="G37" s="13" t="s">
        <v>168</v>
      </c>
      <c r="H37" s="2"/>
      <c r="I37" s="2"/>
      <c r="J37" s="2"/>
      <c r="K37" s="2"/>
      <c r="L37" s="2"/>
      <c r="M37" s="2"/>
      <c r="N37" s="2"/>
      <c r="O37" s="2"/>
      <c r="P37" s="2"/>
      <c r="Q37" s="2"/>
      <c r="R37" s="2"/>
      <c r="S37" s="2"/>
      <c r="T37" s="2"/>
      <c r="U37" s="2"/>
      <c r="V37" s="2"/>
      <c r="W37" s="2"/>
      <c r="X37" s="2"/>
      <c r="Y37" s="2"/>
      <c r="Z37" s="2"/>
    </row>
    <row r="38" customHeight="1" spans="1:26">
      <c r="A38" s="77" t="s">
        <v>169</v>
      </c>
      <c r="B38" s="13" t="s">
        <v>170</v>
      </c>
      <c r="C38" s="13" t="s">
        <v>171</v>
      </c>
      <c r="D38" s="65">
        <v>46</v>
      </c>
      <c r="E38" s="13" t="s">
        <v>37</v>
      </c>
      <c r="F38" s="13" t="s">
        <v>172</v>
      </c>
      <c r="G38" s="13" t="s">
        <v>173</v>
      </c>
      <c r="H38" s="2"/>
      <c r="I38" s="2"/>
      <c r="J38" s="2"/>
      <c r="K38" s="2"/>
      <c r="L38" s="2"/>
      <c r="M38" s="2"/>
      <c r="N38" s="2"/>
      <c r="O38" s="2"/>
      <c r="P38" s="2"/>
      <c r="Q38" s="2"/>
      <c r="R38" s="2"/>
      <c r="S38" s="2"/>
      <c r="T38" s="2"/>
      <c r="U38" s="2"/>
      <c r="V38" s="2"/>
      <c r="W38" s="2"/>
      <c r="X38" s="2"/>
      <c r="Y38" s="2"/>
      <c r="Z38" s="2"/>
    </row>
    <row r="39" customHeight="1" spans="1:26">
      <c r="A39" s="77" t="s">
        <v>174</v>
      </c>
      <c r="B39" s="13" t="s">
        <v>175</v>
      </c>
      <c r="C39" s="13" t="s">
        <v>171</v>
      </c>
      <c r="D39" s="65">
        <v>30</v>
      </c>
      <c r="E39" s="13" t="s">
        <v>37</v>
      </c>
      <c r="F39" s="13" t="s">
        <v>176</v>
      </c>
      <c r="G39" s="13" t="s">
        <v>177</v>
      </c>
      <c r="H39" s="2"/>
      <c r="I39" s="2"/>
      <c r="J39" s="2"/>
      <c r="K39" s="2"/>
      <c r="L39" s="2"/>
      <c r="M39" s="2"/>
      <c r="N39" s="2"/>
      <c r="O39" s="2"/>
      <c r="P39" s="2"/>
      <c r="Q39" s="2"/>
      <c r="R39" s="2"/>
      <c r="S39" s="2"/>
      <c r="T39" s="2"/>
      <c r="U39" s="2"/>
      <c r="V39" s="2"/>
      <c r="W39" s="2"/>
      <c r="X39" s="2"/>
      <c r="Y39" s="2"/>
      <c r="Z39" s="2"/>
    </row>
    <row r="40" customHeight="1" spans="1:26">
      <c r="A40" s="77" t="s">
        <v>178</v>
      </c>
      <c r="B40" s="13" t="s">
        <v>179</v>
      </c>
      <c r="C40" s="13" t="s">
        <v>180</v>
      </c>
      <c r="D40" s="65">
        <v>45</v>
      </c>
      <c r="E40" s="13" t="s">
        <v>37</v>
      </c>
      <c r="F40" s="57" t="s">
        <v>181</v>
      </c>
      <c r="G40" s="13" t="s">
        <v>182</v>
      </c>
      <c r="H40" s="2"/>
      <c r="I40" s="2"/>
      <c r="J40" s="2"/>
      <c r="K40" s="2"/>
      <c r="L40" s="2"/>
      <c r="M40" s="2"/>
      <c r="N40" s="2"/>
      <c r="O40" s="2"/>
      <c r="P40" s="2"/>
      <c r="Q40" s="2"/>
      <c r="R40" s="2"/>
      <c r="S40" s="2"/>
      <c r="T40" s="2"/>
      <c r="U40" s="2"/>
      <c r="V40" s="2"/>
      <c r="W40" s="2"/>
      <c r="X40" s="2"/>
      <c r="Y40" s="2"/>
      <c r="Z40" s="2"/>
    </row>
    <row r="41" customHeight="1" spans="1:26">
      <c r="A41" s="77"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customHeight="1" spans="1:26">
      <c r="A42" s="77" t="s">
        <v>188</v>
      </c>
      <c r="B42" s="13" t="s">
        <v>189</v>
      </c>
      <c r="C42" s="13" t="s">
        <v>190</v>
      </c>
      <c r="D42" s="65">
        <v>650</v>
      </c>
      <c r="E42" s="13" t="s">
        <v>37</v>
      </c>
      <c r="F42" s="13" t="s">
        <v>191</v>
      </c>
      <c r="G42" s="13" t="s">
        <v>192</v>
      </c>
      <c r="H42" s="2"/>
      <c r="I42" s="2"/>
      <c r="J42" s="2"/>
      <c r="K42" s="2"/>
      <c r="L42" s="2"/>
      <c r="M42" s="2"/>
      <c r="N42" s="2"/>
      <c r="O42" s="2"/>
      <c r="P42" s="2"/>
      <c r="Q42" s="2"/>
      <c r="R42" s="2"/>
      <c r="S42" s="2"/>
      <c r="T42" s="2"/>
      <c r="U42" s="2"/>
      <c r="V42" s="2"/>
      <c r="W42" s="2"/>
      <c r="X42" s="2"/>
      <c r="Y42" s="2"/>
      <c r="Z42" s="2"/>
    </row>
    <row r="43" customHeight="1" spans="1:26">
      <c r="A43" s="169" t="s">
        <v>193</v>
      </c>
      <c r="B43" s="13" t="s">
        <v>194</v>
      </c>
      <c r="C43" s="13" t="s">
        <v>195</v>
      </c>
      <c r="D43" s="57"/>
      <c r="E43" s="57"/>
      <c r="F43" s="13" t="s">
        <v>196</v>
      </c>
      <c r="G43" s="13" t="s">
        <v>197</v>
      </c>
      <c r="H43" s="2"/>
      <c r="I43" s="2"/>
      <c r="J43" s="2"/>
      <c r="K43" s="2"/>
      <c r="L43" s="2"/>
      <c r="M43" s="2"/>
      <c r="N43" s="2"/>
      <c r="O43" s="2"/>
      <c r="P43" s="2"/>
      <c r="Q43" s="2"/>
      <c r="R43" s="2"/>
      <c r="S43" s="2"/>
      <c r="T43" s="2"/>
      <c r="U43" s="2"/>
      <c r="V43" s="2"/>
      <c r="W43" s="2"/>
      <c r="X43" s="2"/>
      <c r="Y43" s="2"/>
      <c r="Z43" s="2"/>
    </row>
    <row r="44" customHeight="1" spans="1:26">
      <c r="A44" s="77" t="s">
        <v>198</v>
      </c>
      <c r="B44" s="52" t="s">
        <v>199</v>
      </c>
      <c r="C44" s="52" t="s">
        <v>200</v>
      </c>
      <c r="D44" s="184"/>
      <c r="E44" s="184"/>
      <c r="F44" s="52" t="s">
        <v>201</v>
      </c>
      <c r="G44" s="62" t="s">
        <v>202</v>
      </c>
      <c r="H44" s="2"/>
      <c r="I44" s="2"/>
      <c r="J44" s="2"/>
      <c r="K44" s="2"/>
      <c r="L44" s="2"/>
      <c r="M44" s="2"/>
      <c r="N44" s="2"/>
      <c r="O44" s="2"/>
      <c r="P44" s="2"/>
      <c r="Q44" s="2"/>
      <c r="R44" s="2"/>
      <c r="S44" s="2"/>
      <c r="T44" s="2"/>
      <c r="U44" s="2"/>
      <c r="V44" s="2"/>
      <c r="W44" s="2"/>
      <c r="X44" s="2"/>
      <c r="Y44" s="2"/>
      <c r="Z44" s="2"/>
    </row>
    <row r="45" customHeight="1" spans="1:26">
      <c r="A45" s="169" t="s">
        <v>203</v>
      </c>
      <c r="B45" s="13" t="s">
        <v>204</v>
      </c>
      <c r="C45" s="13" t="s">
        <v>200</v>
      </c>
      <c r="D45" s="14">
        <v>80</v>
      </c>
      <c r="E45" s="13" t="s">
        <v>21</v>
      </c>
      <c r="F45" s="13" t="s">
        <v>205</v>
      </c>
      <c r="G45" s="13" t="s">
        <v>206</v>
      </c>
      <c r="H45" s="2"/>
      <c r="I45" s="2"/>
      <c r="J45" s="2"/>
      <c r="K45" s="2"/>
      <c r="L45" s="2"/>
      <c r="M45" s="2"/>
      <c r="N45" s="2"/>
      <c r="O45" s="2"/>
      <c r="P45" s="2"/>
      <c r="Q45" s="2"/>
      <c r="R45" s="2"/>
      <c r="S45" s="2"/>
      <c r="T45" s="2"/>
      <c r="U45" s="2"/>
      <c r="V45" s="2"/>
      <c r="W45" s="2"/>
      <c r="X45" s="2"/>
      <c r="Y45" s="2"/>
      <c r="Z45" s="2"/>
    </row>
    <row r="46" customHeight="1" spans="1:26">
      <c r="A46" s="77" t="s">
        <v>207</v>
      </c>
      <c r="B46" s="13" t="s">
        <v>208</v>
      </c>
      <c r="C46" s="13" t="s">
        <v>209</v>
      </c>
      <c r="D46" s="65">
        <v>5</v>
      </c>
      <c r="E46" s="13" t="s">
        <v>37</v>
      </c>
      <c r="F46" s="13" t="s">
        <v>210</v>
      </c>
      <c r="G46" s="13" t="s">
        <v>211</v>
      </c>
      <c r="H46" s="2"/>
      <c r="I46" s="2"/>
      <c r="J46" s="2"/>
      <c r="K46" s="2"/>
      <c r="L46" s="2"/>
      <c r="M46" s="2"/>
      <c r="N46" s="2"/>
      <c r="O46" s="2"/>
      <c r="P46" s="2"/>
      <c r="Q46" s="2"/>
      <c r="R46" s="2"/>
      <c r="S46" s="2"/>
      <c r="T46" s="2"/>
      <c r="U46" s="2"/>
      <c r="V46" s="2"/>
      <c r="W46" s="2"/>
      <c r="X46" s="2"/>
      <c r="Y46" s="2"/>
      <c r="Z46" s="2"/>
    </row>
    <row r="47" customHeight="1" spans="1:26">
      <c r="A47" s="169" t="s">
        <v>212</v>
      </c>
      <c r="B47" s="52" t="s">
        <v>213</v>
      </c>
      <c r="C47" s="52" t="s">
        <v>214</v>
      </c>
      <c r="D47" s="184"/>
      <c r="E47" s="184"/>
      <c r="F47" s="52" t="s">
        <v>215</v>
      </c>
      <c r="G47" s="218" t="s">
        <v>216</v>
      </c>
      <c r="H47" s="2"/>
      <c r="I47" s="2"/>
      <c r="J47" s="2"/>
      <c r="K47" s="2"/>
      <c r="L47" s="2"/>
      <c r="M47" s="2"/>
      <c r="N47" s="2"/>
      <c r="O47" s="2"/>
      <c r="P47" s="2"/>
      <c r="Q47" s="2"/>
      <c r="R47" s="2"/>
      <c r="S47" s="2"/>
      <c r="T47" s="2"/>
      <c r="U47" s="2"/>
      <c r="V47" s="2"/>
      <c r="W47" s="2"/>
      <c r="X47" s="2"/>
      <c r="Y47" s="2"/>
      <c r="Z47" s="2"/>
    </row>
    <row r="48" customHeight="1" spans="1:26">
      <c r="A48" s="169" t="s">
        <v>217</v>
      </c>
      <c r="B48" s="13" t="s">
        <v>218</v>
      </c>
      <c r="C48" s="13" t="s">
        <v>219</v>
      </c>
      <c r="D48" s="57"/>
      <c r="E48" s="57"/>
      <c r="F48" s="13" t="s">
        <v>220</v>
      </c>
      <c r="G48" s="13" t="s">
        <v>221</v>
      </c>
      <c r="H48" s="2"/>
      <c r="I48" s="2"/>
      <c r="J48" s="2"/>
      <c r="K48" s="2"/>
      <c r="L48" s="2"/>
      <c r="M48" s="2"/>
      <c r="N48" s="2"/>
      <c r="O48" s="2"/>
      <c r="P48" s="2"/>
      <c r="Q48" s="2"/>
      <c r="R48" s="2"/>
      <c r="S48" s="2"/>
      <c r="T48" s="2"/>
      <c r="U48" s="2"/>
      <c r="V48" s="2"/>
      <c r="W48" s="2"/>
      <c r="X48" s="2"/>
      <c r="Y48" s="2"/>
      <c r="Z48" s="2"/>
    </row>
    <row r="49" customHeight="1" spans="1:26">
      <c r="A49" s="169" t="s">
        <v>222</v>
      </c>
      <c r="B49" s="186" t="s">
        <v>223</v>
      </c>
      <c r="C49" s="188" t="s">
        <v>224</v>
      </c>
      <c r="D49" s="215"/>
      <c r="E49" s="65"/>
      <c r="F49" s="13" t="s">
        <v>225</v>
      </c>
      <c r="G49" s="13" t="s">
        <v>226</v>
      </c>
      <c r="H49" s="2"/>
      <c r="I49" s="2"/>
      <c r="J49" s="2"/>
      <c r="K49" s="2"/>
      <c r="L49" s="2"/>
      <c r="M49" s="2"/>
      <c r="N49" s="2"/>
      <c r="O49" s="2"/>
      <c r="P49" s="2"/>
      <c r="Q49" s="2"/>
      <c r="R49" s="2"/>
      <c r="S49" s="2"/>
      <c r="T49" s="2"/>
      <c r="U49" s="2"/>
      <c r="V49" s="2"/>
      <c r="W49" s="2"/>
      <c r="X49" s="2"/>
      <c r="Y49" s="2"/>
      <c r="Z49" s="2"/>
    </row>
    <row r="50" customHeight="1" spans="1:26">
      <c r="A50" s="169" t="s">
        <v>227</v>
      </c>
      <c r="B50" s="216" t="s">
        <v>228</v>
      </c>
      <c r="C50" s="13" t="s">
        <v>229</v>
      </c>
      <c r="D50" s="14">
        <v>66</v>
      </c>
      <c r="E50" s="13" t="s">
        <v>21</v>
      </c>
      <c r="F50" s="13" t="s">
        <v>230</v>
      </c>
      <c r="G50" s="219" t="str">
        <f>HYPERLINK("http://www.mr-bricolage.fr/","www.mr-bricolage.fr/")</f>
        <v>www.mr-bricolage.fr/</v>
      </c>
      <c r="H50" s="2"/>
      <c r="I50" s="2"/>
      <c r="J50" s="2"/>
      <c r="K50" s="2"/>
      <c r="L50" s="2"/>
      <c r="M50" s="2"/>
      <c r="N50" s="2"/>
      <c r="O50" s="2"/>
      <c r="P50" s="2"/>
      <c r="Q50" s="2"/>
      <c r="R50" s="2"/>
      <c r="S50" s="2"/>
      <c r="T50" s="2"/>
      <c r="U50" s="2"/>
      <c r="V50" s="2"/>
      <c r="W50" s="2"/>
      <c r="X50" s="2"/>
      <c r="Y50" s="2"/>
      <c r="Z50" s="2"/>
    </row>
    <row r="51" customHeight="1" spans="1:26">
      <c r="A51" s="169" t="s">
        <v>231</v>
      </c>
      <c r="B51" s="186" t="s">
        <v>232</v>
      </c>
      <c r="C51" s="13" t="s">
        <v>224</v>
      </c>
      <c r="D51" s="14">
        <v>156</v>
      </c>
      <c r="E51" s="13" t="s">
        <v>21</v>
      </c>
      <c r="F51" s="13" t="s">
        <v>233</v>
      </c>
      <c r="G51" s="219" t="str">
        <f>HYPERLINK("http://www.bricorama.fr/","www.bricorama.fr/")</f>
        <v>www.bricorama.fr/</v>
      </c>
      <c r="H51" s="2"/>
      <c r="I51" s="2"/>
      <c r="J51" s="2"/>
      <c r="K51" s="2"/>
      <c r="L51" s="2"/>
      <c r="M51" s="2"/>
      <c r="N51" s="2"/>
      <c r="O51" s="2"/>
      <c r="P51" s="2"/>
      <c r="Q51" s="2"/>
      <c r="R51" s="2"/>
      <c r="S51" s="2"/>
      <c r="T51" s="2"/>
      <c r="U51" s="2"/>
      <c r="V51" s="2"/>
      <c r="W51" s="2"/>
      <c r="X51" s="2"/>
      <c r="Y51" s="2"/>
      <c r="Z51" s="2"/>
    </row>
    <row r="52" customHeight="1" spans="1:26">
      <c r="A52" s="77" t="s">
        <v>234</v>
      </c>
      <c r="B52" s="13" t="s">
        <v>235</v>
      </c>
      <c r="C52" s="13" t="s">
        <v>236</v>
      </c>
      <c r="D52" s="65">
        <v>30</v>
      </c>
      <c r="E52" s="13" t="s">
        <v>37</v>
      </c>
      <c r="F52" s="13" t="s">
        <v>237</v>
      </c>
      <c r="G52" s="57" t="s">
        <v>238</v>
      </c>
      <c r="H52" s="2"/>
      <c r="I52" s="2"/>
      <c r="J52" s="2"/>
      <c r="K52" s="2"/>
      <c r="L52" s="2"/>
      <c r="M52" s="2"/>
      <c r="N52" s="2"/>
      <c r="O52" s="2"/>
      <c r="P52" s="2"/>
      <c r="Q52" s="2"/>
      <c r="R52" s="2"/>
      <c r="S52" s="2"/>
      <c r="T52" s="2"/>
      <c r="U52" s="2"/>
      <c r="V52" s="2"/>
      <c r="W52" s="2"/>
      <c r="X52" s="2"/>
      <c r="Y52" s="2"/>
      <c r="Z52" s="2"/>
    </row>
    <row r="53" customHeight="1" spans="1:26">
      <c r="A53" s="169" t="s">
        <v>239</v>
      </c>
      <c r="B53" s="13" t="s">
        <v>240</v>
      </c>
      <c r="C53" s="13" t="s">
        <v>236</v>
      </c>
      <c r="D53" s="14">
        <v>230</v>
      </c>
      <c r="E53" s="13" t="s">
        <v>21</v>
      </c>
      <c r="F53" s="13" t="s">
        <v>241</v>
      </c>
      <c r="G53" s="13" t="s">
        <v>242</v>
      </c>
      <c r="H53" s="2"/>
      <c r="I53" s="2"/>
      <c r="J53" s="2"/>
      <c r="K53" s="2"/>
      <c r="L53" s="2"/>
      <c r="M53" s="2"/>
      <c r="N53" s="2"/>
      <c r="O53" s="2"/>
      <c r="P53" s="2"/>
      <c r="Q53" s="2"/>
      <c r="R53" s="2"/>
      <c r="S53" s="2"/>
      <c r="T53" s="2"/>
      <c r="U53" s="2"/>
      <c r="V53" s="2"/>
      <c r="W53" s="2"/>
      <c r="X53" s="2"/>
      <c r="Y53" s="2"/>
      <c r="Z53" s="2"/>
    </row>
    <row r="54" customHeight="1" spans="1:26">
      <c r="A54" s="169" t="s">
        <v>243</v>
      </c>
      <c r="B54" s="13" t="s">
        <v>244</v>
      </c>
      <c r="C54" s="13" t="s">
        <v>236</v>
      </c>
      <c r="D54" s="14">
        <v>100</v>
      </c>
      <c r="E54" s="13" t="s">
        <v>245</v>
      </c>
      <c r="F54" s="57" t="s">
        <v>246</v>
      </c>
      <c r="G54" s="57" t="s">
        <v>247</v>
      </c>
      <c r="H54" s="2"/>
      <c r="I54" s="2"/>
      <c r="J54" s="2"/>
      <c r="K54" s="2"/>
      <c r="L54" s="2"/>
      <c r="M54" s="2"/>
      <c r="N54" s="2"/>
      <c r="O54" s="2"/>
      <c r="P54" s="2"/>
      <c r="Q54" s="2"/>
      <c r="R54" s="2"/>
      <c r="S54" s="2"/>
      <c r="T54" s="2"/>
      <c r="U54" s="2"/>
      <c r="V54" s="2"/>
      <c r="W54" s="2"/>
      <c r="X54" s="2"/>
      <c r="Y54" s="2"/>
      <c r="Z54" s="2"/>
    </row>
    <row r="55" customHeight="1" spans="1:26">
      <c r="A55" s="169" t="s">
        <v>248</v>
      </c>
      <c r="B55" s="13" t="s">
        <v>249</v>
      </c>
      <c r="C55" s="13" t="s">
        <v>236</v>
      </c>
      <c r="D55" s="14">
        <v>100</v>
      </c>
      <c r="E55" s="13" t="s">
        <v>245</v>
      </c>
      <c r="F55" s="57" t="s">
        <v>250</v>
      </c>
      <c r="G55" s="57" t="s">
        <v>251</v>
      </c>
      <c r="H55" s="2"/>
      <c r="I55" s="2"/>
      <c r="J55" s="2"/>
      <c r="K55" s="2"/>
      <c r="L55" s="2"/>
      <c r="M55" s="2"/>
      <c r="N55" s="2"/>
      <c r="O55" s="2"/>
      <c r="P55" s="2"/>
      <c r="Q55" s="2"/>
      <c r="R55" s="2"/>
      <c r="S55" s="2"/>
      <c r="T55" s="2"/>
      <c r="U55" s="2"/>
      <c r="V55" s="2"/>
      <c r="W55" s="2"/>
      <c r="X55" s="2"/>
      <c r="Y55" s="2"/>
      <c r="Z55" s="2"/>
    </row>
    <row r="56" customHeight="1" spans="1:26">
      <c r="A56" s="77" t="s">
        <v>252</v>
      </c>
      <c r="B56" s="13" t="s">
        <v>253</v>
      </c>
      <c r="C56" s="13" t="s">
        <v>236</v>
      </c>
      <c r="D56" s="65">
        <v>35</v>
      </c>
      <c r="E56" s="13" t="s">
        <v>37</v>
      </c>
      <c r="F56" s="13" t="s">
        <v>254</v>
      </c>
      <c r="G56" s="13" t="s">
        <v>255</v>
      </c>
      <c r="H56" s="2"/>
      <c r="I56" s="2"/>
      <c r="J56" s="2"/>
      <c r="K56" s="2"/>
      <c r="L56" s="2"/>
      <c r="M56" s="2"/>
      <c r="N56" s="2"/>
      <c r="O56" s="2"/>
      <c r="P56" s="2"/>
      <c r="Q56" s="2"/>
      <c r="R56" s="2"/>
      <c r="S56" s="2"/>
      <c r="T56" s="2"/>
      <c r="U56" s="2"/>
      <c r="V56" s="2"/>
      <c r="W56" s="2"/>
      <c r="X56" s="2"/>
      <c r="Y56" s="2"/>
      <c r="Z56" s="2"/>
    </row>
    <row r="57" customHeight="1" spans="1:26">
      <c r="A57" s="77" t="s">
        <v>256</v>
      </c>
      <c r="B57" s="13" t="s">
        <v>257</v>
      </c>
      <c r="C57" s="13" t="s">
        <v>236</v>
      </c>
      <c r="D57" s="65">
        <v>40</v>
      </c>
      <c r="E57" s="13" t="s">
        <v>37</v>
      </c>
      <c r="F57" s="13" t="s">
        <v>258</v>
      </c>
      <c r="G57" s="13" t="s">
        <v>259</v>
      </c>
      <c r="H57" s="2"/>
      <c r="I57" s="2"/>
      <c r="J57" s="2"/>
      <c r="K57" s="2"/>
      <c r="L57" s="2"/>
      <c r="M57" s="2"/>
      <c r="N57" s="2"/>
      <c r="O57" s="2"/>
      <c r="P57" s="2"/>
      <c r="Q57" s="2"/>
      <c r="R57" s="2"/>
      <c r="S57" s="2"/>
      <c r="T57" s="2"/>
      <c r="U57" s="2"/>
      <c r="V57" s="2"/>
      <c r="W57" s="2"/>
      <c r="X57" s="2"/>
      <c r="Y57" s="2"/>
      <c r="Z57" s="2"/>
    </row>
    <row r="58" customHeight="1" spans="1:26">
      <c r="A58" s="77" t="s">
        <v>260</v>
      </c>
      <c r="B58" s="13" t="s">
        <v>261</v>
      </c>
      <c r="C58" s="13" t="s">
        <v>236</v>
      </c>
      <c r="D58" s="65">
        <v>8</v>
      </c>
      <c r="E58" s="13" t="s">
        <v>262</v>
      </c>
      <c r="F58" s="13" t="s">
        <v>263</v>
      </c>
      <c r="G58" s="13" t="s">
        <v>264</v>
      </c>
      <c r="H58" s="2"/>
      <c r="I58" s="2"/>
      <c r="J58" s="2"/>
      <c r="K58" s="2"/>
      <c r="L58" s="2"/>
      <c r="M58" s="2"/>
      <c r="N58" s="2"/>
      <c r="O58" s="2"/>
      <c r="P58" s="2"/>
      <c r="Q58" s="2"/>
      <c r="R58" s="2"/>
      <c r="S58" s="2"/>
      <c r="T58" s="2"/>
      <c r="U58" s="2"/>
      <c r="V58" s="2"/>
      <c r="W58" s="2"/>
      <c r="X58" s="2"/>
      <c r="Y58" s="2"/>
      <c r="Z58" s="2"/>
    </row>
    <row r="59" customHeight="1" spans="1:26">
      <c r="A59" s="77" t="s">
        <v>265</v>
      </c>
      <c r="B59" s="13" t="s">
        <v>266</v>
      </c>
      <c r="C59" s="13" t="s">
        <v>236</v>
      </c>
      <c r="D59" s="65">
        <v>30</v>
      </c>
      <c r="E59" s="13" t="s">
        <v>37</v>
      </c>
      <c r="F59" s="13" t="s">
        <v>267</v>
      </c>
      <c r="G59" s="13" t="s">
        <v>268</v>
      </c>
      <c r="H59" s="2"/>
      <c r="I59" s="2"/>
      <c r="J59" s="2"/>
      <c r="K59" s="2"/>
      <c r="L59" s="2"/>
      <c r="M59" s="2"/>
      <c r="N59" s="2"/>
      <c r="O59" s="2"/>
      <c r="P59" s="2"/>
      <c r="Q59" s="2"/>
      <c r="R59" s="2"/>
      <c r="S59" s="2"/>
      <c r="T59" s="2"/>
      <c r="U59" s="2"/>
      <c r="V59" s="2"/>
      <c r="W59" s="2"/>
      <c r="X59" s="2"/>
      <c r="Y59" s="2"/>
      <c r="Z59" s="2"/>
    </row>
    <row r="60" customHeight="1" spans="1:26">
      <c r="A60" s="77" t="s">
        <v>269</v>
      </c>
      <c r="B60" s="13" t="s">
        <v>270</v>
      </c>
      <c r="C60" s="13" t="s">
        <v>236</v>
      </c>
      <c r="D60" s="65">
        <v>35</v>
      </c>
      <c r="E60" s="13" t="s">
        <v>37</v>
      </c>
      <c r="F60" s="13" t="s">
        <v>271</v>
      </c>
      <c r="G60" s="13" t="s">
        <v>272</v>
      </c>
      <c r="H60" s="2"/>
      <c r="I60" s="2"/>
      <c r="J60" s="2"/>
      <c r="K60" s="2"/>
      <c r="L60" s="2"/>
      <c r="M60" s="2"/>
      <c r="N60" s="2"/>
      <c r="O60" s="2"/>
      <c r="P60" s="2"/>
      <c r="Q60" s="2"/>
      <c r="R60" s="2"/>
      <c r="S60" s="2"/>
      <c r="T60" s="2"/>
      <c r="U60" s="2"/>
      <c r="V60" s="2"/>
      <c r="W60" s="2"/>
      <c r="X60" s="2"/>
      <c r="Y60" s="2"/>
      <c r="Z60" s="2"/>
    </row>
    <row r="61" customHeight="1" spans="1:26">
      <c r="A61" s="77" t="s">
        <v>273</v>
      </c>
      <c r="B61" s="13" t="s">
        <v>274</v>
      </c>
      <c r="C61" s="13" t="s">
        <v>236</v>
      </c>
      <c r="D61" s="65">
        <v>30</v>
      </c>
      <c r="E61" s="13" t="s">
        <v>32</v>
      </c>
      <c r="F61" s="13" t="s">
        <v>275</v>
      </c>
      <c r="G61" s="13" t="s">
        <v>276</v>
      </c>
      <c r="H61" s="2"/>
      <c r="I61" s="2"/>
      <c r="J61" s="2"/>
      <c r="K61" s="2"/>
      <c r="L61" s="2"/>
      <c r="M61" s="2"/>
      <c r="N61" s="2"/>
      <c r="O61" s="2"/>
      <c r="P61" s="2"/>
      <c r="Q61" s="2"/>
      <c r="R61" s="2"/>
      <c r="S61" s="2"/>
      <c r="T61" s="2"/>
      <c r="U61" s="2"/>
      <c r="V61" s="2"/>
      <c r="W61" s="2"/>
      <c r="X61" s="2"/>
      <c r="Y61" s="2"/>
      <c r="Z61" s="2"/>
    </row>
    <row r="62" ht="16.5" customHeight="1" spans="1:26">
      <c r="A62" s="77" t="s">
        <v>277</v>
      </c>
      <c r="B62" s="13" t="s">
        <v>278</v>
      </c>
      <c r="C62" s="13" t="s">
        <v>236</v>
      </c>
      <c r="D62" s="65">
        <v>37</v>
      </c>
      <c r="E62" s="13" t="s">
        <v>37</v>
      </c>
      <c r="F62" s="13" t="s">
        <v>279</v>
      </c>
      <c r="G62" s="13" t="s">
        <v>280</v>
      </c>
      <c r="H62" s="2"/>
      <c r="I62" s="2"/>
      <c r="J62" s="2"/>
      <c r="K62" s="2"/>
      <c r="L62" s="2"/>
      <c r="M62" s="2"/>
      <c r="N62" s="2"/>
      <c r="O62" s="2"/>
      <c r="P62" s="2"/>
      <c r="Q62" s="2"/>
      <c r="R62" s="2"/>
      <c r="S62" s="2"/>
      <c r="T62" s="2"/>
      <c r="U62" s="2"/>
      <c r="V62" s="2"/>
      <c r="W62" s="2"/>
      <c r="X62" s="2"/>
      <c r="Y62" s="2"/>
      <c r="Z62" s="2"/>
    </row>
    <row r="63" customHeight="1" spans="1:26">
      <c r="A63" s="77" t="s">
        <v>281</v>
      </c>
      <c r="B63" s="13" t="s">
        <v>282</v>
      </c>
      <c r="C63" s="13" t="s">
        <v>236</v>
      </c>
      <c r="D63" s="65">
        <v>40</v>
      </c>
      <c r="E63" s="13" t="s">
        <v>37</v>
      </c>
      <c r="F63" s="13" t="s">
        <v>283</v>
      </c>
      <c r="G63" s="13" t="s">
        <v>284</v>
      </c>
      <c r="H63" s="2"/>
      <c r="I63" s="2"/>
      <c r="J63" s="2"/>
      <c r="K63" s="2"/>
      <c r="L63" s="2"/>
      <c r="M63" s="2"/>
      <c r="N63" s="2"/>
      <c r="O63" s="2"/>
      <c r="P63" s="2"/>
      <c r="Q63" s="2"/>
      <c r="R63" s="2"/>
      <c r="S63" s="2"/>
      <c r="T63" s="2"/>
      <c r="U63" s="2"/>
      <c r="V63" s="2"/>
      <c r="W63" s="2"/>
      <c r="X63" s="2"/>
      <c r="Y63" s="2"/>
      <c r="Z63" s="2"/>
    </row>
    <row r="64" customHeight="1" spans="1:26">
      <c r="A64" s="169" t="s">
        <v>285</v>
      </c>
      <c r="B64" s="13" t="s">
        <v>80</v>
      </c>
      <c r="C64" s="13" t="s">
        <v>286</v>
      </c>
      <c r="D64" s="14">
        <v>35</v>
      </c>
      <c r="E64" s="13" t="s">
        <v>37</v>
      </c>
      <c r="F64" s="13" t="s">
        <v>82</v>
      </c>
      <c r="G64" s="13" t="s">
        <v>287</v>
      </c>
      <c r="H64" s="2"/>
      <c r="I64" s="2"/>
      <c r="J64" s="2"/>
      <c r="K64" s="2"/>
      <c r="L64" s="2"/>
      <c r="M64" s="2"/>
      <c r="N64" s="2"/>
      <c r="O64" s="2"/>
      <c r="P64" s="2"/>
      <c r="Q64" s="2"/>
      <c r="R64" s="2"/>
      <c r="S64" s="2"/>
      <c r="T64" s="2"/>
      <c r="U64" s="2"/>
      <c r="V64" s="2"/>
      <c r="W64" s="2"/>
      <c r="X64" s="2"/>
      <c r="Y64" s="2"/>
      <c r="Z64" s="2"/>
    </row>
    <row r="65" customHeight="1" spans="1:26">
      <c r="A65" s="77" t="s">
        <v>288</v>
      </c>
      <c r="B65" s="13" t="s">
        <v>289</v>
      </c>
      <c r="C65" s="13" t="s">
        <v>290</v>
      </c>
      <c r="D65" s="65">
        <v>300</v>
      </c>
      <c r="E65" s="13" t="s">
        <v>37</v>
      </c>
      <c r="F65" s="13" t="s">
        <v>291</v>
      </c>
      <c r="G65" s="13" t="s">
        <v>292</v>
      </c>
      <c r="H65" s="2"/>
      <c r="I65" s="2"/>
      <c r="J65" s="2"/>
      <c r="K65" s="2"/>
      <c r="L65" s="2"/>
      <c r="M65" s="2"/>
      <c r="N65" s="2"/>
      <c r="O65" s="2"/>
      <c r="P65" s="2"/>
      <c r="Q65" s="2"/>
      <c r="R65" s="2"/>
      <c r="S65" s="2"/>
      <c r="T65" s="2"/>
      <c r="U65" s="2"/>
      <c r="V65" s="2"/>
      <c r="W65" s="2"/>
      <c r="X65" s="2"/>
      <c r="Y65" s="2"/>
      <c r="Z65" s="2"/>
    </row>
    <row r="66" customHeight="1" spans="1:26">
      <c r="A66" s="77" t="s">
        <v>293</v>
      </c>
      <c r="B66" s="13" t="s">
        <v>294</v>
      </c>
      <c r="C66" s="13" t="s">
        <v>290</v>
      </c>
      <c r="D66" s="65">
        <v>35</v>
      </c>
      <c r="E66" s="13" t="s">
        <v>37</v>
      </c>
      <c r="F66" s="13" t="s">
        <v>295</v>
      </c>
      <c r="G66" s="13" t="s">
        <v>296</v>
      </c>
      <c r="H66" s="2"/>
      <c r="I66" s="2"/>
      <c r="J66" s="2"/>
      <c r="K66" s="2"/>
      <c r="L66" s="2"/>
      <c r="M66" s="2"/>
      <c r="N66" s="2"/>
      <c r="O66" s="2"/>
      <c r="P66" s="2"/>
      <c r="Q66" s="2"/>
      <c r="R66" s="2"/>
      <c r="S66" s="2"/>
      <c r="T66" s="2"/>
      <c r="U66" s="2"/>
      <c r="V66" s="2"/>
      <c r="W66" s="2"/>
      <c r="X66" s="2"/>
      <c r="Y66" s="2"/>
      <c r="Z66" s="2"/>
    </row>
    <row r="67" customHeight="1" spans="1:26">
      <c r="A67" s="169" t="s">
        <v>297</v>
      </c>
      <c r="B67" s="186" t="s">
        <v>298</v>
      </c>
      <c r="C67" s="188" t="s">
        <v>299</v>
      </c>
      <c r="D67" s="215"/>
      <c r="E67" s="65"/>
      <c r="F67" s="13" t="s">
        <v>300</v>
      </c>
      <c r="G67" s="13" t="s">
        <v>301</v>
      </c>
      <c r="H67" s="2"/>
      <c r="I67" s="2"/>
      <c r="J67" s="2"/>
      <c r="K67" s="2"/>
      <c r="L67" s="2"/>
      <c r="M67" s="2"/>
      <c r="N67" s="2"/>
      <c r="O67" s="2"/>
      <c r="P67" s="2"/>
      <c r="Q67" s="2"/>
      <c r="R67" s="2"/>
      <c r="S67" s="2"/>
      <c r="T67" s="2"/>
      <c r="U67" s="2"/>
      <c r="V67" s="2"/>
      <c r="W67" s="2"/>
      <c r="X67" s="2"/>
      <c r="Y67" s="2"/>
      <c r="Z67" s="2"/>
    </row>
    <row r="68" customHeight="1" spans="1:26">
      <c r="A68" s="169" t="s">
        <v>302</v>
      </c>
      <c r="B68" s="13" t="s">
        <v>303</v>
      </c>
      <c r="C68" s="13" t="s">
        <v>304</v>
      </c>
      <c r="D68" s="57"/>
      <c r="E68" s="57"/>
      <c r="F68" s="13" t="s">
        <v>305</v>
      </c>
      <c r="G68" s="13" t="s">
        <v>306</v>
      </c>
      <c r="H68" s="2"/>
      <c r="I68" s="2"/>
      <c r="J68" s="2"/>
      <c r="K68" s="2"/>
      <c r="L68" s="2"/>
      <c r="M68" s="2"/>
      <c r="N68" s="2"/>
      <c r="O68" s="2"/>
      <c r="P68" s="2"/>
      <c r="Q68" s="2"/>
      <c r="R68" s="2"/>
      <c r="S68" s="2"/>
      <c r="T68" s="2"/>
      <c r="U68" s="2"/>
      <c r="V68" s="2"/>
      <c r="W68" s="2"/>
      <c r="X68" s="2"/>
      <c r="Y68" s="2"/>
      <c r="Z68" s="2"/>
    </row>
    <row r="69" customHeight="1" spans="1:26">
      <c r="A69" s="220" t="s">
        <v>307</v>
      </c>
      <c r="B69" s="63" t="s">
        <v>308</v>
      </c>
      <c r="C69" s="63" t="s">
        <v>309</v>
      </c>
      <c r="D69" s="71">
        <v>45</v>
      </c>
      <c r="E69" s="63" t="s">
        <v>310</v>
      </c>
      <c r="F69" s="63" t="s">
        <v>311</v>
      </c>
      <c r="G69" s="63" t="s">
        <v>312</v>
      </c>
      <c r="H69" s="2"/>
      <c r="I69" s="2"/>
      <c r="J69" s="2"/>
      <c r="K69" s="2"/>
      <c r="L69" s="2"/>
      <c r="M69" s="2"/>
      <c r="N69" s="2"/>
      <c r="O69" s="2"/>
      <c r="P69" s="2"/>
      <c r="Q69" s="2"/>
      <c r="R69" s="2"/>
      <c r="S69" s="2"/>
      <c r="T69" s="2"/>
      <c r="U69" s="2"/>
      <c r="V69" s="2"/>
      <c r="W69" s="2"/>
      <c r="X69" s="2"/>
      <c r="Y69" s="2"/>
      <c r="Z69" s="2"/>
    </row>
    <row r="70" customHeight="1" spans="1:26">
      <c r="A70" s="135" t="s">
        <v>313</v>
      </c>
      <c r="B70" s="13" t="s">
        <v>314</v>
      </c>
      <c r="C70" s="13" t="s">
        <v>315</v>
      </c>
      <c r="D70" s="65">
        <v>90</v>
      </c>
      <c r="E70" s="13" t="s">
        <v>32</v>
      </c>
      <c r="F70" s="68" t="s">
        <v>316</v>
      </c>
      <c r="G70" s="68" t="str">
        <f>HYPERLINK("http://www.disneystore.fr/","http://www.disneystore.fr/")</f>
        <v>http://www.disneystore.fr/</v>
      </c>
      <c r="H70" s="2"/>
      <c r="I70" s="2"/>
      <c r="J70" s="2"/>
      <c r="K70" s="2"/>
      <c r="L70" s="2"/>
      <c r="M70" s="2"/>
      <c r="N70" s="2"/>
      <c r="O70" s="2"/>
      <c r="P70" s="2"/>
      <c r="Q70" s="2"/>
      <c r="R70" s="2"/>
      <c r="S70" s="2"/>
      <c r="T70" s="2"/>
      <c r="U70" s="2"/>
      <c r="V70" s="2"/>
      <c r="W70" s="2"/>
      <c r="X70" s="2"/>
      <c r="Y70" s="2"/>
      <c r="Z70" s="2"/>
    </row>
    <row r="71" customHeight="1" spans="1:26">
      <c r="A71" s="169" t="s">
        <v>317</v>
      </c>
      <c r="B71" s="52" t="s">
        <v>318</v>
      </c>
      <c r="C71" s="13" t="s">
        <v>319</v>
      </c>
      <c r="D71" s="65">
        <v>400</v>
      </c>
      <c r="E71" s="13" t="s">
        <v>245</v>
      </c>
      <c r="F71" s="52" t="s">
        <v>320</v>
      </c>
      <c r="G71" s="217" t="str">
        <f>HYPERLINK("http://www.bebe9.com/","www.bebe9.com/")</f>
        <v>www.bebe9.com/</v>
      </c>
      <c r="H71" s="2"/>
      <c r="I71" s="2"/>
      <c r="J71" s="2"/>
      <c r="K71" s="2"/>
      <c r="L71" s="2"/>
      <c r="M71" s="2"/>
      <c r="N71" s="2"/>
      <c r="O71" s="2"/>
      <c r="P71" s="2"/>
      <c r="Q71" s="2"/>
      <c r="R71" s="2"/>
      <c r="S71" s="2"/>
      <c r="T71" s="2"/>
      <c r="U71" s="2"/>
      <c r="V71" s="2"/>
      <c r="W71" s="2"/>
      <c r="X71" s="2"/>
      <c r="Y71" s="2"/>
      <c r="Z71" s="2"/>
    </row>
    <row r="72" customHeight="1" spans="1:26">
      <c r="A72" s="77" t="s">
        <v>321</v>
      </c>
      <c r="B72" s="13" t="s">
        <v>322</v>
      </c>
      <c r="C72" s="13" t="s">
        <v>315</v>
      </c>
      <c r="D72" s="65">
        <v>13</v>
      </c>
      <c r="E72" s="13" t="s">
        <v>262</v>
      </c>
      <c r="F72" s="13" t="s">
        <v>323</v>
      </c>
      <c r="G72" s="13" t="s">
        <v>324</v>
      </c>
      <c r="H72" s="2"/>
      <c r="I72" s="2"/>
      <c r="J72" s="2"/>
      <c r="K72" s="2"/>
      <c r="L72" s="2"/>
      <c r="M72" s="2"/>
      <c r="N72" s="2"/>
      <c r="O72" s="2"/>
      <c r="P72" s="2"/>
      <c r="Q72" s="2"/>
      <c r="R72" s="2"/>
      <c r="S72" s="2"/>
      <c r="T72" s="2"/>
      <c r="U72" s="2"/>
      <c r="V72" s="2"/>
      <c r="W72" s="2"/>
      <c r="X72" s="2"/>
      <c r="Y72" s="2"/>
      <c r="Z72" s="2"/>
    </row>
    <row r="73" customHeight="1" spans="1:26">
      <c r="A73" s="169" t="s">
        <v>325</v>
      </c>
      <c r="B73" s="13" t="s">
        <v>326</v>
      </c>
      <c r="C73" s="13" t="s">
        <v>327</v>
      </c>
      <c r="D73" s="14">
        <v>25</v>
      </c>
      <c r="E73" s="13" t="s">
        <v>310</v>
      </c>
      <c r="F73" s="13" t="s">
        <v>328</v>
      </c>
      <c r="G73" s="13" t="s">
        <v>329</v>
      </c>
      <c r="H73" s="2"/>
      <c r="I73" s="2"/>
      <c r="J73" s="2"/>
      <c r="K73" s="2"/>
      <c r="L73" s="2"/>
      <c r="M73" s="2"/>
      <c r="N73" s="2"/>
      <c r="O73" s="2"/>
      <c r="P73" s="2"/>
      <c r="Q73" s="2"/>
      <c r="R73" s="2"/>
      <c r="S73" s="2"/>
      <c r="T73" s="2"/>
      <c r="U73" s="2"/>
      <c r="V73" s="2"/>
      <c r="W73" s="2"/>
      <c r="X73" s="2"/>
      <c r="Y73" s="2"/>
      <c r="Z73" s="2"/>
    </row>
    <row r="74" customHeight="1" spans="1:26">
      <c r="A74" s="77" t="s">
        <v>330</v>
      </c>
      <c r="B74" s="13" t="s">
        <v>331</v>
      </c>
      <c r="C74" s="13" t="s">
        <v>315</v>
      </c>
      <c r="D74" s="65">
        <v>50</v>
      </c>
      <c r="E74" s="13" t="s">
        <v>37</v>
      </c>
      <c r="F74" s="13" t="s">
        <v>332</v>
      </c>
      <c r="G74" s="13" t="s">
        <v>333</v>
      </c>
      <c r="H74" s="2"/>
      <c r="I74" s="2"/>
      <c r="J74" s="2"/>
      <c r="K74" s="2"/>
      <c r="L74" s="2"/>
      <c r="M74" s="2"/>
      <c r="N74" s="2"/>
      <c r="O74" s="2"/>
      <c r="P74" s="2"/>
      <c r="Q74" s="2"/>
      <c r="R74" s="2"/>
      <c r="S74" s="2"/>
      <c r="T74" s="2"/>
      <c r="U74" s="2"/>
      <c r="V74" s="2"/>
      <c r="W74" s="2"/>
      <c r="X74" s="2"/>
      <c r="Y74" s="2"/>
      <c r="Z74" s="2"/>
    </row>
    <row r="75" customHeight="1" spans="1:26">
      <c r="A75" s="77" t="s">
        <v>334</v>
      </c>
      <c r="B75" s="13" t="s">
        <v>335</v>
      </c>
      <c r="C75" s="13" t="s">
        <v>315</v>
      </c>
      <c r="D75" s="65">
        <v>50</v>
      </c>
      <c r="E75" s="13" t="s">
        <v>37</v>
      </c>
      <c r="F75" s="13" t="s">
        <v>336</v>
      </c>
      <c r="G75" s="101" t="s">
        <v>337</v>
      </c>
      <c r="H75" s="2"/>
      <c r="I75" s="2"/>
      <c r="J75" s="2"/>
      <c r="K75" s="2"/>
      <c r="L75" s="2"/>
      <c r="M75" s="2"/>
      <c r="N75" s="2"/>
      <c r="O75" s="2"/>
      <c r="P75" s="2"/>
      <c r="Q75" s="2"/>
      <c r="R75" s="2"/>
      <c r="S75" s="2"/>
      <c r="T75" s="2"/>
      <c r="U75" s="2"/>
      <c r="V75" s="2"/>
      <c r="W75" s="2"/>
      <c r="X75" s="2"/>
      <c r="Y75" s="2"/>
      <c r="Z75" s="2"/>
    </row>
    <row r="76" customHeight="1" spans="1:26">
      <c r="A76" s="77" t="s">
        <v>338</v>
      </c>
      <c r="B76" s="13" t="s">
        <v>339</v>
      </c>
      <c r="C76" s="13" t="s">
        <v>315</v>
      </c>
      <c r="D76" s="65">
        <v>125</v>
      </c>
      <c r="E76" s="13" t="s">
        <v>262</v>
      </c>
      <c r="F76" s="13" t="s">
        <v>340</v>
      </c>
      <c r="G76" s="13" t="s">
        <v>341</v>
      </c>
      <c r="H76" s="2"/>
      <c r="I76" s="2"/>
      <c r="J76" s="2"/>
      <c r="K76" s="2"/>
      <c r="L76" s="2"/>
      <c r="M76" s="2"/>
      <c r="N76" s="2"/>
      <c r="O76" s="2"/>
      <c r="P76" s="2"/>
      <c r="Q76" s="2"/>
      <c r="R76" s="2"/>
      <c r="S76" s="2"/>
      <c r="T76" s="2"/>
      <c r="U76" s="2"/>
      <c r="V76" s="2"/>
      <c r="W76" s="2"/>
      <c r="X76" s="2"/>
      <c r="Y76" s="2"/>
      <c r="Z76" s="2"/>
    </row>
    <row r="77" customHeight="1" spans="1:26">
      <c r="A77" s="77" t="s">
        <v>342</v>
      </c>
      <c r="B77" s="13" t="s">
        <v>343</v>
      </c>
      <c r="C77" s="13" t="s">
        <v>315</v>
      </c>
      <c r="D77" s="65">
        <v>45</v>
      </c>
      <c r="E77" s="13" t="s">
        <v>262</v>
      </c>
      <c r="F77" s="13" t="s">
        <v>344</v>
      </c>
      <c r="G77" s="13" t="s">
        <v>345</v>
      </c>
      <c r="H77" s="2"/>
      <c r="I77" s="2"/>
      <c r="J77" s="2"/>
      <c r="K77" s="2"/>
      <c r="L77" s="2"/>
      <c r="M77" s="2"/>
      <c r="N77" s="2"/>
      <c r="O77" s="2"/>
      <c r="P77" s="2"/>
      <c r="Q77" s="2"/>
      <c r="R77" s="2"/>
      <c r="S77" s="2"/>
      <c r="T77" s="2"/>
      <c r="U77" s="2"/>
      <c r="V77" s="2"/>
      <c r="W77" s="2"/>
      <c r="X77" s="2"/>
      <c r="Y77" s="2"/>
      <c r="Z77" s="2"/>
    </row>
    <row r="78" customHeight="1" spans="1:26">
      <c r="A78" s="77" t="s">
        <v>346</v>
      </c>
      <c r="B78" s="13" t="s">
        <v>347</v>
      </c>
      <c r="C78" s="13" t="s">
        <v>315</v>
      </c>
      <c r="D78" s="65">
        <v>55</v>
      </c>
      <c r="E78" s="13" t="s">
        <v>37</v>
      </c>
      <c r="F78" s="13" t="s">
        <v>348</v>
      </c>
      <c r="G78" s="101" t="s">
        <v>349</v>
      </c>
      <c r="H78" s="2"/>
      <c r="I78" s="2"/>
      <c r="J78" s="2"/>
      <c r="K78" s="2"/>
      <c r="L78" s="2"/>
      <c r="M78" s="2"/>
      <c r="N78" s="2"/>
      <c r="O78" s="2"/>
      <c r="P78" s="2"/>
      <c r="Q78" s="2"/>
      <c r="R78" s="2"/>
      <c r="S78" s="2"/>
      <c r="T78" s="2"/>
      <c r="U78" s="2"/>
      <c r="V78" s="2"/>
      <c r="W78" s="2"/>
      <c r="X78" s="2"/>
      <c r="Y78" s="2"/>
      <c r="Z78" s="2"/>
    </row>
    <row r="79" customHeight="1" spans="1:26">
      <c r="A79" s="77" t="s">
        <v>350</v>
      </c>
      <c r="B79" s="13" t="s">
        <v>351</v>
      </c>
      <c r="C79" s="13" t="s">
        <v>315</v>
      </c>
      <c r="D79" s="65">
        <v>20</v>
      </c>
      <c r="E79" s="13" t="s">
        <v>262</v>
      </c>
      <c r="F79" s="13" t="s">
        <v>352</v>
      </c>
      <c r="G79" s="13" t="s">
        <v>353</v>
      </c>
      <c r="H79" s="2"/>
      <c r="I79" s="2"/>
      <c r="J79" s="2"/>
      <c r="K79" s="2"/>
      <c r="L79" s="2"/>
      <c r="M79" s="2"/>
      <c r="N79" s="2"/>
      <c r="O79" s="2"/>
      <c r="P79" s="2"/>
      <c r="Q79" s="2"/>
      <c r="R79" s="2"/>
      <c r="S79" s="2"/>
      <c r="T79" s="2"/>
      <c r="U79" s="2"/>
      <c r="V79" s="2"/>
      <c r="W79" s="2"/>
      <c r="X79" s="2"/>
      <c r="Y79" s="2"/>
      <c r="Z79" s="2"/>
    </row>
    <row r="80" customHeight="1" spans="1:26">
      <c r="A80" s="169" t="s">
        <v>354</v>
      </c>
      <c r="B80" s="13" t="s">
        <v>355</v>
      </c>
      <c r="C80" s="13" t="s">
        <v>356</v>
      </c>
      <c r="D80" s="65">
        <v>123</v>
      </c>
      <c r="E80" s="13" t="s">
        <v>310</v>
      </c>
      <c r="F80" s="13" t="s">
        <v>357</v>
      </c>
      <c r="G80" s="13" t="s">
        <v>358</v>
      </c>
      <c r="H80" s="2"/>
      <c r="I80" s="2"/>
      <c r="J80" s="2"/>
      <c r="K80" s="2"/>
      <c r="L80" s="2"/>
      <c r="M80" s="2"/>
      <c r="N80" s="2"/>
      <c r="O80" s="2"/>
      <c r="P80" s="2"/>
      <c r="Q80" s="2"/>
      <c r="R80" s="2"/>
      <c r="S80" s="2"/>
      <c r="T80" s="2"/>
      <c r="U80" s="2"/>
      <c r="V80" s="2"/>
      <c r="W80" s="2"/>
      <c r="X80" s="2"/>
      <c r="Y80" s="2"/>
      <c r="Z80" s="2"/>
    </row>
    <row r="81" customHeight="1" spans="1:26">
      <c r="A81" s="169" t="s">
        <v>359</v>
      </c>
      <c r="B81" s="13" t="s">
        <v>360</v>
      </c>
      <c r="C81" s="13" t="s">
        <v>361</v>
      </c>
      <c r="D81" s="65">
        <v>55</v>
      </c>
      <c r="E81" s="13" t="s">
        <v>310</v>
      </c>
      <c r="F81" s="13" t="s">
        <v>362</v>
      </c>
      <c r="G81" s="13" t="s">
        <v>363</v>
      </c>
      <c r="H81" s="2"/>
      <c r="I81" s="2"/>
      <c r="J81" s="2"/>
      <c r="K81" s="2"/>
      <c r="L81" s="2"/>
      <c r="M81" s="2"/>
      <c r="N81" s="2"/>
      <c r="O81" s="2"/>
      <c r="P81" s="2"/>
      <c r="Q81" s="2"/>
      <c r="R81" s="2"/>
      <c r="S81" s="2"/>
      <c r="T81" s="2"/>
      <c r="U81" s="2"/>
      <c r="V81" s="2"/>
      <c r="W81" s="2"/>
      <c r="X81" s="2"/>
      <c r="Y81" s="2"/>
      <c r="Z81" s="2"/>
    </row>
    <row r="82" customHeight="1" spans="1:26">
      <c r="A82" s="77" t="s">
        <v>364</v>
      </c>
      <c r="B82" s="13" t="s">
        <v>365</v>
      </c>
      <c r="C82" s="13" t="s">
        <v>366</v>
      </c>
      <c r="D82" s="65">
        <v>35</v>
      </c>
      <c r="E82" s="13" t="s">
        <v>262</v>
      </c>
      <c r="F82" s="13" t="s">
        <v>367</v>
      </c>
      <c r="G82" s="68" t="str">
        <f>HYPERLINK("http://www.ebay.fr/","http://www.ebay.fr/")</f>
        <v>http://www.ebay.fr/</v>
      </c>
      <c r="H82" s="2"/>
      <c r="I82" s="2"/>
      <c r="J82" s="2"/>
      <c r="K82" s="2"/>
      <c r="L82" s="2"/>
      <c r="M82" s="2"/>
      <c r="N82" s="2"/>
      <c r="O82" s="2"/>
      <c r="P82" s="2"/>
      <c r="Q82" s="2"/>
      <c r="R82" s="2"/>
      <c r="S82" s="2"/>
      <c r="T82" s="2"/>
      <c r="U82" s="2"/>
      <c r="V82" s="2"/>
      <c r="W82" s="2"/>
      <c r="X82" s="2"/>
      <c r="Y82" s="2"/>
      <c r="Z82" s="2"/>
    </row>
    <row r="83" customHeight="1" spans="1:26">
      <c r="A83" s="77" t="s">
        <v>368</v>
      </c>
      <c r="B83" s="13" t="s">
        <v>369</v>
      </c>
      <c r="C83" s="13" t="s">
        <v>366</v>
      </c>
      <c r="D83" s="65">
        <v>30</v>
      </c>
      <c r="E83" s="13" t="s">
        <v>262</v>
      </c>
      <c r="F83" s="13" t="s">
        <v>370</v>
      </c>
      <c r="G83" s="68" t="str">
        <f>HYPERLINK("http://www.amazon.fr/","http://www.amazon.fr/")</f>
        <v>http://www.amazon.fr/</v>
      </c>
      <c r="H83" s="2"/>
      <c r="I83" s="2"/>
      <c r="J83" s="2"/>
      <c r="K83" s="2"/>
      <c r="L83" s="2"/>
      <c r="M83" s="2"/>
      <c r="N83" s="2"/>
      <c r="O83" s="2"/>
      <c r="P83" s="2"/>
      <c r="Q83" s="2"/>
      <c r="R83" s="2"/>
      <c r="S83" s="2"/>
      <c r="T83" s="2"/>
      <c r="U83" s="2"/>
      <c r="V83" s="2"/>
      <c r="W83" s="2"/>
      <c r="X83" s="2"/>
      <c r="Y83" s="2"/>
      <c r="Z83" s="2"/>
    </row>
    <row r="84" customHeight="1" spans="1:26">
      <c r="A84" s="77" t="s">
        <v>371</v>
      </c>
      <c r="B84" s="13" t="s">
        <v>372</v>
      </c>
      <c r="C84" s="13" t="s">
        <v>373</v>
      </c>
      <c r="D84" s="65">
        <v>35</v>
      </c>
      <c r="E84" s="13" t="s">
        <v>37</v>
      </c>
      <c r="F84" s="13" t="s">
        <v>374</v>
      </c>
      <c r="G84" s="68" t="str">
        <f>HYPERLINK("http://www.next.fr/","http://www.next.fr/")</f>
        <v>http://www.next.fr/</v>
      </c>
      <c r="H84" s="2"/>
      <c r="I84" s="2"/>
      <c r="J84" s="2"/>
      <c r="K84" s="2"/>
      <c r="L84" s="2"/>
      <c r="M84" s="2"/>
      <c r="N84" s="2"/>
      <c r="O84" s="2"/>
      <c r="P84" s="2"/>
      <c r="Q84" s="2"/>
      <c r="R84" s="2"/>
      <c r="S84" s="2"/>
      <c r="T84" s="2"/>
      <c r="U84" s="2"/>
      <c r="V84" s="2"/>
      <c r="W84" s="2"/>
      <c r="X84" s="2"/>
      <c r="Y84" s="2"/>
      <c r="Z84" s="2"/>
    </row>
    <row r="85" customHeight="1" spans="1:26">
      <c r="A85" s="77" t="s">
        <v>375</v>
      </c>
      <c r="B85" s="13" t="s">
        <v>376</v>
      </c>
      <c r="C85" s="13" t="s">
        <v>373</v>
      </c>
      <c r="D85" s="65">
        <v>90</v>
      </c>
      <c r="E85" s="13" t="s">
        <v>37</v>
      </c>
      <c r="F85" s="13" t="s">
        <v>377</v>
      </c>
      <c r="G85" s="13" t="s">
        <v>378</v>
      </c>
      <c r="H85" s="2"/>
      <c r="I85" s="2"/>
      <c r="J85" s="2"/>
      <c r="K85" s="2"/>
      <c r="L85" s="2"/>
      <c r="M85" s="2"/>
      <c r="N85" s="2"/>
      <c r="O85" s="2"/>
      <c r="P85" s="2"/>
      <c r="Q85" s="2"/>
      <c r="R85" s="2"/>
      <c r="S85" s="2"/>
      <c r="T85" s="2"/>
      <c r="U85" s="2"/>
      <c r="V85" s="2"/>
      <c r="W85" s="2"/>
      <c r="X85" s="2"/>
      <c r="Y85" s="2"/>
      <c r="Z85" s="2"/>
    </row>
    <row r="86" customHeight="1" spans="1:26">
      <c r="A86" s="77" t="s">
        <v>379</v>
      </c>
      <c r="B86" s="13" t="s">
        <v>380</v>
      </c>
      <c r="C86" s="13" t="s">
        <v>373</v>
      </c>
      <c r="D86" s="65">
        <v>66</v>
      </c>
      <c r="E86" s="13" t="s">
        <v>21</v>
      </c>
      <c r="F86" s="13" t="s">
        <v>381</v>
      </c>
      <c r="G86" s="13" t="s">
        <v>382</v>
      </c>
      <c r="H86" s="2"/>
      <c r="I86" s="2"/>
      <c r="J86" s="2"/>
      <c r="K86" s="2"/>
      <c r="L86" s="2"/>
      <c r="M86" s="2"/>
      <c r="N86" s="2"/>
      <c r="O86" s="2"/>
      <c r="P86" s="2"/>
      <c r="Q86" s="2"/>
      <c r="R86" s="2"/>
      <c r="S86" s="2"/>
      <c r="T86" s="2"/>
      <c r="U86" s="2"/>
      <c r="V86" s="2"/>
      <c r="W86" s="2"/>
      <c r="X86" s="2"/>
      <c r="Y86" s="2"/>
      <c r="Z86" s="2"/>
    </row>
    <row r="87" customHeight="1" spans="1:26">
      <c r="A87" s="169" t="s">
        <v>383</v>
      </c>
      <c r="B87" s="13" t="s">
        <v>384</v>
      </c>
      <c r="C87" s="13" t="s">
        <v>373</v>
      </c>
      <c r="D87" s="57"/>
      <c r="E87" s="57"/>
      <c r="F87" s="13" t="s">
        <v>385</v>
      </c>
      <c r="G87" s="13" t="s">
        <v>386</v>
      </c>
      <c r="H87" s="2"/>
      <c r="I87" s="2"/>
      <c r="J87" s="2"/>
      <c r="K87" s="2"/>
      <c r="L87" s="2"/>
      <c r="M87" s="2"/>
      <c r="N87" s="2"/>
      <c r="O87" s="2"/>
      <c r="P87" s="2"/>
      <c r="Q87" s="2"/>
      <c r="R87" s="2"/>
      <c r="S87" s="2"/>
      <c r="T87" s="2"/>
      <c r="U87" s="2"/>
      <c r="V87" s="2"/>
      <c r="W87" s="2"/>
      <c r="X87" s="2"/>
      <c r="Y87" s="2"/>
      <c r="Z87" s="2"/>
    </row>
    <row r="88" customHeight="1" spans="1:26">
      <c r="A88" s="169" t="s">
        <v>387</v>
      </c>
      <c r="B88" s="13" t="s">
        <v>388</v>
      </c>
      <c r="C88" s="13" t="s">
        <v>373</v>
      </c>
      <c r="D88" s="65">
        <v>76</v>
      </c>
      <c r="E88" s="13" t="s">
        <v>37</v>
      </c>
      <c r="F88" s="13" t="s">
        <v>389</v>
      </c>
      <c r="G88" s="13" t="s">
        <v>390</v>
      </c>
      <c r="H88" s="2"/>
      <c r="I88" s="2"/>
      <c r="J88" s="2"/>
      <c r="K88" s="2"/>
      <c r="L88" s="2"/>
      <c r="M88" s="2"/>
      <c r="N88" s="2"/>
      <c r="O88" s="2"/>
      <c r="P88" s="2"/>
      <c r="Q88" s="2"/>
      <c r="R88" s="2"/>
      <c r="S88" s="2"/>
      <c r="T88" s="2"/>
      <c r="U88" s="2"/>
      <c r="V88" s="2"/>
      <c r="W88" s="2"/>
      <c r="X88" s="2"/>
      <c r="Y88" s="2"/>
      <c r="Z88" s="2"/>
    </row>
    <row r="89" customHeight="1" spans="1:26">
      <c r="A89" s="169" t="s">
        <v>391</v>
      </c>
      <c r="B89" s="13" t="s">
        <v>392</v>
      </c>
      <c r="C89" s="13" t="s">
        <v>393</v>
      </c>
      <c r="D89" s="14">
        <v>3500</v>
      </c>
      <c r="E89" s="13" t="s">
        <v>21</v>
      </c>
      <c r="F89" s="13" t="s">
        <v>394</v>
      </c>
      <c r="G89" s="68" t="str">
        <f>HYPERLINK("http://www.chanel.com/fr_FR/","http://www.chanel.com/fr_FR/")</f>
        <v>http://www.chanel.com/fr_FR/</v>
      </c>
      <c r="H89" s="2"/>
      <c r="I89" s="2"/>
      <c r="J89" s="2"/>
      <c r="K89" s="2"/>
      <c r="L89" s="2"/>
      <c r="M89" s="2"/>
      <c r="N89" s="2"/>
      <c r="O89" s="2"/>
      <c r="P89" s="2"/>
      <c r="Q89" s="2"/>
      <c r="R89" s="2"/>
      <c r="S89" s="2"/>
      <c r="T89" s="2"/>
      <c r="U89" s="2"/>
      <c r="V89" s="2"/>
      <c r="W89" s="2"/>
      <c r="X89" s="2"/>
      <c r="Y89" s="2"/>
      <c r="Z89" s="2"/>
    </row>
    <row r="90" customHeight="1" spans="1:26">
      <c r="A90" s="169" t="s">
        <v>395</v>
      </c>
      <c r="B90" s="13" t="s">
        <v>396</v>
      </c>
      <c r="C90" s="13" t="s">
        <v>393</v>
      </c>
      <c r="D90" s="14">
        <v>1230</v>
      </c>
      <c r="E90" s="13" t="s">
        <v>21</v>
      </c>
      <c r="F90" s="13" t="s">
        <v>397</v>
      </c>
      <c r="G90" s="13" t="s">
        <v>398</v>
      </c>
      <c r="H90" s="2"/>
      <c r="I90" s="2"/>
      <c r="J90" s="2"/>
      <c r="K90" s="2"/>
      <c r="L90" s="2"/>
      <c r="M90" s="2"/>
      <c r="N90" s="2"/>
      <c r="O90" s="2"/>
      <c r="P90" s="2"/>
      <c r="Q90" s="2"/>
      <c r="R90" s="2"/>
      <c r="S90" s="2"/>
      <c r="T90" s="2"/>
      <c r="U90" s="2"/>
      <c r="V90" s="2"/>
      <c r="W90" s="2"/>
      <c r="X90" s="2"/>
      <c r="Y90" s="2"/>
      <c r="Z90" s="2"/>
    </row>
    <row r="91" customHeight="1" spans="1:26">
      <c r="A91" s="169" t="s">
        <v>399</v>
      </c>
      <c r="B91" s="13" t="s">
        <v>400</v>
      </c>
      <c r="C91" s="13" t="s">
        <v>224</v>
      </c>
      <c r="D91" s="57"/>
      <c r="E91" s="57"/>
      <c r="F91" s="13" t="s">
        <v>401</v>
      </c>
      <c r="G91" s="13" t="s">
        <v>402</v>
      </c>
      <c r="H91" s="2"/>
      <c r="I91" s="2"/>
      <c r="J91" s="2"/>
      <c r="K91" s="2"/>
      <c r="L91" s="2"/>
      <c r="M91" s="2"/>
      <c r="N91" s="2"/>
      <c r="O91" s="2"/>
      <c r="P91" s="2"/>
      <c r="Q91" s="2"/>
      <c r="R91" s="2"/>
      <c r="S91" s="2"/>
      <c r="T91" s="2"/>
      <c r="U91" s="2"/>
      <c r="V91" s="2"/>
      <c r="W91" s="2"/>
      <c r="X91" s="2"/>
      <c r="Y91" s="2"/>
      <c r="Z91" s="2"/>
    </row>
    <row r="92" customHeight="1" spans="1:26">
      <c r="A92" s="169" t="s">
        <v>403</v>
      </c>
      <c r="B92" s="13" t="s">
        <v>404</v>
      </c>
      <c r="C92" s="13" t="s">
        <v>229</v>
      </c>
      <c r="D92" s="57"/>
      <c r="E92" s="57"/>
      <c r="F92" s="13" t="s">
        <v>405</v>
      </c>
      <c r="G92" s="13" t="s">
        <v>406</v>
      </c>
      <c r="H92" s="2"/>
      <c r="I92" s="2"/>
      <c r="J92" s="2"/>
      <c r="K92" s="2"/>
      <c r="L92" s="2"/>
      <c r="M92" s="2"/>
      <c r="N92" s="2"/>
      <c r="O92" s="2"/>
      <c r="P92" s="2"/>
      <c r="Q92" s="2"/>
      <c r="R92" s="2"/>
      <c r="S92" s="2"/>
      <c r="T92" s="2"/>
      <c r="U92" s="2"/>
      <c r="V92" s="2"/>
      <c r="W92" s="2"/>
      <c r="X92" s="2"/>
      <c r="Y92" s="2"/>
      <c r="Z92" s="2"/>
    </row>
    <row r="93" customHeight="1" spans="1:26">
      <c r="A93" s="169" t="s">
        <v>407</v>
      </c>
      <c r="B93" s="13" t="s">
        <v>408</v>
      </c>
      <c r="C93" s="13" t="s">
        <v>229</v>
      </c>
      <c r="D93" s="65">
        <v>350</v>
      </c>
      <c r="E93" s="13" t="s">
        <v>21</v>
      </c>
      <c r="F93" s="13" t="s">
        <v>409</v>
      </c>
      <c r="G93" s="13" t="s">
        <v>410</v>
      </c>
      <c r="H93" s="2"/>
      <c r="I93" s="2"/>
      <c r="J93" s="2"/>
      <c r="K93" s="2"/>
      <c r="L93" s="2"/>
      <c r="M93" s="2"/>
      <c r="N93" s="2"/>
      <c r="O93" s="2"/>
      <c r="P93" s="2"/>
      <c r="Q93" s="2"/>
      <c r="R93" s="2"/>
      <c r="S93" s="2"/>
      <c r="T93" s="2"/>
      <c r="U93" s="2"/>
      <c r="V93" s="2"/>
      <c r="W93" s="2"/>
      <c r="X93" s="2"/>
      <c r="Y93" s="2"/>
      <c r="Z93" s="2"/>
    </row>
    <row r="94" customHeight="1" spans="1:26">
      <c r="A94" s="169" t="s">
        <v>411</v>
      </c>
      <c r="B94" s="13" t="s">
        <v>412</v>
      </c>
      <c r="C94" s="13" t="s">
        <v>413</v>
      </c>
      <c r="D94" s="65"/>
      <c r="E94" s="65"/>
      <c r="F94" s="13" t="s">
        <v>414</v>
      </c>
      <c r="G94" s="13" t="s">
        <v>415</v>
      </c>
      <c r="H94" s="2"/>
      <c r="I94" s="2"/>
      <c r="J94" s="2"/>
      <c r="K94" s="2"/>
      <c r="L94" s="2"/>
      <c r="M94" s="2"/>
      <c r="N94" s="2"/>
      <c r="O94" s="2"/>
      <c r="P94" s="2"/>
      <c r="Q94" s="2"/>
      <c r="R94" s="2"/>
      <c r="S94" s="2"/>
      <c r="T94" s="2"/>
      <c r="U94" s="2"/>
      <c r="V94" s="2"/>
      <c r="W94" s="2"/>
      <c r="X94" s="2"/>
      <c r="Y94" s="2"/>
      <c r="Z94" s="2"/>
    </row>
    <row r="95" customHeight="1" spans="1:26">
      <c r="A95" s="169" t="s">
        <v>416</v>
      </c>
      <c r="B95" s="13" t="s">
        <v>417</v>
      </c>
      <c r="C95" s="13" t="s">
        <v>418</v>
      </c>
      <c r="D95" s="65"/>
      <c r="E95" s="65"/>
      <c r="F95" s="13" t="s">
        <v>419</v>
      </c>
      <c r="G95" s="13" t="s">
        <v>420</v>
      </c>
      <c r="H95" s="2"/>
      <c r="I95" s="2"/>
      <c r="J95" s="2"/>
      <c r="K95" s="2"/>
      <c r="L95" s="2"/>
      <c r="M95" s="2"/>
      <c r="N95" s="2"/>
      <c r="O95" s="2"/>
      <c r="P95" s="2"/>
      <c r="Q95" s="2"/>
      <c r="R95" s="2"/>
      <c r="S95" s="2"/>
      <c r="T95" s="2"/>
      <c r="U95" s="2"/>
      <c r="V95" s="2"/>
      <c r="W95" s="2"/>
      <c r="X95" s="2"/>
      <c r="Y95" s="2"/>
      <c r="Z95" s="2"/>
    </row>
    <row r="96" customHeight="1" spans="1:26">
      <c r="A96" s="169" t="s">
        <v>421</v>
      </c>
      <c r="B96" s="13" t="s">
        <v>422</v>
      </c>
      <c r="C96" s="13" t="s">
        <v>423</v>
      </c>
      <c r="D96" s="65"/>
      <c r="E96" s="65"/>
      <c r="F96" s="13" t="s">
        <v>424</v>
      </c>
      <c r="G96" s="13" t="s">
        <v>425</v>
      </c>
      <c r="H96" s="2"/>
      <c r="I96" s="2"/>
      <c r="J96" s="2"/>
      <c r="K96" s="2"/>
      <c r="L96" s="2"/>
      <c r="M96" s="2"/>
      <c r="N96" s="2"/>
      <c r="O96" s="2"/>
      <c r="P96" s="2"/>
      <c r="Q96" s="2"/>
      <c r="R96" s="2"/>
      <c r="S96" s="2"/>
      <c r="T96" s="2"/>
      <c r="U96" s="2"/>
      <c r="V96" s="2"/>
      <c r="W96" s="2"/>
      <c r="X96" s="2"/>
      <c r="Y96" s="2"/>
      <c r="Z96" s="2"/>
    </row>
    <row r="97" customHeight="1" spans="1:26">
      <c r="A97" s="169" t="s">
        <v>426</v>
      </c>
      <c r="B97" s="13" t="s">
        <v>427</v>
      </c>
      <c r="C97" s="13" t="s">
        <v>428</v>
      </c>
      <c r="D97" s="65"/>
      <c r="E97" s="65"/>
      <c r="F97" s="13" t="s">
        <v>429</v>
      </c>
      <c r="G97" s="13" t="s">
        <v>430</v>
      </c>
      <c r="H97" s="2"/>
      <c r="I97" s="2"/>
      <c r="J97" s="2"/>
      <c r="K97" s="2"/>
      <c r="L97" s="2"/>
      <c r="M97" s="2"/>
      <c r="N97" s="2"/>
      <c r="O97" s="2"/>
      <c r="P97" s="2"/>
      <c r="Q97" s="2"/>
      <c r="R97" s="2"/>
      <c r="S97" s="2"/>
      <c r="T97" s="2"/>
      <c r="U97" s="2"/>
      <c r="V97" s="2"/>
      <c r="W97" s="2"/>
      <c r="X97" s="2"/>
      <c r="Y97" s="2"/>
      <c r="Z97" s="2"/>
    </row>
    <row r="98" customHeight="1" spans="1:26">
      <c r="A98" s="169" t="s">
        <v>431</v>
      </c>
      <c r="B98" s="13" t="s">
        <v>432</v>
      </c>
      <c r="C98" s="13" t="s">
        <v>428</v>
      </c>
      <c r="D98" s="65"/>
      <c r="E98" s="65"/>
      <c r="F98" s="13" t="s">
        <v>433</v>
      </c>
      <c r="G98" s="13" t="s">
        <v>434</v>
      </c>
      <c r="H98" s="2"/>
      <c r="I98" s="2"/>
      <c r="J98" s="2"/>
      <c r="K98" s="2"/>
      <c r="L98" s="2"/>
      <c r="M98" s="2"/>
      <c r="N98" s="2"/>
      <c r="O98" s="2"/>
      <c r="P98" s="2"/>
      <c r="Q98" s="2"/>
      <c r="R98" s="2"/>
      <c r="S98" s="2"/>
      <c r="T98" s="2"/>
      <c r="U98" s="2"/>
      <c r="V98" s="2"/>
      <c r="W98" s="2"/>
      <c r="X98" s="2"/>
      <c r="Y98" s="2"/>
      <c r="Z98" s="2"/>
    </row>
    <row r="99" customHeight="1" spans="1:26">
      <c r="A99" s="169" t="s">
        <v>435</v>
      </c>
      <c r="B99" s="13" t="s">
        <v>436</v>
      </c>
      <c r="C99" s="13" t="s">
        <v>428</v>
      </c>
      <c r="D99" s="65"/>
      <c r="E99" s="65"/>
      <c r="F99" s="13" t="s">
        <v>437</v>
      </c>
      <c r="G99" s="13" t="s">
        <v>438</v>
      </c>
      <c r="H99" s="2"/>
      <c r="I99" s="2"/>
      <c r="J99" s="2"/>
      <c r="K99" s="2"/>
      <c r="L99" s="2"/>
      <c r="M99" s="2"/>
      <c r="N99" s="2"/>
      <c r="O99" s="2"/>
      <c r="P99" s="2"/>
      <c r="Q99" s="2"/>
      <c r="R99" s="2"/>
      <c r="S99" s="2"/>
      <c r="T99" s="2"/>
      <c r="U99" s="2"/>
      <c r="V99" s="2"/>
      <c r="W99" s="2"/>
      <c r="X99" s="2"/>
      <c r="Y99" s="2"/>
      <c r="Z99" s="2"/>
    </row>
    <row r="100" customHeight="1" spans="1:26">
      <c r="A100" s="77" t="s">
        <v>439</v>
      </c>
      <c r="B100" s="13" t="s">
        <v>440</v>
      </c>
      <c r="C100" s="13" t="s">
        <v>315</v>
      </c>
      <c r="D100" s="65">
        <v>15</v>
      </c>
      <c r="E100" s="13" t="s">
        <v>37</v>
      </c>
      <c r="F100" s="13" t="s">
        <v>441</v>
      </c>
      <c r="G100" s="13" t="s">
        <v>442</v>
      </c>
      <c r="H100" s="2"/>
      <c r="I100" s="2"/>
      <c r="J100" s="2"/>
      <c r="K100" s="2"/>
      <c r="L100" s="2"/>
      <c r="M100" s="2"/>
      <c r="N100" s="2"/>
      <c r="O100" s="2"/>
      <c r="P100" s="2"/>
      <c r="Q100" s="2"/>
      <c r="R100" s="2"/>
      <c r="S100" s="2"/>
      <c r="T100" s="2"/>
      <c r="U100" s="2"/>
      <c r="V100" s="2"/>
      <c r="W100" s="2"/>
      <c r="X100" s="2"/>
      <c r="Y100" s="2"/>
      <c r="Z100" s="2"/>
    </row>
    <row r="101" customHeight="1" spans="1:26">
      <c r="A101" s="169" t="s">
        <v>443</v>
      </c>
      <c r="B101" s="13" t="s">
        <v>444</v>
      </c>
      <c r="C101" s="13" t="s">
        <v>445</v>
      </c>
      <c r="D101" s="65"/>
      <c r="E101" s="65"/>
      <c r="F101" s="13" t="s">
        <v>446</v>
      </c>
      <c r="G101" s="13" t="s">
        <v>447</v>
      </c>
      <c r="H101" s="2"/>
      <c r="I101" s="2"/>
      <c r="J101" s="2"/>
      <c r="K101" s="2"/>
      <c r="L101" s="2"/>
      <c r="M101" s="2"/>
      <c r="N101" s="2"/>
      <c r="O101" s="2"/>
      <c r="P101" s="2"/>
      <c r="Q101" s="2"/>
      <c r="R101" s="2"/>
      <c r="S101" s="2"/>
      <c r="T101" s="2"/>
      <c r="U101" s="2"/>
      <c r="V101" s="2"/>
      <c r="W101" s="2"/>
      <c r="X101" s="2"/>
      <c r="Y101" s="2"/>
      <c r="Z101" s="2"/>
    </row>
    <row r="102" customHeight="1" spans="1:26">
      <c r="A102" s="169" t="s">
        <v>448</v>
      </c>
      <c r="B102" s="197" t="s">
        <v>449</v>
      </c>
      <c r="C102" s="13" t="s">
        <v>450</v>
      </c>
      <c r="D102" s="65">
        <v>95</v>
      </c>
      <c r="E102" s="13" t="s">
        <v>310</v>
      </c>
      <c r="F102" s="52" t="s">
        <v>451</v>
      </c>
      <c r="G102" s="217" t="str">
        <f>HYPERLINK("http://www.petit-bateau.fr/","www.petit-bateau.fr/")</f>
        <v>www.petit-bateau.fr/</v>
      </c>
      <c r="H102" s="2"/>
      <c r="I102" s="2"/>
      <c r="J102" s="2"/>
      <c r="K102" s="2"/>
      <c r="L102" s="2"/>
      <c r="M102" s="2"/>
      <c r="N102" s="2"/>
      <c r="O102" s="2"/>
      <c r="P102" s="2"/>
      <c r="Q102" s="2"/>
      <c r="R102" s="2"/>
      <c r="S102" s="2"/>
      <c r="T102" s="2"/>
      <c r="U102" s="2"/>
      <c r="V102" s="2"/>
      <c r="W102" s="2"/>
      <c r="X102" s="2"/>
      <c r="Y102" s="2"/>
      <c r="Z102" s="2"/>
    </row>
    <row r="103" customHeight="1" spans="1:26">
      <c r="A103" s="169" t="s">
        <v>452</v>
      </c>
      <c r="B103" s="52" t="s">
        <v>453</v>
      </c>
      <c r="C103" s="13" t="s">
        <v>450</v>
      </c>
      <c r="D103" s="65">
        <v>89</v>
      </c>
      <c r="E103" s="13" t="s">
        <v>310</v>
      </c>
      <c r="F103" s="52" t="s">
        <v>454</v>
      </c>
      <c r="G103" s="217" t="str">
        <f>HYPERLINK("http://www.autourdebebe.com/","www.autourdebebe.com/")</f>
        <v>www.autourdebebe.com/</v>
      </c>
      <c r="H103" s="2"/>
      <c r="I103" s="2"/>
      <c r="J103" s="2"/>
      <c r="K103" s="2"/>
      <c r="L103" s="2"/>
      <c r="M103" s="2"/>
      <c r="N103" s="2"/>
      <c r="O103" s="2"/>
      <c r="P103" s="2"/>
      <c r="Q103" s="2"/>
      <c r="R103" s="2"/>
      <c r="S103" s="2"/>
      <c r="T103" s="2"/>
      <c r="U103" s="2"/>
      <c r="V103" s="2"/>
      <c r="W103" s="2"/>
      <c r="X103" s="2"/>
      <c r="Y103" s="2"/>
      <c r="Z103" s="2"/>
    </row>
    <row r="104" customHeight="1" spans="1:26">
      <c r="A104" s="169" t="s">
        <v>455</v>
      </c>
      <c r="B104" s="13" t="s">
        <v>456</v>
      </c>
      <c r="C104" s="13" t="s">
        <v>457</v>
      </c>
      <c r="D104" s="65"/>
      <c r="E104" s="65"/>
      <c r="F104" s="13" t="s">
        <v>458</v>
      </c>
      <c r="G104" s="13" t="s">
        <v>459</v>
      </c>
      <c r="H104" s="2"/>
      <c r="I104" s="2"/>
      <c r="J104" s="2"/>
      <c r="K104" s="2"/>
      <c r="L104" s="2"/>
      <c r="M104" s="2"/>
      <c r="N104" s="2"/>
      <c r="O104" s="2"/>
      <c r="P104" s="2"/>
      <c r="Q104" s="2"/>
      <c r="R104" s="2"/>
      <c r="S104" s="2"/>
      <c r="T104" s="2"/>
      <c r="U104" s="2"/>
      <c r="V104" s="2"/>
      <c r="W104" s="2"/>
      <c r="X104" s="2"/>
      <c r="Y104" s="2"/>
      <c r="Z104" s="2"/>
    </row>
    <row r="105" customHeight="1" spans="1:26">
      <c r="A105" s="169" t="s">
        <v>460</v>
      </c>
      <c r="B105" s="13" t="s">
        <v>461</v>
      </c>
      <c r="C105" s="13" t="s">
        <v>462</v>
      </c>
      <c r="D105" s="65"/>
      <c r="E105" s="65"/>
      <c r="F105" s="13" t="s">
        <v>463</v>
      </c>
      <c r="G105" s="13" t="s">
        <v>464</v>
      </c>
      <c r="H105" s="2"/>
      <c r="I105" s="2"/>
      <c r="J105" s="2"/>
      <c r="K105" s="2"/>
      <c r="L105" s="2"/>
      <c r="M105" s="2"/>
      <c r="N105" s="2"/>
      <c r="O105" s="2"/>
      <c r="P105" s="2"/>
      <c r="Q105" s="2"/>
      <c r="R105" s="2"/>
      <c r="S105" s="2"/>
      <c r="T105" s="2"/>
      <c r="U105" s="2"/>
      <c r="V105" s="2"/>
      <c r="W105" s="2"/>
      <c r="X105" s="2"/>
      <c r="Y105" s="2"/>
      <c r="Z105" s="2"/>
    </row>
    <row r="106" customHeight="1" spans="1:26">
      <c r="A106" s="77" t="s">
        <v>465</v>
      </c>
      <c r="B106" s="13" t="s">
        <v>466</v>
      </c>
      <c r="C106" s="13" t="s">
        <v>315</v>
      </c>
      <c r="D106" s="65">
        <v>30</v>
      </c>
      <c r="E106" s="13" t="s">
        <v>21</v>
      </c>
      <c r="F106" s="13" t="s">
        <v>467</v>
      </c>
      <c r="G106" s="13" t="s">
        <v>468</v>
      </c>
      <c r="H106" s="2"/>
      <c r="I106" s="2"/>
      <c r="J106" s="2"/>
      <c r="K106" s="2"/>
      <c r="L106" s="2"/>
      <c r="M106" s="2"/>
      <c r="N106" s="2"/>
      <c r="O106" s="2"/>
      <c r="P106" s="2"/>
      <c r="Q106" s="2"/>
      <c r="R106" s="2"/>
      <c r="S106" s="2"/>
      <c r="T106" s="2"/>
      <c r="U106" s="2"/>
      <c r="V106" s="2"/>
      <c r="W106" s="2"/>
      <c r="X106" s="2"/>
      <c r="Y106" s="2"/>
      <c r="Z106" s="2"/>
    </row>
    <row r="107" customHeight="1" spans="1:26">
      <c r="A107" s="169" t="s">
        <v>469</v>
      </c>
      <c r="B107" s="13" t="s">
        <v>470</v>
      </c>
      <c r="C107" s="13" t="s">
        <v>471</v>
      </c>
      <c r="D107" s="65"/>
      <c r="E107" s="65"/>
      <c r="F107" s="13" t="s">
        <v>472</v>
      </c>
      <c r="G107" s="13" t="s">
        <v>473</v>
      </c>
      <c r="H107" s="2"/>
      <c r="I107" s="2"/>
      <c r="J107" s="2"/>
      <c r="K107" s="2"/>
      <c r="L107" s="2"/>
      <c r="M107" s="2"/>
      <c r="N107" s="2"/>
      <c r="O107" s="2"/>
      <c r="P107" s="2"/>
      <c r="Q107" s="2"/>
      <c r="R107" s="2"/>
      <c r="S107" s="2"/>
      <c r="T107" s="2"/>
      <c r="U107" s="2"/>
      <c r="V107" s="2"/>
      <c r="W107" s="2"/>
      <c r="X107" s="2"/>
      <c r="Y107" s="2"/>
      <c r="Z107" s="2"/>
    </row>
    <row r="108" customHeight="1" spans="1:26">
      <c r="A108" s="169" t="s">
        <v>474</v>
      </c>
      <c r="B108" s="13" t="s">
        <v>475</v>
      </c>
      <c r="C108" s="13" t="s">
        <v>476</v>
      </c>
      <c r="D108" s="65">
        <v>123</v>
      </c>
      <c r="E108" s="13" t="s">
        <v>310</v>
      </c>
      <c r="F108" s="13" t="s">
        <v>477</v>
      </c>
      <c r="G108" s="13" t="s">
        <v>478</v>
      </c>
      <c r="H108" s="2"/>
      <c r="I108" s="2"/>
      <c r="J108" s="2"/>
      <c r="K108" s="2"/>
      <c r="L108" s="2"/>
      <c r="M108" s="2"/>
      <c r="N108" s="2"/>
      <c r="O108" s="2"/>
      <c r="P108" s="2"/>
      <c r="Q108" s="2"/>
      <c r="R108" s="2"/>
      <c r="S108" s="2"/>
      <c r="T108" s="2"/>
      <c r="U108" s="2"/>
      <c r="V108" s="2"/>
      <c r="W108" s="2"/>
      <c r="X108" s="2"/>
      <c r="Y108" s="2"/>
      <c r="Z108" s="2"/>
    </row>
    <row r="109" customHeight="1" spans="1:26">
      <c r="A109" s="169" t="s">
        <v>479</v>
      </c>
      <c r="B109" s="13" t="s">
        <v>480</v>
      </c>
      <c r="C109" s="13" t="s">
        <v>476</v>
      </c>
      <c r="D109" s="65">
        <v>76</v>
      </c>
      <c r="E109" s="13" t="s">
        <v>310</v>
      </c>
      <c r="F109" s="13" t="s">
        <v>481</v>
      </c>
      <c r="G109" s="13" t="s">
        <v>482</v>
      </c>
      <c r="H109" s="2"/>
      <c r="I109" s="2"/>
      <c r="J109" s="2"/>
      <c r="K109" s="2"/>
      <c r="L109" s="2"/>
      <c r="M109" s="2"/>
      <c r="N109" s="2"/>
      <c r="O109" s="2"/>
      <c r="P109" s="2"/>
      <c r="Q109" s="2"/>
      <c r="R109" s="2"/>
      <c r="S109" s="2"/>
      <c r="T109" s="2"/>
      <c r="U109" s="2"/>
      <c r="V109" s="2"/>
      <c r="W109" s="2"/>
      <c r="X109" s="2"/>
      <c r="Y109" s="2"/>
      <c r="Z109" s="2"/>
    </row>
    <row r="110" customHeight="1" spans="1:26">
      <c r="A110" s="77" t="s">
        <v>483</v>
      </c>
      <c r="B110" s="13" t="s">
        <v>484</v>
      </c>
      <c r="C110" s="13" t="s">
        <v>485</v>
      </c>
      <c r="D110" s="65">
        <v>77</v>
      </c>
      <c r="E110" s="13" t="s">
        <v>37</v>
      </c>
      <c r="F110" s="13" t="s">
        <v>486</v>
      </c>
      <c r="G110" s="13" t="s">
        <v>487</v>
      </c>
      <c r="H110" s="2"/>
      <c r="I110" s="2"/>
      <c r="J110" s="2"/>
      <c r="K110" s="2"/>
      <c r="L110" s="2"/>
      <c r="M110" s="2"/>
      <c r="N110" s="2"/>
      <c r="O110" s="2"/>
      <c r="P110" s="2"/>
      <c r="Q110" s="2"/>
      <c r="R110" s="2"/>
      <c r="S110" s="2"/>
      <c r="T110" s="2"/>
      <c r="U110" s="2"/>
      <c r="V110" s="2"/>
      <c r="W110" s="2"/>
      <c r="X110" s="2"/>
      <c r="Y110" s="2"/>
      <c r="Z110" s="2"/>
    </row>
    <row r="111" customHeight="1" spans="1:26">
      <c r="A111" s="169" t="s">
        <v>488</v>
      </c>
      <c r="B111" s="13" t="s">
        <v>489</v>
      </c>
      <c r="C111" s="13" t="s">
        <v>490</v>
      </c>
      <c r="D111" s="65"/>
      <c r="E111" s="65"/>
      <c r="F111" s="13" t="s">
        <v>491</v>
      </c>
      <c r="G111" s="13" t="s">
        <v>492</v>
      </c>
      <c r="H111" s="2"/>
      <c r="I111" s="2"/>
      <c r="J111" s="2"/>
      <c r="K111" s="2"/>
      <c r="L111" s="2"/>
      <c r="M111" s="2"/>
      <c r="N111" s="2"/>
      <c r="O111" s="2"/>
      <c r="P111" s="2"/>
      <c r="Q111" s="2"/>
      <c r="R111" s="2"/>
      <c r="S111" s="2"/>
      <c r="T111" s="2"/>
      <c r="U111" s="2"/>
      <c r="V111" s="2"/>
      <c r="W111" s="2"/>
      <c r="X111" s="2"/>
      <c r="Y111" s="2"/>
      <c r="Z111" s="2"/>
    </row>
    <row r="112" customHeight="1" spans="1:26">
      <c r="A112" s="169" t="s">
        <v>493</v>
      </c>
      <c r="B112" s="13" t="s">
        <v>494</v>
      </c>
      <c r="C112" s="13" t="s">
        <v>495</v>
      </c>
      <c r="D112" s="57"/>
      <c r="E112" s="57"/>
      <c r="F112" s="13" t="s">
        <v>496</v>
      </c>
      <c r="G112" s="13" t="s">
        <v>497</v>
      </c>
      <c r="H112" s="2"/>
      <c r="I112" s="2"/>
      <c r="J112" s="2"/>
      <c r="K112" s="2"/>
      <c r="L112" s="2"/>
      <c r="M112" s="2"/>
      <c r="N112" s="2"/>
      <c r="O112" s="2"/>
      <c r="P112" s="2"/>
      <c r="Q112" s="2"/>
      <c r="R112" s="2"/>
      <c r="S112" s="2"/>
      <c r="T112" s="2"/>
      <c r="U112" s="2"/>
      <c r="V112" s="2"/>
      <c r="W112" s="2"/>
      <c r="X112" s="2"/>
      <c r="Y112" s="2"/>
      <c r="Z112" s="2"/>
    </row>
    <row r="113" customHeight="1" spans="1:26">
      <c r="A113" s="169" t="s">
        <v>498</v>
      </c>
      <c r="B113" s="13" t="s">
        <v>499</v>
      </c>
      <c r="C113" s="13" t="s">
        <v>500</v>
      </c>
      <c r="D113" s="57"/>
      <c r="E113" s="57"/>
      <c r="F113" s="13" t="s">
        <v>501</v>
      </c>
      <c r="G113" s="13" t="s">
        <v>502</v>
      </c>
      <c r="H113" s="2"/>
      <c r="I113" s="2"/>
      <c r="J113" s="2"/>
      <c r="K113" s="2"/>
      <c r="L113" s="2"/>
      <c r="M113" s="2"/>
      <c r="N113" s="2"/>
      <c r="O113" s="2"/>
      <c r="P113" s="2"/>
      <c r="Q113" s="2"/>
      <c r="R113" s="2"/>
      <c r="S113" s="2"/>
      <c r="T113" s="2"/>
      <c r="U113" s="2"/>
      <c r="V113" s="2"/>
      <c r="W113" s="2"/>
      <c r="X113" s="2"/>
      <c r="Y113" s="2"/>
      <c r="Z113" s="2"/>
    </row>
    <row r="114" customHeight="1" spans="1:26">
      <c r="A114" s="77" t="s">
        <v>503</v>
      </c>
      <c r="B114" s="13" t="s">
        <v>504</v>
      </c>
      <c r="C114" s="13" t="s">
        <v>505</v>
      </c>
      <c r="D114" s="65">
        <v>38</v>
      </c>
      <c r="E114" s="13" t="s">
        <v>37</v>
      </c>
      <c r="F114" s="13" t="s">
        <v>506</v>
      </c>
      <c r="G114" s="13" t="s">
        <v>507</v>
      </c>
      <c r="H114" s="2"/>
      <c r="I114" s="2"/>
      <c r="J114" s="2"/>
      <c r="K114" s="2"/>
      <c r="L114" s="2"/>
      <c r="M114" s="2"/>
      <c r="N114" s="2"/>
      <c r="O114" s="2"/>
      <c r="P114" s="2"/>
      <c r="Q114" s="2"/>
      <c r="R114" s="2"/>
      <c r="S114" s="2"/>
      <c r="T114" s="2"/>
      <c r="U114" s="2"/>
      <c r="V114" s="2"/>
      <c r="W114" s="2"/>
      <c r="X114" s="2"/>
      <c r="Y114" s="2"/>
      <c r="Z114" s="2"/>
    </row>
    <row r="115" customHeight="1" spans="1:26">
      <c r="A115" s="169" t="s">
        <v>508</v>
      </c>
      <c r="B115" s="13" t="s">
        <v>509</v>
      </c>
      <c r="C115" s="13" t="s">
        <v>510</v>
      </c>
      <c r="D115" s="65"/>
      <c r="E115" s="65"/>
      <c r="F115" s="13" t="s">
        <v>511</v>
      </c>
      <c r="G115" s="13" t="s">
        <v>512</v>
      </c>
      <c r="H115" s="2"/>
      <c r="I115" s="2"/>
      <c r="J115" s="2"/>
      <c r="K115" s="2"/>
      <c r="L115" s="2"/>
      <c r="M115" s="2"/>
      <c r="N115" s="2"/>
      <c r="O115" s="2"/>
      <c r="P115" s="2"/>
      <c r="Q115" s="2"/>
      <c r="R115" s="2"/>
      <c r="S115" s="2"/>
      <c r="T115" s="2"/>
      <c r="U115" s="2"/>
      <c r="V115" s="2"/>
      <c r="W115" s="2"/>
      <c r="X115" s="2"/>
      <c r="Y115" s="2"/>
      <c r="Z115" s="2"/>
    </row>
    <row r="116" customHeight="1" spans="1:26">
      <c r="A116" s="169" t="s">
        <v>513</v>
      </c>
      <c r="B116" s="13" t="s">
        <v>514</v>
      </c>
      <c r="C116" s="13" t="s">
        <v>515</v>
      </c>
      <c r="D116" s="14">
        <v>40</v>
      </c>
      <c r="E116" s="13" t="s">
        <v>37</v>
      </c>
      <c r="F116" s="13" t="s">
        <v>516</v>
      </c>
      <c r="G116" s="13" t="s">
        <v>517</v>
      </c>
      <c r="H116" s="2"/>
      <c r="I116" s="2"/>
      <c r="J116" s="2"/>
      <c r="K116" s="2"/>
      <c r="L116" s="2"/>
      <c r="M116" s="2"/>
      <c r="N116" s="2"/>
      <c r="O116" s="2"/>
      <c r="P116" s="2"/>
      <c r="Q116" s="2"/>
      <c r="R116" s="2"/>
      <c r="S116" s="2"/>
      <c r="T116" s="2"/>
      <c r="U116" s="2"/>
      <c r="V116" s="2"/>
      <c r="W116" s="2"/>
      <c r="X116" s="2"/>
      <c r="Y116" s="2"/>
      <c r="Z116" s="2"/>
    </row>
    <row r="117" customHeight="1" spans="1:26">
      <c r="A117" s="169" t="s">
        <v>518</v>
      </c>
      <c r="B117" s="13" t="s">
        <v>175</v>
      </c>
      <c r="C117" s="13" t="s">
        <v>519</v>
      </c>
      <c r="D117" s="14">
        <v>45</v>
      </c>
      <c r="E117" s="13" t="s">
        <v>37</v>
      </c>
      <c r="F117" s="13" t="s">
        <v>176</v>
      </c>
      <c r="G117" s="13" t="s">
        <v>177</v>
      </c>
      <c r="H117" s="2"/>
      <c r="I117" s="2"/>
      <c r="J117" s="2"/>
      <c r="K117" s="2"/>
      <c r="L117" s="2"/>
      <c r="M117" s="2"/>
      <c r="N117" s="2"/>
      <c r="O117" s="2"/>
      <c r="P117" s="2"/>
      <c r="Q117" s="2"/>
      <c r="R117" s="2"/>
      <c r="S117" s="2"/>
      <c r="T117" s="2"/>
      <c r="U117" s="2"/>
      <c r="V117" s="2"/>
      <c r="W117" s="2"/>
      <c r="X117" s="2"/>
      <c r="Y117" s="2"/>
      <c r="Z117" s="2"/>
    </row>
    <row r="118" customHeight="1" spans="1:26">
      <c r="A118" s="169" t="s">
        <v>520</v>
      </c>
      <c r="B118" s="13" t="s">
        <v>170</v>
      </c>
      <c r="C118" s="13" t="s">
        <v>515</v>
      </c>
      <c r="D118" s="14">
        <v>50</v>
      </c>
      <c r="E118" s="13" t="s">
        <v>37</v>
      </c>
      <c r="F118" s="13" t="s">
        <v>172</v>
      </c>
      <c r="G118" s="13" t="s">
        <v>521</v>
      </c>
      <c r="H118" s="2"/>
      <c r="I118" s="2"/>
      <c r="J118" s="2"/>
      <c r="K118" s="2"/>
      <c r="L118" s="2"/>
      <c r="M118" s="2"/>
      <c r="N118" s="2"/>
      <c r="O118" s="2"/>
      <c r="P118" s="2"/>
      <c r="Q118" s="2"/>
      <c r="R118" s="2"/>
      <c r="S118" s="2"/>
      <c r="T118" s="2"/>
      <c r="U118" s="2"/>
      <c r="V118" s="2"/>
      <c r="W118" s="2"/>
      <c r="X118" s="2"/>
      <c r="Y118" s="2"/>
      <c r="Z118" s="2"/>
    </row>
    <row r="119" customHeight="1" spans="1:26">
      <c r="A119" s="77" t="s">
        <v>522</v>
      </c>
      <c r="B119" s="13" t="s">
        <v>523</v>
      </c>
      <c r="C119" s="13" t="s">
        <v>524</v>
      </c>
      <c r="D119" s="65">
        <v>90</v>
      </c>
      <c r="E119" s="13" t="s">
        <v>21</v>
      </c>
      <c r="F119" s="13" t="s">
        <v>525</v>
      </c>
      <c r="G119" s="101" t="s">
        <v>526</v>
      </c>
      <c r="H119" s="2"/>
      <c r="I119" s="2"/>
      <c r="J119" s="2"/>
      <c r="K119" s="2"/>
      <c r="L119" s="2"/>
      <c r="M119" s="2"/>
      <c r="N119" s="2"/>
      <c r="O119" s="2"/>
      <c r="P119" s="2"/>
      <c r="Q119" s="2"/>
      <c r="R119" s="2"/>
      <c r="S119" s="2"/>
      <c r="T119" s="2"/>
      <c r="U119" s="2"/>
      <c r="V119" s="2"/>
      <c r="W119" s="2"/>
      <c r="X119" s="2"/>
      <c r="Y119" s="2"/>
      <c r="Z119" s="2"/>
    </row>
    <row r="120" customHeight="1" spans="1:26">
      <c r="A120" s="169" t="s">
        <v>527</v>
      </c>
      <c r="B120" s="13" t="s">
        <v>528</v>
      </c>
      <c r="C120" s="13" t="s">
        <v>529</v>
      </c>
      <c r="D120" s="57"/>
      <c r="E120" s="57"/>
      <c r="F120" s="13" t="s">
        <v>530</v>
      </c>
      <c r="G120" s="13" t="s">
        <v>531</v>
      </c>
      <c r="H120" s="2"/>
      <c r="I120" s="2"/>
      <c r="J120" s="2"/>
      <c r="K120" s="2"/>
      <c r="L120" s="2"/>
      <c r="M120" s="2"/>
      <c r="N120" s="2"/>
      <c r="O120" s="2"/>
      <c r="P120" s="2"/>
      <c r="Q120" s="2"/>
      <c r="R120" s="2"/>
      <c r="S120" s="2"/>
      <c r="T120" s="2"/>
      <c r="U120" s="2"/>
      <c r="V120" s="2"/>
      <c r="W120" s="2"/>
      <c r="X120" s="2"/>
      <c r="Y120" s="2"/>
      <c r="Z120" s="2"/>
    </row>
    <row r="121" customHeight="1" spans="1:26">
      <c r="A121" s="169" t="s">
        <v>532</v>
      </c>
      <c r="B121" s="13" t="s">
        <v>533</v>
      </c>
      <c r="C121" s="13" t="s">
        <v>534</v>
      </c>
      <c r="D121" s="65"/>
      <c r="E121" s="65"/>
      <c r="F121" s="13" t="s">
        <v>535</v>
      </c>
      <c r="G121" s="13" t="s">
        <v>536</v>
      </c>
      <c r="H121" s="2"/>
      <c r="I121" s="2"/>
      <c r="J121" s="2"/>
      <c r="K121" s="2"/>
      <c r="L121" s="2"/>
      <c r="M121" s="2"/>
      <c r="N121" s="2"/>
      <c r="O121" s="2"/>
      <c r="P121" s="2"/>
      <c r="Q121" s="2"/>
      <c r="R121" s="2"/>
      <c r="S121" s="2"/>
      <c r="T121" s="2"/>
      <c r="U121" s="2"/>
      <c r="V121" s="2"/>
      <c r="W121" s="2"/>
      <c r="X121" s="2"/>
      <c r="Y121" s="2"/>
      <c r="Z121" s="2"/>
    </row>
    <row r="122" customHeight="1" spans="1:26">
      <c r="A122" s="77" t="s">
        <v>537</v>
      </c>
      <c r="B122" s="13" t="s">
        <v>538</v>
      </c>
      <c r="C122" s="13" t="s">
        <v>539</v>
      </c>
      <c r="D122" s="65"/>
      <c r="E122" s="65"/>
      <c r="F122" s="13" t="s">
        <v>540</v>
      </c>
      <c r="G122" s="13" t="s">
        <v>541</v>
      </c>
      <c r="H122" s="2"/>
      <c r="I122" s="2"/>
      <c r="J122" s="2"/>
      <c r="K122" s="2"/>
      <c r="L122" s="2"/>
      <c r="M122" s="2"/>
      <c r="N122" s="2"/>
      <c r="O122" s="2"/>
      <c r="P122" s="2"/>
      <c r="Q122" s="2"/>
      <c r="R122" s="2"/>
      <c r="S122" s="2"/>
      <c r="T122" s="2"/>
      <c r="U122" s="2"/>
      <c r="V122" s="2"/>
      <c r="W122" s="2"/>
      <c r="X122" s="2"/>
      <c r="Y122" s="2"/>
      <c r="Z122" s="2"/>
    </row>
    <row r="123" customHeight="1" spans="1:26">
      <c r="A123" s="77" t="s">
        <v>542</v>
      </c>
      <c r="B123" s="13" t="s">
        <v>543</v>
      </c>
      <c r="C123" s="13" t="s">
        <v>539</v>
      </c>
      <c r="D123" s="65">
        <v>50</v>
      </c>
      <c r="E123" s="13" t="s">
        <v>37</v>
      </c>
      <c r="F123" s="13" t="s">
        <v>544</v>
      </c>
      <c r="G123" s="13" t="s">
        <v>545</v>
      </c>
      <c r="H123" s="2"/>
      <c r="I123" s="2"/>
      <c r="J123" s="2"/>
      <c r="K123" s="2"/>
      <c r="L123" s="2"/>
      <c r="M123" s="2"/>
      <c r="N123" s="2"/>
      <c r="O123" s="2"/>
      <c r="P123" s="2"/>
      <c r="Q123" s="2"/>
      <c r="R123" s="2"/>
      <c r="S123" s="2"/>
      <c r="T123" s="2"/>
      <c r="U123" s="2"/>
      <c r="V123" s="2"/>
      <c r="W123" s="2"/>
      <c r="X123" s="2"/>
      <c r="Y123" s="2"/>
      <c r="Z123" s="2"/>
    </row>
    <row r="124" customHeight="1" spans="1:26">
      <c r="A124" s="169" t="s">
        <v>546</v>
      </c>
      <c r="B124" s="13" t="s">
        <v>547</v>
      </c>
      <c r="C124" s="13" t="s">
        <v>548</v>
      </c>
      <c r="D124" s="14">
        <v>100</v>
      </c>
      <c r="E124" s="13" t="s">
        <v>37</v>
      </c>
      <c r="F124" s="13" t="s">
        <v>549</v>
      </c>
      <c r="G124" s="13" t="s">
        <v>550</v>
      </c>
      <c r="H124" s="2"/>
      <c r="I124" s="2"/>
      <c r="J124" s="2"/>
      <c r="K124" s="2"/>
      <c r="L124" s="2"/>
      <c r="M124" s="2"/>
      <c r="N124" s="2"/>
      <c r="O124" s="2"/>
      <c r="P124" s="2"/>
      <c r="Q124" s="2"/>
      <c r="R124" s="2"/>
      <c r="S124" s="2"/>
      <c r="T124" s="2"/>
      <c r="U124" s="2"/>
      <c r="V124" s="2"/>
      <c r="W124" s="2"/>
      <c r="X124" s="2"/>
      <c r="Y124" s="2"/>
      <c r="Z124" s="2"/>
    </row>
    <row r="125" customHeight="1" spans="1:26">
      <c r="A125" s="77" t="s">
        <v>551</v>
      </c>
      <c r="B125" s="13" t="s">
        <v>552</v>
      </c>
      <c r="C125" s="13" t="s">
        <v>553</v>
      </c>
      <c r="D125" s="65">
        <v>30</v>
      </c>
      <c r="E125" s="13" t="s">
        <v>37</v>
      </c>
      <c r="F125" s="13" t="s">
        <v>554</v>
      </c>
      <c r="G125" s="13" t="s">
        <v>555</v>
      </c>
      <c r="H125" s="2"/>
      <c r="I125" s="2"/>
      <c r="J125" s="2"/>
      <c r="K125" s="2"/>
      <c r="L125" s="2"/>
      <c r="M125" s="2"/>
      <c r="N125" s="2"/>
      <c r="O125" s="2"/>
      <c r="P125" s="2"/>
      <c r="Q125" s="2"/>
      <c r="R125" s="2"/>
      <c r="S125" s="2"/>
      <c r="T125" s="2"/>
      <c r="U125" s="2"/>
      <c r="V125" s="2"/>
      <c r="W125" s="2"/>
      <c r="X125" s="2"/>
      <c r="Y125" s="2"/>
      <c r="Z125" s="2"/>
    </row>
    <row r="126" customHeight="1" spans="1:26">
      <c r="A126" s="169" t="s">
        <v>556</v>
      </c>
      <c r="B126" s="13" t="s">
        <v>552</v>
      </c>
      <c r="C126" s="13" t="s">
        <v>557</v>
      </c>
      <c r="D126" s="65"/>
      <c r="E126" s="65"/>
      <c r="F126" s="13" t="s">
        <v>554</v>
      </c>
      <c r="G126" s="13" t="s">
        <v>555</v>
      </c>
      <c r="H126" s="2"/>
      <c r="I126" s="2"/>
      <c r="J126" s="2"/>
      <c r="K126" s="2"/>
      <c r="L126" s="2"/>
      <c r="M126" s="2"/>
      <c r="N126" s="2"/>
      <c r="O126" s="2"/>
      <c r="P126" s="2"/>
      <c r="Q126" s="2"/>
      <c r="R126" s="2"/>
      <c r="S126" s="2"/>
      <c r="T126" s="2"/>
      <c r="U126" s="2"/>
      <c r="V126" s="2"/>
      <c r="W126" s="2"/>
      <c r="X126" s="2"/>
      <c r="Y126" s="2"/>
      <c r="Z126" s="2"/>
    </row>
    <row r="127" customHeight="1" spans="1:26">
      <c r="A127" s="169" t="s">
        <v>558</v>
      </c>
      <c r="B127" s="13" t="s">
        <v>559</v>
      </c>
      <c r="C127" s="13" t="s">
        <v>560</v>
      </c>
      <c r="D127" s="14">
        <v>40</v>
      </c>
      <c r="E127" s="13" t="s">
        <v>37</v>
      </c>
      <c r="F127" s="13" t="s">
        <v>561</v>
      </c>
      <c r="G127" s="13" t="s">
        <v>562</v>
      </c>
      <c r="H127" s="2"/>
      <c r="I127" s="2"/>
      <c r="J127" s="2"/>
      <c r="K127" s="2"/>
      <c r="L127" s="2"/>
      <c r="M127" s="2"/>
      <c r="N127" s="2"/>
      <c r="O127" s="2"/>
      <c r="P127" s="2"/>
      <c r="Q127" s="2"/>
      <c r="R127" s="2"/>
      <c r="S127" s="2"/>
      <c r="T127" s="2"/>
      <c r="U127" s="2"/>
      <c r="V127" s="2"/>
      <c r="W127" s="2"/>
      <c r="X127" s="2"/>
      <c r="Y127" s="2"/>
      <c r="Z127" s="2"/>
    </row>
    <row r="128" customHeight="1" spans="1:26">
      <c r="A128" s="169" t="s">
        <v>563</v>
      </c>
      <c r="B128" s="13" t="s">
        <v>564</v>
      </c>
      <c r="C128" s="13" t="s">
        <v>565</v>
      </c>
      <c r="D128" s="14">
        <v>80</v>
      </c>
      <c r="E128" s="13" t="s">
        <v>37</v>
      </c>
      <c r="F128" s="13" t="s">
        <v>566</v>
      </c>
      <c r="G128" s="13" t="s">
        <v>567</v>
      </c>
      <c r="H128" s="2"/>
      <c r="I128" s="2"/>
      <c r="J128" s="2"/>
      <c r="K128" s="2"/>
      <c r="L128" s="2"/>
      <c r="M128" s="2"/>
      <c r="N128" s="2"/>
      <c r="O128" s="2"/>
      <c r="P128" s="2"/>
      <c r="Q128" s="2"/>
      <c r="R128" s="2"/>
      <c r="S128" s="2"/>
      <c r="T128" s="2"/>
      <c r="U128" s="2"/>
      <c r="V128" s="2"/>
      <c r="W128" s="2"/>
      <c r="X128" s="2"/>
      <c r="Y128" s="2"/>
      <c r="Z128" s="2"/>
    </row>
    <row r="129" ht="13.5" customHeight="1" spans="1:26">
      <c r="A129" s="78" t="s">
        <v>568</v>
      </c>
      <c r="B129" s="10" t="s">
        <v>569</v>
      </c>
      <c r="C129" s="10" t="s">
        <v>570</v>
      </c>
      <c r="D129" s="2"/>
      <c r="E129" s="2"/>
      <c r="F129" s="2" t="s">
        <v>571</v>
      </c>
      <c r="G129" s="128" t="str">
        <f>HYPERLINK("https://www.unicreditbank.eu/","https://www.unicreditbank.eu/")</f>
        <v>https://www.unicreditbank.eu/</v>
      </c>
      <c r="H129" s="2"/>
      <c r="I129" s="2"/>
      <c r="J129" s="2"/>
      <c r="K129" s="2"/>
      <c r="L129" s="2"/>
      <c r="M129" s="2"/>
      <c r="N129" s="2"/>
      <c r="O129" s="2"/>
      <c r="P129" s="2"/>
      <c r="Q129" s="2"/>
      <c r="R129" s="2"/>
      <c r="S129" s="2"/>
      <c r="T129" s="2"/>
      <c r="U129" s="2"/>
      <c r="V129" s="2"/>
      <c r="W129" s="2"/>
      <c r="X129" s="2"/>
      <c r="Y129" s="2"/>
      <c r="Z129" s="2"/>
    </row>
    <row r="130" ht="13.5" customHeight="1" spans="1:26">
      <c r="A130" t="s">
        <v>572</v>
      </c>
      <c r="B130" s="2" t="s">
        <v>573</v>
      </c>
      <c r="C130" s="2" t="s">
        <v>570</v>
      </c>
      <c r="D130" s="2"/>
      <c r="E130" s="2"/>
      <c r="F130" s="2" t="s">
        <v>574</v>
      </c>
      <c r="G130" s="2" t="s">
        <v>575</v>
      </c>
      <c r="H130" s="2"/>
      <c r="I130" s="2"/>
      <c r="J130" s="2"/>
      <c r="K130" s="2"/>
      <c r="L130" s="2"/>
      <c r="M130" s="2"/>
      <c r="N130" s="2"/>
      <c r="O130" s="2"/>
      <c r="P130" s="2"/>
      <c r="Q130" s="2"/>
      <c r="R130" s="2"/>
      <c r="S130" s="2"/>
      <c r="T130" s="2"/>
      <c r="U130" s="2"/>
      <c r="V130" s="2"/>
      <c r="W130" s="2"/>
      <c r="X130" s="2"/>
      <c r="Y130" s="2"/>
      <c r="Z130" s="2"/>
    </row>
    <row r="131" ht="13.5" customHeight="1" spans="1:26">
      <c r="A131" t="s">
        <v>576</v>
      </c>
      <c r="B131" s="2" t="s">
        <v>577</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t="s">
        <v>579</v>
      </c>
      <c r="B132" s="2" t="s">
        <v>580</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t="s">
        <v>581</v>
      </c>
      <c r="B133" s="2" t="s">
        <v>582</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t="s">
        <v>583</v>
      </c>
      <c r="B134" s="2" t="s">
        <v>584</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t="s">
        <v>585</v>
      </c>
      <c r="B135" s="2" t="s">
        <v>586</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t="s">
        <v>587</v>
      </c>
      <c r="B136" s="2" t="s">
        <v>588</v>
      </c>
      <c r="C136" s="11" t="s">
        <v>578</v>
      </c>
      <c r="D136" s="2"/>
      <c r="E136" s="2"/>
      <c r="F136" s="2" t="s">
        <v>589</v>
      </c>
      <c r="G136" s="2" t="s">
        <v>590</v>
      </c>
      <c r="H136" s="2"/>
      <c r="I136" s="2"/>
      <c r="J136" s="2"/>
      <c r="K136" s="2"/>
      <c r="L136" s="2"/>
      <c r="M136" s="2"/>
      <c r="N136" s="2"/>
      <c r="O136" s="2"/>
      <c r="P136" s="2"/>
      <c r="Q136" s="2"/>
      <c r="R136" s="2"/>
      <c r="S136" s="2"/>
      <c r="T136" s="2"/>
      <c r="U136" s="2"/>
      <c r="V136" s="2"/>
      <c r="W136" s="2"/>
      <c r="X136" s="2"/>
      <c r="Y136" s="2"/>
      <c r="Z136" s="2"/>
    </row>
    <row r="137" ht="13.5" customHeight="1" spans="1:26">
      <c r="A137" t="s">
        <v>591</v>
      </c>
      <c r="B137" s="2" t="s">
        <v>592</v>
      </c>
      <c r="C137" s="11" t="s">
        <v>578</v>
      </c>
      <c r="D137" s="2"/>
      <c r="E137" s="2"/>
      <c r="F137" s="2" t="s">
        <v>593</v>
      </c>
      <c r="G137" s="2" t="s">
        <v>594</v>
      </c>
      <c r="H137" s="2"/>
      <c r="I137" s="2"/>
      <c r="J137" s="2"/>
      <c r="K137" s="2"/>
      <c r="L137" s="2"/>
      <c r="M137" s="2"/>
      <c r="N137" s="2"/>
      <c r="O137" s="2"/>
      <c r="P137" s="2"/>
      <c r="Q137" s="2"/>
      <c r="R137" s="2"/>
      <c r="S137" s="2"/>
      <c r="T137" s="2"/>
      <c r="U137" s="2"/>
      <c r="V137" s="2"/>
      <c r="W137" s="2"/>
      <c r="X137" s="2"/>
      <c r="Y137" s="2"/>
      <c r="Z137" s="2"/>
    </row>
    <row r="138" ht="13.5" customHeight="1" spans="1:26">
      <c r="A138" t="s">
        <v>595</v>
      </c>
      <c r="B138" s="2" t="s">
        <v>596</v>
      </c>
      <c r="C138" s="11" t="s">
        <v>578</v>
      </c>
      <c r="D138" s="2"/>
      <c r="E138" s="2"/>
      <c r="F138" s="2" t="s">
        <v>597</v>
      </c>
      <c r="G138" s="2" t="s">
        <v>598</v>
      </c>
      <c r="H138" s="2"/>
      <c r="I138" s="2"/>
      <c r="J138" s="2"/>
      <c r="K138" s="2"/>
      <c r="L138" s="2"/>
      <c r="M138" s="2"/>
      <c r="N138" s="2"/>
      <c r="O138" s="2"/>
      <c r="P138" s="2"/>
      <c r="Q138" s="2"/>
      <c r="R138" s="2"/>
      <c r="S138" s="2"/>
      <c r="T138" s="2"/>
      <c r="U138" s="2"/>
      <c r="V138" s="2"/>
      <c r="W138" s="2"/>
      <c r="X138" s="2"/>
      <c r="Y138" s="2"/>
      <c r="Z138" s="2"/>
    </row>
    <row r="139" ht="13.5" customHeight="1" spans="1:26">
      <c r="A139" t="s">
        <v>599</v>
      </c>
      <c r="B139" s="2" t="s">
        <v>600</v>
      </c>
      <c r="C139" s="11" t="s">
        <v>578</v>
      </c>
      <c r="D139" s="2"/>
      <c r="E139" s="2"/>
      <c r="F139" s="2" t="s">
        <v>601</v>
      </c>
      <c r="G139" s="2" t="s">
        <v>602</v>
      </c>
      <c r="H139" s="2"/>
      <c r="I139" s="2"/>
      <c r="J139" s="2"/>
      <c r="K139" s="2"/>
      <c r="L139" s="2"/>
      <c r="M139" s="2"/>
      <c r="N139" s="2"/>
      <c r="O139" s="2"/>
      <c r="P139" s="2"/>
      <c r="Q139" s="2"/>
      <c r="R139" s="2"/>
      <c r="S139" s="2"/>
      <c r="T139" s="2"/>
      <c r="U139" s="2"/>
      <c r="V139" s="2"/>
      <c r="W139" s="2"/>
      <c r="X139" s="2"/>
      <c r="Y139" s="2"/>
      <c r="Z139" s="2"/>
    </row>
    <row r="140" ht="13.5" customHeight="1" spans="1:26">
      <c r="A140" t="s">
        <v>603</v>
      </c>
      <c r="B140" s="2" t="s">
        <v>604</v>
      </c>
      <c r="C140" s="11" t="s">
        <v>578</v>
      </c>
      <c r="D140" s="2"/>
      <c r="E140" s="2"/>
      <c r="F140" s="2" t="s">
        <v>605</v>
      </c>
      <c r="G140" s="2" t="s">
        <v>606</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608</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611</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21" t="s">
        <v>614</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t="s">
        <v>616</v>
      </c>
      <c r="B144" s="2" t="s">
        <v>617</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620</v>
      </c>
      <c r="C145" s="11" t="s">
        <v>612</v>
      </c>
      <c r="D145" s="2"/>
      <c r="E145" s="2"/>
      <c r="F145" s="2" t="s">
        <v>621</v>
      </c>
      <c r="G145" s="2" t="s">
        <v>622</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624</v>
      </c>
      <c r="C146" s="11" t="s">
        <v>612</v>
      </c>
      <c r="D146" s="2"/>
      <c r="E146" s="2"/>
      <c r="F146" s="2" t="s">
        <v>625</v>
      </c>
      <c r="G146" s="2" t="s">
        <v>626</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628</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630</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632</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634</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636</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638</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640</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642</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t="s">
        <v>643</v>
      </c>
      <c r="B155" s="2" t="s">
        <v>608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608</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5" t="s">
        <v>646</v>
      </c>
      <c r="B157" s="13" t="s">
        <v>647</v>
      </c>
      <c r="C157" s="13" t="s">
        <v>648</v>
      </c>
      <c r="D157" s="14">
        <v>120</v>
      </c>
      <c r="E157" s="13" t="s">
        <v>37</v>
      </c>
      <c r="F157" s="13" t="s">
        <v>649</v>
      </c>
      <c r="G157" s="13" t="s">
        <v>650</v>
      </c>
      <c r="H157" s="2"/>
      <c r="I157" s="2"/>
      <c r="J157" s="2"/>
      <c r="K157" s="2"/>
      <c r="L157" s="2"/>
      <c r="M157" s="2"/>
      <c r="N157" s="2"/>
      <c r="O157" s="2"/>
      <c r="P157" s="2"/>
      <c r="Q157" s="2"/>
      <c r="R157" s="2"/>
      <c r="S157" s="2"/>
      <c r="T157" s="2"/>
      <c r="U157" s="2"/>
      <c r="V157" s="2"/>
      <c r="W157" s="2"/>
      <c r="X157" s="2"/>
      <c r="Y157" s="2"/>
      <c r="Z157" s="2"/>
    </row>
    <row r="158" ht="13.5" customHeight="1" spans="1:26">
      <c r="A158" t="s">
        <v>651</v>
      </c>
      <c r="B158" s="2" t="s">
        <v>652</v>
      </c>
      <c r="C158" s="11" t="s">
        <v>653</v>
      </c>
      <c r="D158" s="2"/>
      <c r="E158" s="2"/>
      <c r="F158" s="2" t="s">
        <v>654</v>
      </c>
      <c r="G158" s="2" t="s">
        <v>655</v>
      </c>
      <c r="H158" s="2"/>
      <c r="I158" s="2"/>
      <c r="J158" s="2"/>
      <c r="K158" s="2"/>
      <c r="L158" s="2"/>
      <c r="M158" s="2"/>
      <c r="N158" s="2"/>
      <c r="O158" s="2"/>
      <c r="P158" s="2"/>
      <c r="Q158" s="2"/>
      <c r="R158" s="2"/>
      <c r="S158" s="2"/>
      <c r="T158" s="2"/>
      <c r="U158" s="2"/>
      <c r="V158" s="2"/>
      <c r="W158" s="2"/>
      <c r="X158" s="2"/>
      <c r="Y158" s="2"/>
      <c r="Z158" s="2"/>
    </row>
    <row r="159" customHeight="1" spans="1:26">
      <c r="A159" s="37" t="s">
        <v>656</v>
      </c>
      <c r="B159" s="2" t="s">
        <v>657</v>
      </c>
      <c r="C159" s="37" t="s">
        <v>658</v>
      </c>
      <c r="D159" s="38"/>
      <c r="E159" s="39"/>
      <c r="F159" s="9" t="s">
        <v>659</v>
      </c>
      <c r="G159" s="11" t="s">
        <v>660</v>
      </c>
      <c r="H159" s="2"/>
      <c r="I159" s="2"/>
      <c r="J159" s="2"/>
      <c r="K159" s="2"/>
      <c r="L159" s="2"/>
      <c r="M159" s="2"/>
      <c r="N159" s="2"/>
      <c r="O159" s="2"/>
      <c r="P159" s="2"/>
      <c r="Q159" s="2"/>
      <c r="R159" s="2"/>
      <c r="S159" s="2"/>
      <c r="T159" s="2"/>
      <c r="U159" s="2"/>
      <c r="V159" s="2"/>
      <c r="W159" s="2"/>
      <c r="X159" s="2"/>
      <c r="Y159" s="2"/>
      <c r="Z159" s="2"/>
    </row>
    <row r="160" customHeight="1" spans="1:26">
      <c r="A160" s="2" t="s">
        <v>661</v>
      </c>
      <c r="B160" s="2" t="s">
        <v>662</v>
      </c>
      <c r="C160" s="2" t="s">
        <v>658</v>
      </c>
      <c r="D160" s="39"/>
      <c r="E160" s="39"/>
      <c r="F160" s="9" t="str">
        <f>HYPERLINK("https://seeklogo.com/images/M/mastercard-logo-473B8726A9-seeklogo.com.png","https://seeklogo.com/images/M/mastercard-logo-473B8726A9-seeklogo.com.png")</f>
        <v>https://seeklogo.com/images/M/mastercard-logo-473B8726A9-seeklogo.com.png</v>
      </c>
      <c r="G160" s="11" t="s">
        <v>663</v>
      </c>
      <c r="H160" s="2"/>
      <c r="I160" s="2"/>
      <c r="J160" s="2"/>
      <c r="K160" s="2"/>
      <c r="L160" s="2"/>
      <c r="M160" s="2"/>
      <c r="N160" s="2"/>
      <c r="O160" s="2"/>
      <c r="P160" s="2"/>
      <c r="Q160" s="2"/>
      <c r="R160" s="2"/>
      <c r="S160" s="2"/>
      <c r="T160" s="2"/>
      <c r="U160" s="2"/>
      <c r="V160" s="2"/>
      <c r="W160" s="2"/>
      <c r="X160" s="2"/>
      <c r="Y160" s="2"/>
      <c r="Z160" s="2"/>
    </row>
    <row r="161" customFormat="1" customHeight="1" spans="2:26">
      <c r="B161" s="11"/>
      <c r="C161" s="11"/>
      <c r="D161" s="20"/>
      <c r="E161" s="11"/>
      <c r="F161" s="11"/>
      <c r="G161" s="11"/>
      <c r="H161" s="2"/>
      <c r="I161" s="2"/>
      <c r="J161" s="2"/>
      <c r="K161" s="2"/>
      <c r="L161" s="2"/>
      <c r="M161" s="2"/>
      <c r="N161" s="2"/>
      <c r="O161" s="2"/>
      <c r="P161" s="2"/>
      <c r="Q161" s="2"/>
      <c r="R161" s="2"/>
      <c r="S161" s="2"/>
      <c r="T161" s="2"/>
      <c r="U161" s="2"/>
      <c r="V161" s="2"/>
      <c r="W161" s="2"/>
      <c r="X161" s="2"/>
      <c r="Y161" s="2"/>
      <c r="Z161" s="2"/>
    </row>
    <row r="162" customFormat="1" customHeight="1" spans="2:26">
      <c r="B162" s="11"/>
      <c r="C162" s="11"/>
      <c r="D162" s="20"/>
      <c r="E162" s="11"/>
      <c r="F162" s="11"/>
      <c r="G162" s="11"/>
      <c r="H162" s="2"/>
      <c r="I162" s="2"/>
      <c r="J162" s="2"/>
      <c r="K162" s="2"/>
      <c r="L162" s="2"/>
      <c r="M162" s="2"/>
      <c r="N162" s="2"/>
      <c r="O162" s="2"/>
      <c r="P162" s="2"/>
      <c r="Q162" s="2"/>
      <c r="R162" s="2"/>
      <c r="S162" s="2"/>
      <c r="T162" s="2"/>
      <c r="U162" s="2"/>
      <c r="V162" s="2"/>
      <c r="W162" s="2"/>
      <c r="X162" s="2"/>
      <c r="Y162" s="2"/>
      <c r="Z162" s="2"/>
    </row>
    <row r="163" customHeight="1" spans="1:26">
      <c r="A163" s="52" t="s">
        <v>664</v>
      </c>
      <c r="B163" s="52" t="s">
        <v>665</v>
      </c>
      <c r="C163" s="52" t="s">
        <v>46</v>
      </c>
      <c r="D163" s="184"/>
      <c r="E163" s="184"/>
      <c r="F163" s="52" t="s">
        <v>666</v>
      </c>
      <c r="G163" s="52" t="s">
        <v>667</v>
      </c>
      <c r="H163" s="2"/>
      <c r="I163" s="2"/>
      <c r="J163" s="2"/>
      <c r="K163" s="2"/>
      <c r="L163" s="2"/>
      <c r="M163" s="2"/>
      <c r="N163" s="2"/>
      <c r="O163" s="2"/>
      <c r="P163" s="2"/>
      <c r="Q163" s="2"/>
      <c r="R163" s="2"/>
      <c r="S163" s="2"/>
      <c r="T163" s="2"/>
      <c r="U163" s="2"/>
      <c r="V163" s="2"/>
      <c r="W163" s="2"/>
      <c r="X163" s="2"/>
      <c r="Y163" s="2"/>
      <c r="Z163" s="2"/>
    </row>
    <row r="164" ht="27" customHeight="1" spans="1:26">
      <c r="A164" s="52" t="s">
        <v>668</v>
      </c>
      <c r="B164" s="197" t="s">
        <v>669</v>
      </c>
      <c r="C164" s="52" t="s">
        <v>670</v>
      </c>
      <c r="D164" s="184">
        <v>80</v>
      </c>
      <c r="E164" s="52" t="s">
        <v>671</v>
      </c>
      <c r="F164" s="52" t="s">
        <v>672</v>
      </c>
      <c r="G164" s="54" t="str">
        <f>HYPERLINK("http://www.nicolas.com/fr/","www.nicolas.com/fr/")</f>
        <v>www.nicolas.com/fr/</v>
      </c>
      <c r="H164" s="2"/>
      <c r="I164" s="2"/>
      <c r="J164" s="2"/>
      <c r="K164" s="2"/>
      <c r="L164" s="2"/>
      <c r="M164" s="2"/>
      <c r="N164" s="2"/>
      <c r="O164" s="2"/>
      <c r="P164" s="2"/>
      <c r="Q164" s="2"/>
      <c r="R164" s="2"/>
      <c r="S164" s="2"/>
      <c r="T164" s="2"/>
      <c r="U164" s="2"/>
      <c r="V164" s="2"/>
      <c r="W164" s="2"/>
      <c r="X164" s="2"/>
      <c r="Y164" s="2"/>
      <c r="Z164" s="2"/>
    </row>
    <row r="165" customHeight="1" spans="1:26">
      <c r="A165" s="52" t="s">
        <v>668</v>
      </c>
      <c r="B165" s="52" t="s">
        <v>673</v>
      </c>
      <c r="C165" s="52" t="s">
        <v>674</v>
      </c>
      <c r="D165" s="184">
        <v>50</v>
      </c>
      <c r="E165" s="52" t="s">
        <v>671</v>
      </c>
      <c r="F165" s="52" t="s">
        <v>675</v>
      </c>
      <c r="G165" s="54" t="str">
        <f>HYPERLINK("http://www.lafoirfouille.fr/","www.lafoirfouille.fr/")</f>
        <v>www.lafoirfouille.fr/</v>
      </c>
      <c r="H165" s="2"/>
      <c r="I165" s="2"/>
      <c r="J165" s="2"/>
      <c r="K165" s="2"/>
      <c r="L165" s="2"/>
      <c r="M165" s="2"/>
      <c r="N165" s="2"/>
      <c r="O165" s="2"/>
      <c r="P165" s="2"/>
      <c r="Q165" s="2"/>
      <c r="R165" s="2"/>
      <c r="S165" s="2"/>
      <c r="T165" s="2"/>
      <c r="U165" s="2"/>
      <c r="V165" s="2"/>
      <c r="W165" s="2"/>
      <c r="X165" s="2"/>
      <c r="Y165" s="2"/>
      <c r="Z165" s="2"/>
    </row>
    <row r="166" customHeight="1" spans="1:26">
      <c r="A166" s="52" t="s">
        <v>668</v>
      </c>
      <c r="B166" s="52" t="s">
        <v>676</v>
      </c>
      <c r="C166" s="52" t="s">
        <v>677</v>
      </c>
      <c r="D166" s="184">
        <v>160</v>
      </c>
      <c r="E166" s="52" t="s">
        <v>97</v>
      </c>
      <c r="F166" s="52" t="s">
        <v>678</v>
      </c>
      <c r="G166" s="54" t="str">
        <f>HYPERLINK("http://www.carrefour.fr/","www.carrefour.fr/")</f>
        <v>www.carrefour.fr/</v>
      </c>
      <c r="H166" s="2"/>
      <c r="I166" s="2"/>
      <c r="J166" s="2"/>
      <c r="K166" s="2"/>
      <c r="L166" s="2"/>
      <c r="M166" s="2"/>
      <c r="N166" s="2"/>
      <c r="O166" s="2"/>
      <c r="P166" s="2"/>
      <c r="Q166" s="2"/>
      <c r="R166" s="2"/>
      <c r="S166" s="2"/>
      <c r="T166" s="2"/>
      <c r="U166" s="2"/>
      <c r="V166" s="2"/>
      <c r="W166" s="2"/>
      <c r="X166" s="2"/>
      <c r="Y166" s="2"/>
      <c r="Z166" s="2"/>
    </row>
    <row r="167" customHeight="1" spans="1:26">
      <c r="A167" s="52" t="s">
        <v>668</v>
      </c>
      <c r="B167" s="52" t="s">
        <v>679</v>
      </c>
      <c r="C167" s="52" t="s">
        <v>680</v>
      </c>
      <c r="D167" s="184">
        <v>150</v>
      </c>
      <c r="E167" s="52" t="s">
        <v>97</v>
      </c>
      <c r="F167" s="52" t="s">
        <v>681</v>
      </c>
      <c r="G167" s="54" t="str">
        <f>HYPERLINK("http://www.auchan.fr/","www.auchan.fr/")</f>
        <v>www.auchan.fr/</v>
      </c>
      <c r="H167" s="2"/>
      <c r="I167" s="2"/>
      <c r="J167" s="2"/>
      <c r="K167" s="2"/>
      <c r="L167" s="2"/>
      <c r="M167" s="2"/>
      <c r="N167" s="2"/>
      <c r="O167" s="2"/>
      <c r="P167" s="2"/>
      <c r="Q167" s="2"/>
      <c r="R167" s="2"/>
      <c r="S167" s="2"/>
      <c r="T167" s="2"/>
      <c r="U167" s="2"/>
      <c r="V167" s="2"/>
      <c r="W167" s="2"/>
      <c r="X167" s="2"/>
      <c r="Y167" s="2"/>
      <c r="Z167" s="2"/>
    </row>
    <row r="168" customHeight="1" spans="1:26">
      <c r="A168" s="52" t="s">
        <v>668</v>
      </c>
      <c r="B168" s="52" t="s">
        <v>682</v>
      </c>
      <c r="C168" s="52" t="s">
        <v>683</v>
      </c>
      <c r="D168" s="184">
        <v>200</v>
      </c>
      <c r="E168" s="52" t="s">
        <v>684</v>
      </c>
      <c r="F168" s="52" t="s">
        <v>685</v>
      </c>
      <c r="G168" s="54" t="str">
        <f>HYPERLINK("http://www.ikea.com/","www.ikea.com/")</f>
        <v>www.ikea.com/</v>
      </c>
      <c r="H168" s="2"/>
      <c r="I168" s="2"/>
      <c r="J168" s="2"/>
      <c r="K168" s="2"/>
      <c r="L168" s="2"/>
      <c r="M168" s="2"/>
      <c r="N168" s="2"/>
      <c r="O168" s="2"/>
      <c r="P168" s="2"/>
      <c r="Q168" s="2"/>
      <c r="R168" s="2"/>
      <c r="S168" s="2"/>
      <c r="T168" s="2"/>
      <c r="U168" s="2"/>
      <c r="V168" s="2"/>
      <c r="W168" s="2"/>
      <c r="X168" s="2"/>
      <c r="Y168" s="2"/>
      <c r="Z168" s="2"/>
    </row>
    <row r="169" customHeight="1" spans="1:26">
      <c r="A169" s="52" t="s">
        <v>686</v>
      </c>
      <c r="B169" s="52" t="s">
        <v>687</v>
      </c>
      <c r="C169" s="52" t="s">
        <v>688</v>
      </c>
      <c r="D169" s="184">
        <v>100</v>
      </c>
      <c r="E169" s="52" t="s">
        <v>671</v>
      </c>
      <c r="F169" s="52" t="s">
        <v>689</v>
      </c>
      <c r="G169" s="54" t="str">
        <f>HYPERLINK("http://www.gdfsuez.com/","www.gdfsuez.com/")</f>
        <v>www.gdfsuez.com/</v>
      </c>
      <c r="H169" s="2"/>
      <c r="I169" s="2"/>
      <c r="J169" s="2"/>
      <c r="K169" s="2"/>
      <c r="L169" s="2"/>
      <c r="M169" s="2"/>
      <c r="N169" s="2"/>
      <c r="O169" s="2"/>
      <c r="P169" s="2"/>
      <c r="Q169" s="2"/>
      <c r="R169" s="2"/>
      <c r="S169" s="2"/>
      <c r="T169" s="2"/>
      <c r="U169" s="2"/>
      <c r="V169" s="2"/>
      <c r="W169" s="2"/>
      <c r="X169" s="2"/>
      <c r="Y169" s="2"/>
      <c r="Z169" s="2"/>
    </row>
    <row r="170" customHeight="1" spans="1:26">
      <c r="A170" s="52" t="s">
        <v>91</v>
      </c>
      <c r="B170" s="52" t="s">
        <v>690</v>
      </c>
      <c r="C170" s="52" t="s">
        <v>91</v>
      </c>
      <c r="D170" s="184"/>
      <c r="E170" s="184"/>
      <c r="F170" s="52" t="s">
        <v>691</v>
      </c>
      <c r="G170" s="52" t="s">
        <v>692</v>
      </c>
      <c r="H170" s="2"/>
      <c r="I170" s="2"/>
      <c r="J170" s="2"/>
      <c r="K170" s="2"/>
      <c r="L170" s="2"/>
      <c r="M170" s="2"/>
      <c r="N170" s="2"/>
      <c r="O170" s="2"/>
      <c r="P170" s="2"/>
      <c r="Q170" s="2"/>
      <c r="R170" s="2"/>
      <c r="S170" s="2"/>
      <c r="T170" s="2"/>
      <c r="U170" s="2"/>
      <c r="V170" s="2"/>
      <c r="W170" s="2"/>
      <c r="X170" s="2"/>
      <c r="Y170" s="2"/>
      <c r="Z170" s="2"/>
    </row>
    <row r="171" customHeight="1" spans="1:26">
      <c r="A171" s="52" t="s">
        <v>680</v>
      </c>
      <c r="B171" s="52" t="s">
        <v>693</v>
      </c>
      <c r="C171" s="52" t="s">
        <v>680</v>
      </c>
      <c r="D171" s="184">
        <v>80</v>
      </c>
      <c r="E171" s="52" t="s">
        <v>97</v>
      </c>
      <c r="F171" s="52" t="s">
        <v>694</v>
      </c>
      <c r="G171" s="54" t="str">
        <f>HYPERLINK("http://www.monoprix.fr/","http://www.monoprix.fr/")</f>
        <v>http://www.monoprix.fr/</v>
      </c>
      <c r="H171" s="2"/>
      <c r="I171" s="2"/>
      <c r="J171" s="2"/>
      <c r="K171" s="2"/>
      <c r="L171" s="2"/>
      <c r="M171" s="2"/>
      <c r="N171" s="2"/>
      <c r="O171" s="2"/>
      <c r="P171" s="2"/>
      <c r="Q171" s="2"/>
      <c r="R171" s="2"/>
      <c r="S171" s="2"/>
      <c r="T171" s="2"/>
      <c r="U171" s="2"/>
      <c r="V171" s="2"/>
      <c r="W171" s="2"/>
      <c r="X171" s="2"/>
      <c r="Y171" s="2"/>
      <c r="Z171" s="2"/>
    </row>
    <row r="172" ht="27" customHeight="1" spans="1:26">
      <c r="A172" s="52" t="s">
        <v>680</v>
      </c>
      <c r="B172" s="52" t="s">
        <v>695</v>
      </c>
      <c r="C172" s="52" t="s">
        <v>680</v>
      </c>
      <c r="D172" s="184">
        <v>60</v>
      </c>
      <c r="E172" s="52" t="s">
        <v>97</v>
      </c>
      <c r="F172" s="52" t="s">
        <v>696</v>
      </c>
      <c r="G172" s="52" t="s">
        <v>697</v>
      </c>
      <c r="H172" s="2"/>
      <c r="I172" s="2"/>
      <c r="J172" s="2"/>
      <c r="K172" s="2"/>
      <c r="L172" s="2"/>
      <c r="M172" s="2"/>
      <c r="N172" s="2"/>
      <c r="O172" s="2"/>
      <c r="P172" s="2"/>
      <c r="Q172" s="2"/>
      <c r="R172" s="2"/>
      <c r="S172" s="2"/>
      <c r="T172" s="2"/>
      <c r="U172" s="2"/>
      <c r="V172" s="2"/>
      <c r="W172" s="2"/>
      <c r="X172" s="2"/>
      <c r="Y172" s="2"/>
      <c r="Z172" s="2"/>
    </row>
    <row r="173" customHeight="1" spans="1:26">
      <c r="A173" s="52" t="s">
        <v>680</v>
      </c>
      <c r="B173" s="52" t="s">
        <v>132</v>
      </c>
      <c r="C173" s="52" t="s">
        <v>680</v>
      </c>
      <c r="D173" s="184">
        <v>40</v>
      </c>
      <c r="E173" s="52" t="s">
        <v>97</v>
      </c>
      <c r="F173" s="52" t="s">
        <v>698</v>
      </c>
      <c r="G173" s="52" t="s">
        <v>134</v>
      </c>
      <c r="H173" s="2"/>
      <c r="I173" s="2"/>
      <c r="J173" s="2"/>
      <c r="K173" s="2"/>
      <c r="L173" s="2"/>
      <c r="M173" s="2"/>
      <c r="N173" s="2"/>
      <c r="O173" s="2"/>
      <c r="P173" s="2"/>
      <c r="Q173" s="2"/>
      <c r="R173" s="2"/>
      <c r="S173" s="2"/>
      <c r="T173" s="2"/>
      <c r="U173" s="2"/>
      <c r="V173" s="2"/>
      <c r="W173" s="2"/>
      <c r="X173" s="2"/>
      <c r="Y173" s="2"/>
      <c r="Z173" s="2"/>
    </row>
    <row r="174" customHeight="1" spans="1:26">
      <c r="A174" s="52" t="s">
        <v>680</v>
      </c>
      <c r="B174" s="52" t="s">
        <v>699</v>
      </c>
      <c r="C174" s="52" t="s">
        <v>680</v>
      </c>
      <c r="D174" s="184">
        <v>40</v>
      </c>
      <c r="E174" s="52" t="s">
        <v>97</v>
      </c>
      <c r="F174" s="52" t="s">
        <v>700</v>
      </c>
      <c r="G174" s="52" t="s">
        <v>119</v>
      </c>
      <c r="H174" s="2"/>
      <c r="I174" s="2"/>
      <c r="J174" s="2"/>
      <c r="K174" s="2"/>
      <c r="L174" s="2"/>
      <c r="M174" s="2"/>
      <c r="N174" s="2"/>
      <c r="O174" s="2"/>
      <c r="P174" s="2"/>
      <c r="Q174" s="2"/>
      <c r="R174" s="2"/>
      <c r="S174" s="2"/>
      <c r="T174" s="2"/>
      <c r="U174" s="2"/>
      <c r="V174" s="2"/>
      <c r="W174" s="2"/>
      <c r="X174" s="2"/>
      <c r="Y174" s="2"/>
      <c r="Z174" s="2"/>
    </row>
    <row r="175" customHeight="1" spans="1:26">
      <c r="A175" s="52" t="s">
        <v>701</v>
      </c>
      <c r="B175" s="52" t="s">
        <v>702</v>
      </c>
      <c r="C175" s="52" t="s">
        <v>703</v>
      </c>
      <c r="D175" s="184">
        <v>30</v>
      </c>
      <c r="E175" s="52" t="s">
        <v>671</v>
      </c>
      <c r="F175" s="52" t="s">
        <v>704</v>
      </c>
      <c r="G175" s="217" t="str">
        <f>HYPERLINK("http://www.pharmacie-monge.fr/","www.pharmacie-monge.fr/")</f>
        <v>www.pharmacie-monge.fr/</v>
      </c>
      <c r="H175" s="2"/>
      <c r="I175" s="2"/>
      <c r="J175" s="2"/>
      <c r="K175" s="2"/>
      <c r="L175" s="2"/>
      <c r="M175" s="2"/>
      <c r="N175" s="2"/>
      <c r="O175" s="2"/>
      <c r="P175" s="2"/>
      <c r="Q175" s="2"/>
      <c r="R175" s="2"/>
      <c r="S175" s="2"/>
      <c r="T175" s="2"/>
      <c r="U175" s="2"/>
      <c r="V175" s="2"/>
      <c r="W175" s="2"/>
      <c r="X175" s="2"/>
      <c r="Y175" s="2"/>
      <c r="Z175" s="2"/>
    </row>
    <row r="176" customHeight="1" spans="1:26">
      <c r="A176" s="52" t="s">
        <v>701</v>
      </c>
      <c r="B176" s="52" t="s">
        <v>705</v>
      </c>
      <c r="C176" s="52" t="s">
        <v>706</v>
      </c>
      <c r="D176" s="184">
        <v>200</v>
      </c>
      <c r="E176" s="52" t="s">
        <v>707</v>
      </c>
      <c r="F176" s="52" t="s">
        <v>708</v>
      </c>
      <c r="G176" s="217" t="str">
        <f>HYPERLINK("http://www.optical-center.fr/","www.optical-center.fr/")</f>
        <v>www.optical-center.fr/</v>
      </c>
      <c r="H176" s="2"/>
      <c r="I176" s="2"/>
      <c r="J176" s="2"/>
      <c r="K176" s="2"/>
      <c r="L176" s="2"/>
      <c r="M176" s="2"/>
      <c r="N176" s="2"/>
      <c r="O176" s="2"/>
      <c r="P176" s="2"/>
      <c r="Q176" s="2"/>
      <c r="R176" s="2"/>
      <c r="S176" s="2"/>
      <c r="T176" s="2"/>
      <c r="U176" s="2"/>
      <c r="V176" s="2"/>
      <c r="W176" s="2"/>
      <c r="X176" s="2"/>
      <c r="Y176" s="2"/>
      <c r="Z176" s="2"/>
    </row>
    <row r="177" customHeight="1" spans="1:26">
      <c r="A177" s="52" t="s">
        <v>701</v>
      </c>
      <c r="B177" s="52" t="s">
        <v>709</v>
      </c>
      <c r="C177" s="52" t="s">
        <v>710</v>
      </c>
      <c r="D177" s="184">
        <v>100</v>
      </c>
      <c r="E177" s="52" t="s">
        <v>707</v>
      </c>
      <c r="F177" s="52" t="s">
        <v>711</v>
      </c>
      <c r="G177" s="222" t="s">
        <v>712</v>
      </c>
      <c r="H177" s="2"/>
      <c r="I177" s="2"/>
      <c r="J177" s="2"/>
      <c r="K177" s="2"/>
      <c r="L177" s="2"/>
      <c r="M177" s="2"/>
      <c r="N177" s="2"/>
      <c r="O177" s="2"/>
      <c r="P177" s="2"/>
      <c r="Q177" s="2"/>
      <c r="R177" s="2"/>
      <c r="S177" s="2"/>
      <c r="T177" s="2"/>
      <c r="U177" s="2"/>
      <c r="V177" s="2"/>
      <c r="W177" s="2"/>
      <c r="X177" s="2"/>
      <c r="Y177" s="2"/>
      <c r="Z177" s="2"/>
    </row>
    <row r="178" customHeight="1" spans="1:26">
      <c r="A178" s="52" t="s">
        <v>713</v>
      </c>
      <c r="B178" s="197" t="s">
        <v>714</v>
      </c>
      <c r="C178" s="52" t="s">
        <v>715</v>
      </c>
      <c r="D178" s="184">
        <v>20</v>
      </c>
      <c r="E178" s="52" t="s">
        <v>671</v>
      </c>
      <c r="F178" s="52" t="s">
        <v>716</v>
      </c>
      <c r="G178" s="223" t="str">
        <f>HYPERLINK("http://www.cinemasgaumontpathe.com/","www.cinemasgaumontpathe.com/")</f>
        <v>www.cinemasgaumontpathe.com/</v>
      </c>
      <c r="H178" s="2"/>
      <c r="I178" s="2"/>
      <c r="J178" s="2"/>
      <c r="K178" s="2"/>
      <c r="L178" s="2"/>
      <c r="M178" s="2"/>
      <c r="N178" s="2"/>
      <c r="O178" s="2"/>
      <c r="P178" s="2"/>
      <c r="Q178" s="2"/>
      <c r="R178" s="2"/>
      <c r="S178" s="2"/>
      <c r="T178" s="2"/>
      <c r="U178" s="2"/>
      <c r="V178" s="2"/>
      <c r="W178" s="2"/>
      <c r="X178" s="2"/>
      <c r="Y178" s="2"/>
      <c r="Z178" s="2"/>
    </row>
    <row r="179" customHeight="1" spans="1:26">
      <c r="A179" s="52" t="s">
        <v>713</v>
      </c>
      <c r="B179" s="52" t="s">
        <v>717</v>
      </c>
      <c r="C179" s="52" t="s">
        <v>715</v>
      </c>
      <c r="D179" s="184">
        <v>20</v>
      </c>
      <c r="E179" s="52" t="s">
        <v>671</v>
      </c>
      <c r="F179" s="52" t="s">
        <v>718</v>
      </c>
      <c r="G179" s="224" t="str">
        <f>HYPERLINK("http://www.mk2.com/","www.mk2.com/")</f>
        <v>www.mk2.com/</v>
      </c>
      <c r="H179" s="2"/>
      <c r="I179" s="2"/>
      <c r="J179" s="2"/>
      <c r="K179" s="2"/>
      <c r="L179" s="2"/>
      <c r="M179" s="2"/>
      <c r="N179" s="2"/>
      <c r="O179" s="2"/>
      <c r="P179" s="2"/>
      <c r="Q179" s="2"/>
      <c r="R179" s="2"/>
      <c r="S179" s="2"/>
      <c r="T179" s="2"/>
      <c r="U179" s="2"/>
      <c r="V179" s="2"/>
      <c r="W179" s="2"/>
      <c r="X179" s="2"/>
      <c r="Y179" s="2"/>
      <c r="Z179" s="2"/>
    </row>
    <row r="180" customHeight="1" spans="1:26">
      <c r="A180" s="52" t="s">
        <v>713</v>
      </c>
      <c r="B180" s="52" t="s">
        <v>719</v>
      </c>
      <c r="C180" s="52" t="s">
        <v>715</v>
      </c>
      <c r="D180" s="184">
        <v>20</v>
      </c>
      <c r="E180" s="52" t="s">
        <v>671</v>
      </c>
      <c r="F180" s="52" t="s">
        <v>720</v>
      </c>
      <c r="G180" s="225" t="str">
        <f>HYPERLINK("http://www.ugc.fr/","www.ugc.fr/")</f>
        <v>www.ugc.fr/</v>
      </c>
      <c r="H180" s="2"/>
      <c r="I180" s="2"/>
      <c r="J180" s="2"/>
      <c r="K180" s="2"/>
      <c r="L180" s="2"/>
      <c r="M180" s="2"/>
      <c r="N180" s="2"/>
      <c r="O180" s="2"/>
      <c r="P180" s="2"/>
      <c r="Q180" s="2"/>
      <c r="R180" s="2"/>
      <c r="S180" s="2"/>
      <c r="T180" s="2"/>
      <c r="U180" s="2"/>
      <c r="V180" s="2"/>
      <c r="W180" s="2"/>
      <c r="X180" s="2"/>
      <c r="Y180" s="2"/>
      <c r="Z180" s="2"/>
    </row>
    <row r="181" customHeight="1" spans="1:26">
      <c r="A181" s="52" t="s">
        <v>721</v>
      </c>
      <c r="B181" s="197" t="s">
        <v>722</v>
      </c>
      <c r="C181" s="52" t="s">
        <v>723</v>
      </c>
      <c r="D181" s="184">
        <v>25</v>
      </c>
      <c r="E181" s="52" t="s">
        <v>97</v>
      </c>
      <c r="F181" s="52" t="s">
        <v>724</v>
      </c>
      <c r="G181" s="217" t="str">
        <f>HYPERLINK("http://www.laposte.fr/","www.laposte.fr/")</f>
        <v>www.laposte.fr/</v>
      </c>
      <c r="H181" s="2"/>
      <c r="I181" s="2"/>
      <c r="J181" s="2"/>
      <c r="K181" s="2"/>
      <c r="L181" s="2"/>
      <c r="M181" s="2"/>
      <c r="N181" s="2"/>
      <c r="O181" s="2"/>
      <c r="P181" s="2"/>
      <c r="Q181" s="2"/>
      <c r="R181" s="2"/>
      <c r="S181" s="2"/>
      <c r="T181" s="2"/>
      <c r="U181" s="2"/>
      <c r="V181" s="2"/>
      <c r="W181" s="2"/>
      <c r="X181" s="2"/>
      <c r="Y181" s="2"/>
      <c r="Z181" s="2"/>
    </row>
    <row r="182" customHeight="1" spans="1:26">
      <c r="A182" s="52" t="s">
        <v>721</v>
      </c>
      <c r="B182" s="52" t="s">
        <v>725</v>
      </c>
      <c r="C182" s="52" t="s">
        <v>726</v>
      </c>
      <c r="D182" s="184">
        <v>40</v>
      </c>
      <c r="E182" s="52" t="s">
        <v>671</v>
      </c>
      <c r="F182" s="52" t="s">
        <v>727</v>
      </c>
      <c r="G182" s="226" t="str">
        <f>HYPERLINK("http://www.monceaufleurs.com/","www.monceaufleurs.com/")</f>
        <v>www.monceaufleurs.com/</v>
      </c>
      <c r="H182" s="2"/>
      <c r="I182" s="2"/>
      <c r="J182" s="2"/>
      <c r="K182" s="2"/>
      <c r="L182" s="2"/>
      <c r="M182" s="2"/>
      <c r="N182" s="2"/>
      <c r="O182" s="2"/>
      <c r="P182" s="2"/>
      <c r="Q182" s="2"/>
      <c r="R182" s="2"/>
      <c r="S182" s="2"/>
      <c r="T182" s="2"/>
      <c r="U182" s="2"/>
      <c r="V182" s="2"/>
      <c r="W182" s="2"/>
      <c r="X182" s="2"/>
      <c r="Y182" s="2"/>
      <c r="Z182" s="2"/>
    </row>
    <row r="183" customHeight="1" spans="1:26">
      <c r="A183" s="52" t="s">
        <v>728</v>
      </c>
      <c r="B183" s="197" t="s">
        <v>729</v>
      </c>
      <c r="C183" s="52" t="s">
        <v>730</v>
      </c>
      <c r="D183" s="184">
        <v>350</v>
      </c>
      <c r="E183" s="52" t="s">
        <v>684</v>
      </c>
      <c r="F183" s="52" t="s">
        <v>731</v>
      </c>
      <c r="G183" s="224" t="str">
        <f>HYPERLINK("http://www.darty.com/","www.darty.com/")</f>
        <v>www.darty.com/</v>
      </c>
      <c r="H183" s="2"/>
      <c r="I183" s="2"/>
      <c r="J183" s="2"/>
      <c r="K183" s="2"/>
      <c r="L183" s="2"/>
      <c r="M183" s="2"/>
      <c r="N183" s="2"/>
      <c r="O183" s="2"/>
      <c r="P183" s="2"/>
      <c r="Q183" s="2"/>
      <c r="R183" s="2"/>
      <c r="S183" s="2"/>
      <c r="T183" s="2"/>
      <c r="U183" s="2"/>
      <c r="V183" s="2"/>
      <c r="W183" s="2"/>
      <c r="X183" s="2"/>
      <c r="Y183" s="2"/>
      <c r="Z183" s="2"/>
    </row>
    <row r="184" customHeight="1" spans="1:26">
      <c r="A184" s="52" t="s">
        <v>728</v>
      </c>
      <c r="B184" s="52" t="s">
        <v>732</v>
      </c>
      <c r="C184" s="52" t="s">
        <v>733</v>
      </c>
      <c r="D184" s="184">
        <v>120</v>
      </c>
      <c r="E184" s="52" t="s">
        <v>671</v>
      </c>
      <c r="F184" s="52" t="s">
        <v>734</v>
      </c>
      <c r="G184" s="224" t="str">
        <f>HYPERLINK("http://www.fnac.com/","www.fnac.com/")</f>
        <v>www.fnac.com/</v>
      </c>
      <c r="H184" s="2"/>
      <c r="I184" s="2"/>
      <c r="J184" s="2"/>
      <c r="K184" s="2"/>
      <c r="L184" s="2"/>
      <c r="M184" s="2"/>
      <c r="N184" s="2"/>
      <c r="O184" s="2"/>
      <c r="P184" s="2"/>
      <c r="Q184" s="2"/>
      <c r="R184" s="2"/>
      <c r="S184" s="2"/>
      <c r="T184" s="2"/>
      <c r="U184" s="2"/>
      <c r="V184" s="2"/>
      <c r="W184" s="2"/>
      <c r="X184" s="2"/>
      <c r="Y184" s="2"/>
      <c r="Z184" s="2"/>
    </row>
    <row r="185" customHeight="1" spans="1:26">
      <c r="A185" s="52" t="s">
        <v>728</v>
      </c>
      <c r="B185" s="52" t="s">
        <v>735</v>
      </c>
      <c r="C185" s="52" t="s">
        <v>730</v>
      </c>
      <c r="D185" s="184">
        <v>350</v>
      </c>
      <c r="E185" s="52" t="s">
        <v>671</v>
      </c>
      <c r="F185" s="52" t="s">
        <v>736</v>
      </c>
      <c r="G185" s="224" t="str">
        <f>HYPERLINK("http://www.boulanger.com/","www.boulanger.com/")</f>
        <v>www.boulanger.com/</v>
      </c>
      <c r="H185" s="2"/>
      <c r="I185" s="2"/>
      <c r="J185" s="2"/>
      <c r="K185" s="2"/>
      <c r="L185" s="2"/>
      <c r="M185" s="2"/>
      <c r="N185" s="2"/>
      <c r="O185" s="2"/>
      <c r="P185" s="2"/>
      <c r="Q185" s="2"/>
      <c r="R185" s="2"/>
      <c r="S185" s="2"/>
      <c r="T185" s="2"/>
      <c r="U185" s="2"/>
      <c r="V185" s="2"/>
      <c r="W185" s="2"/>
      <c r="X185" s="2"/>
      <c r="Y185" s="2"/>
      <c r="Z185" s="2"/>
    </row>
    <row r="186" customHeight="1" spans="1:26">
      <c r="A186" s="52" t="s">
        <v>728</v>
      </c>
      <c r="B186" s="52" t="s">
        <v>737</v>
      </c>
      <c r="C186" s="52" t="s">
        <v>730</v>
      </c>
      <c r="D186" s="184">
        <v>150</v>
      </c>
      <c r="E186" s="52" t="s">
        <v>671</v>
      </c>
      <c r="F186" s="52" t="s">
        <v>738</v>
      </c>
      <c r="G186" s="224" t="str">
        <f>HYPERLINK("http://www.priceminister.com/","www.priceminister.com/")</f>
        <v>www.priceminister.com/</v>
      </c>
      <c r="H186" s="2"/>
      <c r="I186" s="2"/>
      <c r="J186" s="2"/>
      <c r="K186" s="2"/>
      <c r="L186" s="2"/>
      <c r="M186" s="2"/>
      <c r="N186" s="2"/>
      <c r="O186" s="2"/>
      <c r="P186" s="2"/>
      <c r="Q186" s="2"/>
      <c r="R186" s="2"/>
      <c r="S186" s="2"/>
      <c r="T186" s="2"/>
      <c r="U186" s="2"/>
      <c r="V186" s="2"/>
      <c r="W186" s="2"/>
      <c r="X186" s="2"/>
      <c r="Y186" s="2"/>
      <c r="Z186" s="2"/>
    </row>
    <row r="187" customHeight="1" spans="1:26">
      <c r="A187" s="52" t="s">
        <v>195</v>
      </c>
      <c r="B187" s="52" t="s">
        <v>739</v>
      </c>
      <c r="C187" s="52" t="s">
        <v>195</v>
      </c>
      <c r="D187" s="184"/>
      <c r="E187" s="184"/>
      <c r="F187" s="52" t="s">
        <v>740</v>
      </c>
      <c r="G187" s="62" t="s">
        <v>741</v>
      </c>
      <c r="H187" s="2"/>
      <c r="I187" s="2"/>
      <c r="J187" s="2"/>
      <c r="K187" s="2"/>
      <c r="L187" s="2"/>
      <c r="M187" s="2"/>
      <c r="N187" s="2"/>
      <c r="O187" s="2"/>
      <c r="P187" s="2"/>
      <c r="Q187" s="2"/>
      <c r="R187" s="2"/>
      <c r="S187" s="2"/>
      <c r="T187" s="2"/>
      <c r="U187" s="2"/>
      <c r="V187" s="2"/>
      <c r="W187" s="2"/>
      <c r="X187" s="2"/>
      <c r="Y187" s="2"/>
      <c r="Z187" s="2"/>
    </row>
    <row r="188" ht="13.5" customHeight="1"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ustomHeight="1" spans="1:26">
      <c r="A189" s="52" t="s">
        <v>742</v>
      </c>
      <c r="B189" s="52" t="s">
        <v>743</v>
      </c>
      <c r="C189" s="52" t="s">
        <v>744</v>
      </c>
      <c r="D189" s="184">
        <v>80</v>
      </c>
      <c r="E189" s="52" t="s">
        <v>671</v>
      </c>
      <c r="F189" s="52" t="s">
        <v>745</v>
      </c>
      <c r="G189" s="227" t="s">
        <v>746</v>
      </c>
      <c r="H189" s="2"/>
      <c r="I189" s="2"/>
      <c r="J189" s="2"/>
      <c r="K189" s="2"/>
      <c r="L189" s="2"/>
      <c r="M189" s="2"/>
      <c r="N189" s="2"/>
      <c r="O189" s="2"/>
      <c r="P189" s="2"/>
      <c r="Q189" s="2"/>
      <c r="R189" s="2"/>
      <c r="S189" s="2"/>
      <c r="T189" s="2"/>
      <c r="U189" s="2"/>
      <c r="V189" s="2"/>
      <c r="W189" s="2"/>
      <c r="X189" s="2"/>
      <c r="Y189" s="2"/>
      <c r="Z189" s="2"/>
    </row>
    <row r="190" customHeight="1" spans="1:26">
      <c r="A190" s="52" t="s">
        <v>742</v>
      </c>
      <c r="B190" s="52" t="s">
        <v>747</v>
      </c>
      <c r="C190" s="52" t="s">
        <v>748</v>
      </c>
      <c r="D190" s="184">
        <v>20</v>
      </c>
      <c r="E190" s="52" t="s">
        <v>707</v>
      </c>
      <c r="F190" s="52" t="s">
        <v>749</v>
      </c>
      <c r="G190" s="224" t="str">
        <f>HYPERLINK("http://www.musee-orsay.fr/","www.musee-orsay.fr/")</f>
        <v>www.musee-orsay.fr/</v>
      </c>
      <c r="H190" s="2"/>
      <c r="I190" s="2"/>
      <c r="J190" s="2"/>
      <c r="K190" s="2"/>
      <c r="L190" s="2"/>
      <c r="M190" s="2"/>
      <c r="N190" s="2"/>
      <c r="O190" s="2"/>
      <c r="P190" s="2"/>
      <c r="Q190" s="2"/>
      <c r="R190" s="2"/>
      <c r="S190" s="2"/>
      <c r="T190" s="2"/>
      <c r="U190" s="2"/>
      <c r="V190" s="2"/>
      <c r="W190" s="2"/>
      <c r="X190" s="2"/>
      <c r="Y190" s="2"/>
      <c r="Z190" s="2"/>
    </row>
    <row r="191" customHeight="1" spans="1:26">
      <c r="A191" s="52" t="s">
        <v>742</v>
      </c>
      <c r="B191" s="52" t="s">
        <v>750</v>
      </c>
      <c r="C191" s="52" t="s">
        <v>751</v>
      </c>
      <c r="D191" s="184">
        <v>30</v>
      </c>
      <c r="E191" s="52" t="s">
        <v>684</v>
      </c>
      <c r="F191" s="52" t="s">
        <v>752</v>
      </c>
      <c r="G191" s="224" t="str">
        <f>HYPERLINK("http://www.vedettesdeparis.fr/","www.vedettesdeparis.fr/")</f>
        <v>www.vedettesdeparis.fr/</v>
      </c>
      <c r="H191" s="2"/>
      <c r="I191" s="2"/>
      <c r="J191" s="2"/>
      <c r="K191" s="2"/>
      <c r="L191" s="2"/>
      <c r="M191" s="2"/>
      <c r="N191" s="2"/>
      <c r="O191" s="2"/>
      <c r="P191" s="2"/>
      <c r="Q191" s="2"/>
      <c r="R191" s="2"/>
      <c r="S191" s="2"/>
      <c r="T191" s="2"/>
      <c r="U191" s="2"/>
      <c r="V191" s="2"/>
      <c r="W191" s="2"/>
      <c r="X191" s="2"/>
      <c r="Y191" s="2"/>
      <c r="Z191" s="2"/>
    </row>
    <row r="192" customHeight="1" spans="1:26">
      <c r="A192" s="52" t="s">
        <v>753</v>
      </c>
      <c r="B192" s="52" t="s">
        <v>754</v>
      </c>
      <c r="C192" s="52" t="s">
        <v>755</v>
      </c>
      <c r="D192" s="184">
        <v>40</v>
      </c>
      <c r="E192" s="52" t="s">
        <v>671</v>
      </c>
      <c r="F192" s="52" t="s">
        <v>756</v>
      </c>
      <c r="G192" s="62" t="s">
        <v>757</v>
      </c>
      <c r="H192" s="2"/>
      <c r="I192" s="2"/>
      <c r="J192" s="2"/>
      <c r="K192" s="2"/>
      <c r="L192" s="2"/>
      <c r="M192" s="2"/>
      <c r="N192" s="2"/>
      <c r="O192" s="2"/>
      <c r="P192" s="2"/>
      <c r="Q192" s="2"/>
      <c r="R192" s="2"/>
      <c r="S192" s="2"/>
      <c r="T192" s="2"/>
      <c r="U192" s="2"/>
      <c r="V192" s="2"/>
      <c r="W192" s="2"/>
      <c r="X192" s="2"/>
      <c r="Y192" s="2"/>
      <c r="Z192" s="2"/>
    </row>
    <row r="193" customHeight="1" spans="1:26">
      <c r="A193" s="52" t="s">
        <v>753</v>
      </c>
      <c r="B193" s="52" t="s">
        <v>758</v>
      </c>
      <c r="C193" s="52" t="s">
        <v>759</v>
      </c>
      <c r="D193" s="184">
        <v>60</v>
      </c>
      <c r="E193" s="52" t="s">
        <v>671</v>
      </c>
      <c r="F193" s="52" t="s">
        <v>760</v>
      </c>
      <c r="G193" s="62" t="s">
        <v>761</v>
      </c>
      <c r="H193" s="2"/>
      <c r="I193" s="2"/>
      <c r="J193" s="2"/>
      <c r="K193" s="2"/>
      <c r="L193" s="2"/>
      <c r="M193" s="2"/>
      <c r="N193" s="2"/>
      <c r="O193" s="2"/>
      <c r="P193" s="2"/>
      <c r="Q193" s="2"/>
      <c r="R193" s="2"/>
      <c r="S193" s="2"/>
      <c r="T193" s="2"/>
      <c r="U193" s="2"/>
      <c r="V193" s="2"/>
      <c r="W193" s="2"/>
      <c r="X193" s="2"/>
      <c r="Y193" s="2"/>
      <c r="Z193" s="2"/>
    </row>
    <row r="194" customHeight="1" spans="1:26">
      <c r="A194" s="52" t="s">
        <v>753</v>
      </c>
      <c r="B194" s="52" t="s">
        <v>762</v>
      </c>
      <c r="C194" s="52" t="s">
        <v>763</v>
      </c>
      <c r="D194" s="184">
        <v>50</v>
      </c>
      <c r="E194" s="52" t="s">
        <v>707</v>
      </c>
      <c r="F194" s="52" t="s">
        <v>764</v>
      </c>
      <c r="G194" s="62" t="s">
        <v>765</v>
      </c>
      <c r="H194" s="2"/>
      <c r="I194" s="2"/>
      <c r="J194" s="2"/>
      <c r="K194" s="2"/>
      <c r="L194" s="2"/>
      <c r="M194" s="2"/>
      <c r="N194" s="2"/>
      <c r="O194" s="2"/>
      <c r="P194" s="2"/>
      <c r="Q194" s="2"/>
      <c r="R194" s="2"/>
      <c r="S194" s="2"/>
      <c r="T194" s="2"/>
      <c r="U194" s="2"/>
      <c r="V194" s="2"/>
      <c r="W194" s="2"/>
      <c r="X194" s="2"/>
      <c r="Y194" s="2"/>
      <c r="Z194" s="2"/>
    </row>
    <row r="195" customHeight="1" spans="1:26">
      <c r="A195" s="52" t="s">
        <v>753</v>
      </c>
      <c r="B195" s="52" t="s">
        <v>766</v>
      </c>
      <c r="C195" s="52" t="s">
        <v>767</v>
      </c>
      <c r="D195" s="184">
        <v>40</v>
      </c>
      <c r="E195" s="52" t="s">
        <v>671</v>
      </c>
      <c r="F195" s="52" t="s">
        <v>768</v>
      </c>
      <c r="G195" s="62" t="s">
        <v>769</v>
      </c>
      <c r="H195" s="2"/>
      <c r="I195" s="2"/>
      <c r="J195" s="2"/>
      <c r="K195" s="2"/>
      <c r="L195" s="2"/>
      <c r="M195" s="2"/>
      <c r="N195" s="2"/>
      <c r="O195" s="2"/>
      <c r="P195" s="2"/>
      <c r="Q195" s="2"/>
      <c r="R195" s="2"/>
      <c r="S195" s="2"/>
      <c r="T195" s="2"/>
      <c r="U195" s="2"/>
      <c r="V195" s="2"/>
      <c r="W195" s="2"/>
      <c r="X195" s="2"/>
      <c r="Y195" s="2"/>
      <c r="Z195" s="2"/>
    </row>
    <row r="196" ht="13.5" customHeight="1"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ustomHeight="1" spans="1:26">
      <c r="A197" s="52" t="s">
        <v>770</v>
      </c>
      <c r="B197" s="197" t="s">
        <v>771</v>
      </c>
      <c r="C197" s="52" t="s">
        <v>772</v>
      </c>
      <c r="D197" s="184">
        <v>150</v>
      </c>
      <c r="E197" s="52" t="s">
        <v>707</v>
      </c>
      <c r="F197" s="52" t="s">
        <v>773</v>
      </c>
      <c r="G197" s="52" t="s">
        <v>774</v>
      </c>
      <c r="H197" s="2"/>
      <c r="I197" s="2"/>
      <c r="J197" s="2"/>
      <c r="K197" s="2"/>
      <c r="L197" s="2"/>
      <c r="M197" s="2"/>
      <c r="N197" s="2"/>
      <c r="O197" s="2"/>
      <c r="P197" s="2"/>
      <c r="Q197" s="2"/>
      <c r="R197" s="2"/>
      <c r="S197" s="2"/>
      <c r="T197" s="2"/>
      <c r="U197" s="2"/>
      <c r="V197" s="2"/>
      <c r="W197" s="2"/>
      <c r="X197" s="2"/>
      <c r="Y197" s="2"/>
      <c r="Z197" s="2"/>
    </row>
    <row r="198" customHeight="1" spans="1:26">
      <c r="A198" s="228" t="s">
        <v>770</v>
      </c>
      <c r="B198" s="229" t="s">
        <v>775</v>
      </c>
      <c r="C198" s="229" t="s">
        <v>772</v>
      </c>
      <c r="D198" s="230">
        <v>90</v>
      </c>
      <c r="E198" s="63" t="s">
        <v>707</v>
      </c>
      <c r="F198" s="63" t="s">
        <v>776</v>
      </c>
      <c r="G198" s="63" t="s">
        <v>777</v>
      </c>
      <c r="H198" s="2"/>
      <c r="I198" s="2"/>
      <c r="J198" s="2"/>
      <c r="K198" s="2"/>
      <c r="L198" s="2"/>
      <c r="M198" s="2"/>
      <c r="N198" s="2"/>
      <c r="O198" s="2"/>
      <c r="P198" s="2"/>
      <c r="Q198" s="2"/>
      <c r="R198" s="2"/>
      <c r="S198" s="2"/>
      <c r="T198" s="2"/>
      <c r="U198" s="2"/>
      <c r="V198" s="2"/>
      <c r="W198" s="2"/>
      <c r="X198" s="2"/>
      <c r="Y198" s="2"/>
      <c r="Z198" s="2"/>
    </row>
    <row r="199" ht="30.75" customHeight="1" spans="1:26">
      <c r="A199" s="13" t="s">
        <v>770</v>
      </c>
      <c r="B199" s="186" t="s">
        <v>778</v>
      </c>
      <c r="C199" s="188" t="s">
        <v>779</v>
      </c>
      <c r="D199" s="215">
        <v>5000</v>
      </c>
      <c r="E199" s="13" t="s">
        <v>684</v>
      </c>
      <c r="F199" s="13" t="s">
        <v>780</v>
      </c>
      <c r="G199" s="13" t="s">
        <v>781</v>
      </c>
      <c r="H199" s="2"/>
      <c r="I199" s="2"/>
      <c r="J199" s="2"/>
      <c r="K199" s="2"/>
      <c r="L199" s="2"/>
      <c r="M199" s="2"/>
      <c r="N199" s="2"/>
      <c r="O199" s="2"/>
      <c r="P199" s="2"/>
      <c r="Q199" s="2"/>
      <c r="R199" s="2"/>
      <c r="S199" s="2"/>
      <c r="T199" s="2"/>
      <c r="U199" s="2"/>
      <c r="V199" s="2"/>
      <c r="W199" s="2"/>
      <c r="X199" s="2"/>
      <c r="Y199" s="2"/>
      <c r="Z199" s="2"/>
    </row>
    <row r="200" ht="30.75" customHeight="1" spans="1:26">
      <c r="A200" s="13" t="s">
        <v>770</v>
      </c>
      <c r="B200" s="186" t="s">
        <v>782</v>
      </c>
      <c r="C200" s="188" t="s">
        <v>783</v>
      </c>
      <c r="D200" s="215">
        <v>250</v>
      </c>
      <c r="E200" s="13" t="s">
        <v>671</v>
      </c>
      <c r="F200" s="13" t="s">
        <v>784</v>
      </c>
      <c r="G200" s="68" t="str">
        <f>HYPERLINK("http://www.galerieslafayette.com/","www.galerieslafayette.com/")</f>
        <v>www.galerieslafayette.com/</v>
      </c>
      <c r="H200" s="2"/>
      <c r="I200" s="2"/>
      <c r="J200" s="2"/>
      <c r="K200" s="2"/>
      <c r="L200" s="2"/>
      <c r="M200" s="2"/>
      <c r="N200" s="2"/>
      <c r="O200" s="2"/>
      <c r="P200" s="2"/>
      <c r="Q200" s="2"/>
      <c r="R200" s="2"/>
      <c r="S200" s="2"/>
      <c r="T200" s="2"/>
      <c r="U200" s="2"/>
      <c r="V200" s="2"/>
      <c r="W200" s="2"/>
      <c r="X200" s="2"/>
      <c r="Y200" s="2"/>
      <c r="Z200" s="2"/>
    </row>
    <row r="201" ht="30.75" customHeight="1" spans="1:26">
      <c r="A201" s="13" t="s">
        <v>785</v>
      </c>
      <c r="B201" s="186" t="s">
        <v>786</v>
      </c>
      <c r="C201" s="188" t="s">
        <v>428</v>
      </c>
      <c r="D201" s="215">
        <v>250</v>
      </c>
      <c r="E201" s="13" t="s">
        <v>671</v>
      </c>
      <c r="F201" s="13" t="s">
        <v>787</v>
      </c>
      <c r="G201" s="219" t="str">
        <f>HYPERLINK("http://www.leroymerlin.fr/","www.leroymerlin.fr/")</f>
        <v>www.leroymerlin.fr/</v>
      </c>
      <c r="H201" s="2"/>
      <c r="I201" s="2"/>
      <c r="J201" s="2"/>
      <c r="K201" s="2"/>
      <c r="L201" s="2"/>
      <c r="M201" s="2"/>
      <c r="N201" s="2"/>
      <c r="O201" s="2"/>
      <c r="P201" s="2"/>
      <c r="Q201" s="2"/>
      <c r="R201" s="2"/>
      <c r="S201" s="2"/>
      <c r="T201" s="2"/>
      <c r="U201" s="2"/>
      <c r="V201" s="2"/>
      <c r="W201" s="2"/>
      <c r="X201" s="2"/>
      <c r="Y201" s="2"/>
      <c r="Z201" s="2"/>
    </row>
    <row r="202" customHeight="1" spans="1:26">
      <c r="A202" s="13" t="s">
        <v>236</v>
      </c>
      <c r="B202" s="186" t="s">
        <v>788</v>
      </c>
      <c r="C202" s="188" t="s">
        <v>236</v>
      </c>
      <c r="D202" s="215"/>
      <c r="E202" s="65"/>
      <c r="F202" s="13" t="s">
        <v>789</v>
      </c>
      <c r="G202" s="162" t="s">
        <v>790</v>
      </c>
      <c r="H202" s="2"/>
      <c r="I202" s="2"/>
      <c r="J202" s="2"/>
      <c r="K202" s="2"/>
      <c r="L202" s="2"/>
      <c r="M202" s="2"/>
      <c r="N202" s="2"/>
      <c r="O202" s="2"/>
      <c r="P202" s="2"/>
      <c r="Q202" s="2"/>
      <c r="R202" s="2"/>
      <c r="S202" s="2"/>
      <c r="T202" s="2"/>
      <c r="U202" s="2"/>
      <c r="V202" s="2"/>
      <c r="W202" s="2"/>
      <c r="X202" s="2"/>
      <c r="Y202" s="2"/>
      <c r="Z202" s="2"/>
    </row>
    <row r="203" customHeight="1" spans="1:26">
      <c r="A203" s="13" t="s">
        <v>791</v>
      </c>
      <c r="B203" s="13" t="s">
        <v>792</v>
      </c>
      <c r="C203" s="13" t="s">
        <v>309</v>
      </c>
      <c r="D203" s="65"/>
      <c r="E203" s="65"/>
      <c r="F203" s="13" t="s">
        <v>793</v>
      </c>
      <c r="G203" s="13" t="s">
        <v>794</v>
      </c>
      <c r="H203" s="2"/>
      <c r="I203" s="2"/>
      <c r="J203" s="2"/>
      <c r="K203" s="2"/>
      <c r="L203" s="2"/>
      <c r="M203" s="2"/>
      <c r="N203" s="2"/>
      <c r="O203" s="2"/>
      <c r="P203" s="2"/>
      <c r="Q203" s="2"/>
      <c r="R203" s="2"/>
      <c r="S203" s="2"/>
      <c r="T203" s="2"/>
      <c r="U203" s="2"/>
      <c r="V203" s="2"/>
      <c r="W203" s="2"/>
      <c r="X203" s="2"/>
      <c r="Y203" s="2"/>
      <c r="Z203" s="2"/>
    </row>
    <row r="204" ht="13.5" customHeight="1" spans="1:26">
      <c r="A204" s="13" t="s">
        <v>795</v>
      </c>
      <c r="B204" s="13" t="s">
        <v>796</v>
      </c>
      <c r="C204" s="13" t="s">
        <v>319</v>
      </c>
      <c r="D204" s="57"/>
      <c r="E204" s="57"/>
      <c r="F204" s="13" t="s">
        <v>797</v>
      </c>
      <c r="G204" s="13" t="s">
        <v>798</v>
      </c>
      <c r="H204" s="2"/>
      <c r="I204" s="2"/>
      <c r="J204" s="2"/>
      <c r="K204" s="2"/>
      <c r="L204" s="2"/>
      <c r="M204" s="2"/>
      <c r="N204" s="2"/>
      <c r="O204" s="2"/>
      <c r="P204" s="2"/>
      <c r="Q204" s="2"/>
      <c r="R204" s="2"/>
      <c r="S204" s="2"/>
      <c r="T204" s="2"/>
      <c r="U204" s="2"/>
      <c r="V204" s="2"/>
      <c r="W204" s="2"/>
      <c r="X204" s="2"/>
      <c r="Y204" s="2"/>
      <c r="Z204" s="2"/>
    </row>
    <row r="205" customHeight="1" spans="1:26">
      <c r="A205" s="13" t="s">
        <v>799</v>
      </c>
      <c r="B205" s="13" t="s">
        <v>800</v>
      </c>
      <c r="C205" s="13" t="s">
        <v>450</v>
      </c>
      <c r="D205" s="57"/>
      <c r="E205" s="57"/>
      <c r="F205" s="13" t="s">
        <v>801</v>
      </c>
      <c r="G205" s="13" t="s">
        <v>802</v>
      </c>
      <c r="H205" s="2"/>
      <c r="I205" s="2"/>
      <c r="J205" s="2"/>
      <c r="K205" s="2"/>
      <c r="L205" s="2"/>
      <c r="M205" s="2"/>
      <c r="N205" s="2"/>
      <c r="O205" s="2"/>
      <c r="P205" s="2"/>
      <c r="Q205" s="2"/>
      <c r="R205" s="2"/>
      <c r="S205" s="2"/>
      <c r="T205" s="2"/>
      <c r="U205" s="2"/>
      <c r="V205" s="2"/>
      <c r="W205" s="2"/>
      <c r="X205" s="2"/>
      <c r="Y205" s="2"/>
      <c r="Z205" s="2"/>
    </row>
    <row r="206" customHeight="1" spans="1:26">
      <c r="A206" s="13" t="s">
        <v>799</v>
      </c>
      <c r="B206" s="13" t="s">
        <v>803</v>
      </c>
      <c r="C206" s="13" t="s">
        <v>450</v>
      </c>
      <c r="D206" s="57"/>
      <c r="E206" s="57"/>
      <c r="F206" s="13" t="s">
        <v>804</v>
      </c>
      <c r="G206" s="13" t="s">
        <v>805</v>
      </c>
      <c r="H206" s="2"/>
      <c r="I206" s="2"/>
      <c r="J206" s="2"/>
      <c r="K206" s="2"/>
      <c r="L206" s="2"/>
      <c r="M206" s="2"/>
      <c r="N206" s="2"/>
      <c r="O206" s="2"/>
      <c r="P206" s="2"/>
      <c r="Q206" s="2"/>
      <c r="R206" s="2"/>
      <c r="S206" s="2"/>
      <c r="T206" s="2"/>
      <c r="U206" s="2"/>
      <c r="V206" s="2"/>
      <c r="W206" s="2"/>
      <c r="X206" s="2"/>
      <c r="Y206" s="2"/>
      <c r="Z206" s="2"/>
    </row>
    <row r="207" customHeight="1" spans="1:26">
      <c r="A207" s="13" t="s">
        <v>806</v>
      </c>
      <c r="B207" s="13" t="s">
        <v>807</v>
      </c>
      <c r="C207" s="13" t="s">
        <v>808</v>
      </c>
      <c r="D207" s="57"/>
      <c r="E207" s="57"/>
      <c r="F207" s="13" t="s">
        <v>809</v>
      </c>
      <c r="G207" s="13" t="s">
        <v>810</v>
      </c>
      <c r="H207" s="2"/>
      <c r="I207" s="2"/>
      <c r="J207" s="2"/>
      <c r="K207" s="2"/>
      <c r="L207" s="2"/>
      <c r="M207" s="2"/>
      <c r="N207" s="2"/>
      <c r="O207" s="2"/>
      <c r="P207" s="2"/>
      <c r="Q207" s="2"/>
      <c r="R207" s="2"/>
      <c r="S207" s="2"/>
      <c r="T207" s="2"/>
      <c r="U207" s="2"/>
      <c r="V207" s="2"/>
      <c r="W207" s="2"/>
      <c r="X207" s="2"/>
      <c r="Y207" s="2"/>
      <c r="Z207" s="2"/>
    </row>
    <row r="208" customHeight="1" spans="1:26">
      <c r="A208" s="13" t="s">
        <v>811</v>
      </c>
      <c r="B208" s="13" t="s">
        <v>812</v>
      </c>
      <c r="C208" s="13" t="s">
        <v>476</v>
      </c>
      <c r="D208" s="57"/>
      <c r="E208" s="57"/>
      <c r="F208" s="13" t="s">
        <v>813</v>
      </c>
      <c r="G208" s="13" t="s">
        <v>814</v>
      </c>
      <c r="H208" s="2"/>
      <c r="I208" s="2"/>
      <c r="J208" s="2"/>
      <c r="K208" s="2"/>
      <c r="L208" s="2"/>
      <c r="M208" s="2"/>
      <c r="N208" s="2"/>
      <c r="O208" s="2"/>
      <c r="P208" s="2"/>
      <c r="Q208" s="2"/>
      <c r="R208" s="2"/>
      <c r="S208" s="2"/>
      <c r="T208" s="2"/>
      <c r="U208" s="2"/>
      <c r="V208" s="2"/>
      <c r="W208" s="2"/>
      <c r="X208" s="2"/>
      <c r="Y208" s="2"/>
      <c r="Z208" s="2"/>
    </row>
    <row r="209" customHeight="1" spans="1:26">
      <c r="A209" s="13" t="s">
        <v>811</v>
      </c>
      <c r="B209" s="13" t="s">
        <v>815</v>
      </c>
      <c r="C209" s="13" t="s">
        <v>476</v>
      </c>
      <c r="D209" s="57"/>
      <c r="E209" s="57"/>
      <c r="F209" s="13" t="s">
        <v>816</v>
      </c>
      <c r="G209" s="13" t="s">
        <v>817</v>
      </c>
      <c r="H209" s="2"/>
      <c r="I209" s="2"/>
      <c r="J209" s="2"/>
      <c r="K209" s="2"/>
      <c r="L209" s="2"/>
      <c r="M209" s="2"/>
      <c r="N209" s="2"/>
      <c r="O209" s="2"/>
      <c r="P209" s="2"/>
      <c r="Q209" s="2"/>
      <c r="R209" s="2"/>
      <c r="S209" s="2"/>
      <c r="T209" s="2"/>
      <c r="U209" s="2"/>
      <c r="V209" s="2"/>
      <c r="W209" s="2"/>
      <c r="X209" s="2"/>
      <c r="Y209" s="2"/>
      <c r="Z209" s="2"/>
    </row>
    <row r="210" customHeight="1" spans="1:26">
      <c r="A210" s="13" t="s">
        <v>818</v>
      </c>
      <c r="B210" s="13" t="s">
        <v>819</v>
      </c>
      <c r="C210" s="13" t="s">
        <v>820</v>
      </c>
      <c r="D210" s="65"/>
      <c r="E210" s="65"/>
      <c r="F210" s="13" t="s">
        <v>821</v>
      </c>
      <c r="G210" s="13" t="s">
        <v>822</v>
      </c>
      <c r="H210" s="2"/>
      <c r="I210" s="2"/>
      <c r="J210" s="2"/>
      <c r="K210" s="2"/>
      <c r="L210" s="2"/>
      <c r="M210" s="2"/>
      <c r="N210" s="2"/>
      <c r="O210" s="2"/>
      <c r="P210" s="2"/>
      <c r="Q210" s="2"/>
      <c r="R210" s="2"/>
      <c r="S210" s="2"/>
      <c r="T210" s="2"/>
      <c r="U210" s="2"/>
      <c r="V210" s="2"/>
      <c r="W210" s="2"/>
      <c r="X210" s="2"/>
      <c r="Y210" s="2"/>
      <c r="Z210" s="2"/>
    </row>
    <row r="211" customHeight="1" spans="1:26">
      <c r="A211" s="13" t="s">
        <v>823</v>
      </c>
      <c r="B211" s="13" t="s">
        <v>824</v>
      </c>
      <c r="C211" s="13" t="s">
        <v>515</v>
      </c>
      <c r="D211" s="65"/>
      <c r="E211" s="65"/>
      <c r="F211" s="13" t="s">
        <v>172</v>
      </c>
      <c r="G211" s="13" t="s">
        <v>173</v>
      </c>
      <c r="H211" s="2"/>
      <c r="I211" s="2"/>
      <c r="J211" s="2"/>
      <c r="K211" s="2"/>
      <c r="L211" s="2"/>
      <c r="M211" s="2"/>
      <c r="N211" s="2"/>
      <c r="O211" s="2"/>
      <c r="P211" s="2"/>
      <c r="Q211" s="2"/>
      <c r="R211" s="2"/>
      <c r="S211" s="2"/>
      <c r="T211" s="2"/>
      <c r="U211" s="2"/>
      <c r="V211" s="2"/>
      <c r="W211" s="2"/>
      <c r="X211" s="2"/>
      <c r="Y211" s="2"/>
      <c r="Z211" s="2"/>
    </row>
    <row r="212" customHeight="1" spans="1:26">
      <c r="A212" s="13" t="s">
        <v>825</v>
      </c>
      <c r="B212" s="13" t="s">
        <v>826</v>
      </c>
      <c r="C212" s="13" t="s">
        <v>827</v>
      </c>
      <c r="D212" s="65">
        <v>120</v>
      </c>
      <c r="E212" s="13" t="s">
        <v>684</v>
      </c>
      <c r="F212" s="13" t="s">
        <v>828</v>
      </c>
      <c r="G212" s="68" t="str">
        <f>HYPERLINK("http://www.sncf.com/fr/","www.sncf.com/fr/")</f>
        <v>www.sncf.com/fr/</v>
      </c>
      <c r="H212" s="2"/>
      <c r="I212" s="2"/>
      <c r="J212" s="2"/>
      <c r="K212" s="2"/>
      <c r="L212" s="2"/>
      <c r="M212" s="2"/>
      <c r="N212" s="2"/>
      <c r="O212" s="2"/>
      <c r="P212" s="2"/>
      <c r="Q212" s="2"/>
      <c r="R212" s="2"/>
      <c r="S212" s="2"/>
      <c r="T212" s="2"/>
      <c r="U212" s="2"/>
      <c r="V212" s="2"/>
      <c r="W212" s="2"/>
      <c r="X212" s="2"/>
      <c r="Y212" s="2"/>
      <c r="Z212" s="2"/>
    </row>
    <row r="213" customHeight="1" spans="1:26">
      <c r="A213" s="13" t="s">
        <v>825</v>
      </c>
      <c r="B213" s="13" t="s">
        <v>829</v>
      </c>
      <c r="C213" s="13" t="s">
        <v>830</v>
      </c>
      <c r="D213" s="65">
        <v>80</v>
      </c>
      <c r="E213" s="13" t="s">
        <v>671</v>
      </c>
      <c r="F213" s="13" t="s">
        <v>831</v>
      </c>
      <c r="G213" s="219" t="str">
        <f>HYPERLINK("http://www.ratp.fr/","www.ratp.fr/")</f>
        <v>www.ratp.fr/</v>
      </c>
      <c r="H213" s="2"/>
      <c r="I213" s="2"/>
      <c r="J213" s="2"/>
      <c r="K213" s="2"/>
      <c r="L213" s="2"/>
      <c r="M213" s="2"/>
      <c r="N213" s="2"/>
      <c r="O213" s="2"/>
      <c r="P213" s="2"/>
      <c r="Q213" s="2"/>
      <c r="R213" s="2"/>
      <c r="S213" s="2"/>
      <c r="T213" s="2"/>
      <c r="U213" s="2"/>
      <c r="V213" s="2"/>
      <c r="W213" s="2"/>
      <c r="X213" s="2"/>
      <c r="Y213" s="2"/>
      <c r="Z213" s="2"/>
    </row>
    <row r="214" customHeight="1" spans="1:26">
      <c r="A214" s="13" t="s">
        <v>825</v>
      </c>
      <c r="B214" s="13" t="s">
        <v>832</v>
      </c>
      <c r="C214" s="13" t="s">
        <v>833</v>
      </c>
      <c r="D214" s="65">
        <v>40</v>
      </c>
      <c r="E214" s="13" t="s">
        <v>671</v>
      </c>
      <c r="F214" s="13" t="s">
        <v>834</v>
      </c>
      <c r="G214" s="231" t="s">
        <v>835</v>
      </c>
      <c r="H214" s="2"/>
      <c r="I214" s="2"/>
      <c r="J214" s="2"/>
      <c r="K214" s="2"/>
      <c r="L214" s="2"/>
      <c r="M214" s="2"/>
      <c r="N214" s="2"/>
      <c r="O214" s="2"/>
      <c r="P214" s="2"/>
      <c r="Q214" s="2"/>
      <c r="R214" s="2"/>
      <c r="S214" s="2"/>
      <c r="T214" s="2"/>
      <c r="U214" s="2"/>
      <c r="V214" s="2"/>
      <c r="W214" s="2"/>
      <c r="X214" s="2"/>
      <c r="Y214" s="2"/>
      <c r="Z214" s="2"/>
    </row>
    <row r="215" customHeight="1" spans="1:26">
      <c r="A215" s="13" t="s">
        <v>836</v>
      </c>
      <c r="B215" s="13" t="s">
        <v>837</v>
      </c>
      <c r="C215" s="13" t="s">
        <v>548</v>
      </c>
      <c r="D215" s="65"/>
      <c r="E215" s="65"/>
      <c r="F215" s="13" t="s">
        <v>838</v>
      </c>
      <c r="G215" s="13" t="s">
        <v>839</v>
      </c>
      <c r="H215" s="2"/>
      <c r="I215" s="2"/>
      <c r="J215" s="2"/>
      <c r="K215" s="2"/>
      <c r="L215" s="2"/>
      <c r="M215" s="2"/>
      <c r="N215" s="2"/>
      <c r="O215" s="2"/>
      <c r="P215" s="2"/>
      <c r="Q215" s="2"/>
      <c r="R215" s="2"/>
      <c r="S215" s="2"/>
      <c r="T215" s="2"/>
      <c r="U215" s="2"/>
      <c r="V215" s="2"/>
      <c r="W215" s="2"/>
      <c r="X215" s="2"/>
      <c r="Y215" s="2"/>
      <c r="Z215" s="2"/>
    </row>
    <row r="216" customHeight="1" spans="1:26">
      <c r="A216" s="13" t="s">
        <v>836</v>
      </c>
      <c r="B216" s="13" t="s">
        <v>509</v>
      </c>
      <c r="C216" s="13" t="s">
        <v>510</v>
      </c>
      <c r="D216" s="65"/>
      <c r="E216" s="65"/>
      <c r="F216" s="13" t="s">
        <v>511</v>
      </c>
      <c r="G216" s="13" t="s">
        <v>512</v>
      </c>
      <c r="H216" s="2"/>
      <c r="I216" s="2"/>
      <c r="J216" s="2"/>
      <c r="K216" s="2"/>
      <c r="L216" s="2"/>
      <c r="M216" s="2"/>
      <c r="N216" s="2"/>
      <c r="O216" s="2"/>
      <c r="P216" s="2"/>
      <c r="Q216" s="2"/>
      <c r="R216" s="2"/>
      <c r="S216" s="2"/>
      <c r="T216" s="2"/>
      <c r="U216" s="2"/>
      <c r="V216" s="2"/>
      <c r="W216" s="2"/>
      <c r="X216" s="2"/>
      <c r="Y216" s="2"/>
      <c r="Z216" s="2"/>
    </row>
    <row r="217" customHeight="1" spans="1:26">
      <c r="A217" s="13" t="s">
        <v>836</v>
      </c>
      <c r="B217" s="13" t="s">
        <v>538</v>
      </c>
      <c r="C217" s="13" t="s">
        <v>560</v>
      </c>
      <c r="D217" s="65"/>
      <c r="E217" s="65"/>
      <c r="F217" s="13" t="s">
        <v>540</v>
      </c>
      <c r="G217" s="13" t="s">
        <v>541</v>
      </c>
      <c r="H217" s="2"/>
      <c r="I217" s="2"/>
      <c r="J217" s="2"/>
      <c r="K217" s="2"/>
      <c r="L217" s="2"/>
      <c r="M217" s="2"/>
      <c r="N217" s="2"/>
      <c r="O217" s="2"/>
      <c r="P217" s="2"/>
      <c r="Q217" s="2"/>
      <c r="R217" s="2"/>
      <c r="S217" s="2"/>
      <c r="T217" s="2"/>
      <c r="U217" s="2"/>
      <c r="V217" s="2"/>
      <c r="W217" s="2"/>
      <c r="X217" s="2"/>
      <c r="Y217" s="2"/>
      <c r="Z217" s="2"/>
    </row>
    <row r="218" customHeight="1" spans="1:26">
      <c r="A218" s="13" t="s">
        <v>840</v>
      </c>
      <c r="B218" s="164" t="s">
        <v>841</v>
      </c>
      <c r="C218" s="13" t="s">
        <v>842</v>
      </c>
      <c r="D218" s="65">
        <v>650</v>
      </c>
      <c r="E218" s="13" t="s">
        <v>684</v>
      </c>
      <c r="F218" s="13" t="s">
        <v>843</v>
      </c>
      <c r="G218" s="68" t="str">
        <f>HYPERLINK("http://www.momondo.fr/","www.momondo.fr/")</f>
        <v>www.momondo.fr/</v>
      </c>
      <c r="H218" s="2"/>
      <c r="I218" s="2"/>
      <c r="J218" s="2"/>
      <c r="K218" s="2"/>
      <c r="L218" s="2"/>
      <c r="M218" s="2"/>
      <c r="N218" s="2"/>
      <c r="O218" s="2"/>
      <c r="P218" s="2"/>
      <c r="Q218" s="2"/>
      <c r="R218" s="2"/>
      <c r="S218" s="2"/>
      <c r="T218" s="2"/>
      <c r="U218" s="2"/>
      <c r="V218" s="2"/>
      <c r="W218" s="2"/>
      <c r="X218" s="2"/>
      <c r="Y218" s="2"/>
      <c r="Z218" s="2"/>
    </row>
    <row r="219" customHeight="1" spans="1:26">
      <c r="A219" s="13" t="s">
        <v>840</v>
      </c>
      <c r="B219" s="13" t="s">
        <v>844</v>
      </c>
      <c r="C219" s="13" t="s">
        <v>845</v>
      </c>
      <c r="D219" s="65">
        <v>300</v>
      </c>
      <c r="E219" s="13" t="s">
        <v>684</v>
      </c>
      <c r="F219" s="13" t="s">
        <v>846</v>
      </c>
      <c r="G219" s="68" t="str">
        <f>HYPERLINK("http://www.booking.com/","www.booking.com/")</f>
        <v>www.booking.com/</v>
      </c>
      <c r="H219" s="2"/>
      <c r="I219" s="2"/>
      <c r="J219" s="2"/>
      <c r="K219" s="2"/>
      <c r="L219" s="2"/>
      <c r="M219" s="2"/>
      <c r="N219" s="2"/>
      <c r="O219" s="2"/>
      <c r="P219" s="2"/>
      <c r="Q219" s="2"/>
      <c r="R219" s="2"/>
      <c r="S219" s="2"/>
      <c r="T219" s="2"/>
      <c r="U219" s="2"/>
      <c r="V219" s="2"/>
      <c r="W219" s="2"/>
      <c r="X219" s="2"/>
      <c r="Y219" s="2"/>
      <c r="Z219" s="2"/>
    </row>
    <row r="220" customHeight="1" spans="1:26">
      <c r="A220" s="13" t="s">
        <v>840</v>
      </c>
      <c r="B220" s="13" t="s">
        <v>847</v>
      </c>
      <c r="C220" s="13" t="s">
        <v>848</v>
      </c>
      <c r="D220" s="65">
        <v>1200</v>
      </c>
      <c r="E220" s="13" t="s">
        <v>684</v>
      </c>
      <c r="F220" s="13" t="s">
        <v>849</v>
      </c>
      <c r="G220" s="219" t="str">
        <f>HYPERLINK("http://www.clubmed.fr/","www.clubmed.fr/")</f>
        <v>www.clubmed.fr/</v>
      </c>
      <c r="H220" s="2"/>
      <c r="I220" s="2"/>
      <c r="J220" s="2"/>
      <c r="K220" s="2"/>
      <c r="L220" s="2"/>
      <c r="M220" s="2"/>
      <c r="N220" s="2"/>
      <c r="O220" s="2"/>
      <c r="P220" s="2"/>
      <c r="Q220" s="2"/>
      <c r="R220" s="2"/>
      <c r="S220" s="2"/>
      <c r="T220" s="2"/>
      <c r="U220" s="2"/>
      <c r="V220" s="2"/>
      <c r="W220" s="2"/>
      <c r="X220" s="2"/>
      <c r="Y220" s="2"/>
      <c r="Z220" s="2"/>
    </row>
    <row r="221" customHeight="1" spans="1:26">
      <c r="A221" s="13" t="s">
        <v>840</v>
      </c>
      <c r="B221" s="13" t="s">
        <v>850</v>
      </c>
      <c r="C221" s="13" t="s">
        <v>851</v>
      </c>
      <c r="D221" s="65">
        <v>1000</v>
      </c>
      <c r="E221" s="13" t="s">
        <v>707</v>
      </c>
      <c r="F221" s="13" t="s">
        <v>852</v>
      </c>
      <c r="G221" s="68" t="str">
        <f>HYPERLINK("http://www.pierreetvacances.com/","www.pierreetvacances.com/")</f>
        <v>www.pierreetvacances.com/</v>
      </c>
      <c r="H221" s="2"/>
      <c r="I221" s="2"/>
      <c r="J221" s="2"/>
      <c r="K221" s="2"/>
      <c r="L221" s="2"/>
      <c r="M221" s="2"/>
      <c r="N221" s="2"/>
      <c r="O221" s="2"/>
      <c r="P221" s="2"/>
      <c r="Q221" s="2"/>
      <c r="R221" s="2"/>
      <c r="S221" s="2"/>
      <c r="T221" s="2"/>
      <c r="U221" s="2"/>
      <c r="V221" s="2"/>
      <c r="W221" s="2"/>
      <c r="X221" s="2"/>
      <c r="Y221" s="2"/>
      <c r="Z221" s="2"/>
    </row>
    <row r="222" customHeight="1" spans="1:26">
      <c r="A222" s="13" t="s">
        <v>853</v>
      </c>
      <c r="B222" s="164" t="s">
        <v>854</v>
      </c>
      <c r="C222" s="13" t="s">
        <v>855</v>
      </c>
      <c r="D222" s="65">
        <v>40</v>
      </c>
      <c r="E222" s="13" t="s">
        <v>671</v>
      </c>
      <c r="F222" s="13" t="s">
        <v>856</v>
      </c>
      <c r="G222" s="13" t="s">
        <v>857</v>
      </c>
      <c r="H222" s="2"/>
      <c r="I222" s="2"/>
      <c r="J222" s="2"/>
      <c r="K222" s="2"/>
      <c r="L222" s="2"/>
      <c r="M222" s="2"/>
      <c r="N222" s="2"/>
      <c r="O222" s="2"/>
      <c r="P222" s="2"/>
      <c r="Q222" s="2"/>
      <c r="R222" s="2"/>
      <c r="S222" s="2"/>
      <c r="T222" s="2"/>
      <c r="U222" s="2"/>
      <c r="V222" s="2"/>
      <c r="W222" s="2"/>
      <c r="X222" s="2"/>
      <c r="Y222" s="2"/>
      <c r="Z222" s="2"/>
    </row>
    <row r="223" customHeight="1" spans="1:26">
      <c r="A223" s="13" t="s">
        <v>853</v>
      </c>
      <c r="B223" s="13" t="s">
        <v>858</v>
      </c>
      <c r="C223" s="13" t="s">
        <v>855</v>
      </c>
      <c r="D223" s="65">
        <v>40</v>
      </c>
      <c r="E223" s="13" t="s">
        <v>671</v>
      </c>
      <c r="F223" s="13" t="s">
        <v>859</v>
      </c>
      <c r="G223" s="13" t="s">
        <v>860</v>
      </c>
      <c r="H223" s="2"/>
      <c r="I223" s="2"/>
      <c r="J223" s="2"/>
      <c r="K223" s="2"/>
      <c r="L223" s="2"/>
      <c r="M223" s="2"/>
      <c r="N223" s="2"/>
      <c r="O223" s="2"/>
      <c r="P223" s="2"/>
      <c r="Q223" s="2"/>
      <c r="R223" s="2"/>
      <c r="S223" s="2"/>
      <c r="T223" s="2"/>
      <c r="U223" s="2"/>
      <c r="V223" s="2"/>
      <c r="W223" s="2"/>
      <c r="X223" s="2"/>
      <c r="Y223" s="2"/>
      <c r="Z223" s="2"/>
    </row>
    <row r="224" customHeight="1" spans="1:26">
      <c r="A224" s="13" t="s">
        <v>853</v>
      </c>
      <c r="B224" s="13" t="s">
        <v>861</v>
      </c>
      <c r="C224" s="13" t="s">
        <v>855</v>
      </c>
      <c r="D224" s="65">
        <v>40</v>
      </c>
      <c r="E224" s="13" t="s">
        <v>671</v>
      </c>
      <c r="F224" s="13" t="s">
        <v>862</v>
      </c>
      <c r="G224" s="13" t="s">
        <v>863</v>
      </c>
      <c r="H224" s="2"/>
      <c r="I224" s="2"/>
      <c r="J224" s="2"/>
      <c r="K224" s="2"/>
      <c r="L224" s="2"/>
      <c r="M224" s="2"/>
      <c r="N224" s="2"/>
      <c r="O224" s="2"/>
      <c r="P224" s="2"/>
      <c r="Q224" s="2"/>
      <c r="R224" s="2"/>
      <c r="S224" s="2"/>
      <c r="T224" s="2"/>
      <c r="U224" s="2"/>
      <c r="V224" s="2"/>
      <c r="W224" s="2"/>
      <c r="X224" s="2"/>
      <c r="Y224" s="2"/>
      <c r="Z224" s="2"/>
    </row>
    <row r="225" customHeight="1" spans="1:26">
      <c r="A225" s="13" t="s">
        <v>853</v>
      </c>
      <c r="B225" s="13" t="s">
        <v>864</v>
      </c>
      <c r="C225" s="13" t="s">
        <v>855</v>
      </c>
      <c r="D225" s="65">
        <v>40</v>
      </c>
      <c r="E225" s="13" t="s">
        <v>671</v>
      </c>
      <c r="F225" s="13" t="s">
        <v>865</v>
      </c>
      <c r="G225" s="13" t="s">
        <v>866</v>
      </c>
      <c r="H225" s="2"/>
      <c r="I225" s="2"/>
      <c r="J225" s="2"/>
      <c r="K225" s="2"/>
      <c r="L225" s="2"/>
      <c r="M225" s="2"/>
      <c r="N225" s="2"/>
      <c r="O225" s="2"/>
      <c r="P225" s="2"/>
      <c r="Q225" s="2"/>
      <c r="R225" s="2"/>
      <c r="S225" s="2"/>
      <c r="T225" s="2"/>
      <c r="U225" s="2"/>
      <c r="V225" s="2"/>
      <c r="W225" s="2"/>
      <c r="X225" s="2"/>
      <c r="Y225" s="2"/>
      <c r="Z225" s="2"/>
    </row>
    <row r="226" customHeight="1" spans="1:26">
      <c r="A226" s="52" t="s">
        <v>867</v>
      </c>
      <c r="B226" s="52" t="s">
        <v>868</v>
      </c>
      <c r="C226" s="52" t="s">
        <v>869</v>
      </c>
      <c r="D226" s="184">
        <v>350</v>
      </c>
      <c r="E226" s="52" t="s">
        <v>707</v>
      </c>
      <c r="F226" s="52" t="s">
        <v>870</v>
      </c>
      <c r="G226" s="217" t="str">
        <f>HYPERLINK("http://www.reseau.citroen.fr/","www.reseau.citroen.fr/")</f>
        <v>www.reseau.citroen.fr/</v>
      </c>
      <c r="H226" s="2"/>
      <c r="I226" s="2"/>
      <c r="J226" s="2"/>
      <c r="K226" s="2"/>
      <c r="L226" s="2"/>
      <c r="M226" s="2"/>
      <c r="N226" s="2"/>
      <c r="O226" s="2"/>
      <c r="P226" s="2"/>
      <c r="Q226" s="2"/>
      <c r="R226" s="2"/>
      <c r="S226" s="2"/>
      <c r="T226" s="2"/>
      <c r="U226" s="2"/>
      <c r="V226" s="2"/>
      <c r="W226" s="2"/>
      <c r="X226" s="2"/>
      <c r="Y226" s="2"/>
      <c r="Z226" s="2"/>
    </row>
    <row r="227" customHeight="1" spans="1:26">
      <c r="A227" s="52" t="s">
        <v>871</v>
      </c>
      <c r="B227" s="52" t="s">
        <v>872</v>
      </c>
      <c r="C227" s="52" t="s">
        <v>873</v>
      </c>
      <c r="D227" s="184">
        <v>80</v>
      </c>
      <c r="E227" s="52" t="s">
        <v>671</v>
      </c>
      <c r="F227" s="52" t="s">
        <v>874</v>
      </c>
      <c r="G227" s="217" t="str">
        <f>HYPERLINK("http://www.hm.com/","www.hm.com/")</f>
        <v>www.hm.com/</v>
      </c>
      <c r="H227" s="2"/>
      <c r="I227" s="2"/>
      <c r="J227" s="2"/>
      <c r="K227" s="2"/>
      <c r="L227" s="2"/>
      <c r="M227" s="2"/>
      <c r="N227" s="2"/>
      <c r="O227" s="2"/>
      <c r="P227" s="2"/>
      <c r="Q227" s="2"/>
      <c r="R227" s="2"/>
      <c r="S227" s="2"/>
      <c r="T227" s="2"/>
      <c r="U227" s="2"/>
      <c r="V227" s="2"/>
      <c r="W227" s="2"/>
      <c r="X227" s="2"/>
      <c r="Y227" s="2"/>
      <c r="Z227" s="2"/>
    </row>
    <row r="228" ht="13.5" customHeight="1"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8" spans="1:26">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8" spans="1:26">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sheetData>
  <dataValidations count="1">
    <dataValidation type="list" allowBlank="1" showErrorMessage="1" sqref="D143 B131:B142 B145:B148 B155:B156">
      <formula1>ValidLondonCounterpartyNames</formula1>
    </dataValidation>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875</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70" t="s">
        <v>10</v>
      </c>
      <c r="B4" s="63" t="s">
        <v>876</v>
      </c>
      <c r="C4" s="63" t="s">
        <v>12</v>
      </c>
      <c r="D4" s="98"/>
      <c r="E4" s="98"/>
      <c r="F4" s="63" t="s">
        <v>877</v>
      </c>
      <c r="G4" s="63" t="s">
        <v>878</v>
      </c>
      <c r="H4" s="2"/>
      <c r="I4" s="2"/>
      <c r="J4" s="2"/>
      <c r="K4" s="2"/>
      <c r="L4" s="2"/>
      <c r="M4" s="2"/>
      <c r="N4" s="2"/>
      <c r="O4" s="2"/>
      <c r="P4" s="2"/>
      <c r="Q4" s="2"/>
      <c r="R4" s="2"/>
      <c r="S4" s="2"/>
      <c r="T4" s="2"/>
      <c r="U4" s="2"/>
      <c r="V4" s="2"/>
      <c r="W4" s="2"/>
      <c r="X4" s="2"/>
      <c r="Y4" s="2"/>
      <c r="Z4" s="2"/>
    </row>
    <row r="5" customHeight="1" spans="1:26">
      <c r="A5" s="52" t="s">
        <v>15</v>
      </c>
      <c r="B5" s="62" t="s">
        <v>16</v>
      </c>
      <c r="C5" s="13" t="s">
        <v>12</v>
      </c>
      <c r="D5" s="57"/>
      <c r="E5" s="57"/>
      <c r="F5" s="13" t="s">
        <v>17</v>
      </c>
      <c r="G5" s="13" t="s">
        <v>879</v>
      </c>
      <c r="H5" s="2"/>
      <c r="I5" s="2"/>
      <c r="J5" s="2"/>
      <c r="K5" s="2"/>
      <c r="L5" s="2"/>
      <c r="M5" s="2"/>
      <c r="N5" s="2"/>
      <c r="O5" s="2"/>
      <c r="P5" s="2"/>
      <c r="Q5" s="2"/>
      <c r="R5" s="2"/>
      <c r="S5" s="2"/>
      <c r="T5" s="2"/>
      <c r="U5" s="2"/>
      <c r="V5" s="2"/>
      <c r="W5" s="2"/>
      <c r="X5" s="2"/>
      <c r="Y5" s="2"/>
      <c r="Z5" s="2"/>
    </row>
    <row r="6" customHeight="1" spans="1:26">
      <c r="A6" s="63" t="s">
        <v>18</v>
      </c>
      <c r="B6" s="13" t="s">
        <v>880</v>
      </c>
      <c r="C6" s="13" t="s">
        <v>20</v>
      </c>
      <c r="D6" s="14">
        <v>340</v>
      </c>
      <c r="E6" s="13" t="s">
        <v>21</v>
      </c>
      <c r="F6" s="13" t="s">
        <v>881</v>
      </c>
      <c r="G6" s="13" t="s">
        <v>882</v>
      </c>
      <c r="H6" s="2"/>
      <c r="I6" s="2"/>
      <c r="J6" s="2"/>
      <c r="K6" s="2"/>
      <c r="L6" s="2"/>
      <c r="M6" s="2"/>
      <c r="N6" s="2"/>
      <c r="O6" s="2"/>
      <c r="P6" s="2"/>
      <c r="Q6" s="2"/>
      <c r="R6" s="2"/>
      <c r="S6" s="2"/>
      <c r="T6" s="2"/>
      <c r="U6" s="2"/>
      <c r="V6" s="2"/>
      <c r="W6" s="2"/>
      <c r="X6" s="2"/>
      <c r="Y6" s="2"/>
      <c r="Z6" s="2"/>
    </row>
    <row r="7" customHeight="1" spans="1:26">
      <c r="A7" s="13" t="s">
        <v>24</v>
      </c>
      <c r="B7" s="13" t="s">
        <v>883</v>
      </c>
      <c r="C7" s="13" t="s">
        <v>883</v>
      </c>
      <c r="D7" s="14">
        <v>85</v>
      </c>
      <c r="E7" s="13" t="s">
        <v>21</v>
      </c>
      <c r="F7" s="13" t="s">
        <v>884</v>
      </c>
      <c r="G7" s="13" t="s">
        <v>885</v>
      </c>
      <c r="H7" s="2"/>
      <c r="I7" s="2"/>
      <c r="J7" s="2"/>
      <c r="K7" s="2"/>
      <c r="L7" s="2"/>
      <c r="M7" s="2"/>
      <c r="N7" s="2"/>
      <c r="O7" s="2"/>
      <c r="P7" s="2"/>
      <c r="Q7" s="2"/>
      <c r="R7" s="2"/>
      <c r="S7" s="2"/>
      <c r="T7" s="2"/>
      <c r="U7" s="2"/>
      <c r="V7" s="2"/>
      <c r="W7" s="2"/>
      <c r="X7" s="2"/>
      <c r="Y7" s="2"/>
      <c r="Z7" s="2"/>
    </row>
    <row r="8" customHeight="1" spans="1:26">
      <c r="A8" s="64" t="s">
        <v>29</v>
      </c>
      <c r="B8" s="13" t="s">
        <v>886</v>
      </c>
      <c r="C8" s="13" t="s">
        <v>31</v>
      </c>
      <c r="D8" s="65">
        <v>30</v>
      </c>
      <c r="E8" s="13" t="s">
        <v>32</v>
      </c>
      <c r="F8" s="13" t="s">
        <v>887</v>
      </c>
      <c r="G8" s="13" t="s">
        <v>888</v>
      </c>
      <c r="H8" s="2"/>
      <c r="I8" s="2"/>
      <c r="J8" s="2"/>
      <c r="K8" s="2"/>
      <c r="L8" s="2"/>
      <c r="M8" s="2"/>
      <c r="N8" s="2"/>
      <c r="O8" s="2"/>
      <c r="P8" s="2"/>
      <c r="Q8" s="2"/>
      <c r="R8" s="2"/>
      <c r="S8" s="2"/>
      <c r="T8" s="2"/>
      <c r="U8" s="2"/>
      <c r="V8" s="2"/>
      <c r="W8" s="2"/>
      <c r="X8" s="2"/>
      <c r="Y8" s="2"/>
      <c r="Z8" s="2"/>
    </row>
    <row r="9" customHeight="1" spans="1:26">
      <c r="A9" s="64" t="s">
        <v>35</v>
      </c>
      <c r="B9" s="13" t="s">
        <v>889</v>
      </c>
      <c r="C9" s="13" t="s">
        <v>31</v>
      </c>
      <c r="D9" s="65">
        <v>30</v>
      </c>
      <c r="E9" s="13" t="s">
        <v>37</v>
      </c>
      <c r="F9" s="13" t="s">
        <v>890</v>
      </c>
      <c r="G9" s="13" t="s">
        <v>891</v>
      </c>
      <c r="H9" s="2"/>
      <c r="I9" s="2"/>
      <c r="J9" s="2"/>
      <c r="K9" s="2"/>
      <c r="L9" s="2"/>
      <c r="M9" s="2"/>
      <c r="N9" s="2"/>
      <c r="O9" s="2"/>
      <c r="P9" s="2"/>
      <c r="Q9" s="2"/>
      <c r="R9" s="2"/>
      <c r="S9" s="2"/>
      <c r="T9" s="2"/>
      <c r="U9" s="2"/>
      <c r="V9" s="2"/>
      <c r="W9" s="2"/>
      <c r="X9" s="2"/>
      <c r="Y9" s="2"/>
      <c r="Z9" s="2"/>
    </row>
    <row r="10" customHeight="1" spans="1:26">
      <c r="A10" s="64" t="s">
        <v>40</v>
      </c>
      <c r="B10" s="13" t="s">
        <v>41</v>
      </c>
      <c r="C10" s="13" t="s">
        <v>41</v>
      </c>
      <c r="D10" s="65">
        <v>106</v>
      </c>
      <c r="E10" s="13" t="s">
        <v>21</v>
      </c>
      <c r="F10" s="13" t="s">
        <v>42</v>
      </c>
      <c r="G10" s="13" t="s">
        <v>892</v>
      </c>
      <c r="H10" s="2"/>
      <c r="I10" s="2"/>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13" t="s">
        <v>894</v>
      </c>
      <c r="H11" s="2"/>
      <c r="I11" s="2"/>
      <c r="J11" s="2"/>
      <c r="K11" s="2"/>
      <c r="L11" s="2"/>
      <c r="M11" s="2"/>
      <c r="N11" s="2"/>
      <c r="O11" s="2"/>
      <c r="P11" s="2"/>
      <c r="Q11" s="2"/>
      <c r="R11" s="2"/>
      <c r="S11" s="2"/>
      <c r="T11" s="2"/>
      <c r="U11" s="2"/>
      <c r="V11" s="2"/>
      <c r="W11" s="2"/>
      <c r="X11" s="2"/>
      <c r="Y11" s="2"/>
      <c r="Z11" s="2"/>
    </row>
    <row r="12" customHeight="1" spans="1:26">
      <c r="A12" s="13" t="s">
        <v>49</v>
      </c>
      <c r="B12" s="13" t="s">
        <v>895</v>
      </c>
      <c r="C12" s="13" t="s">
        <v>896</v>
      </c>
      <c r="D12" s="57"/>
      <c r="E12" s="57"/>
      <c r="F12" s="13" t="s">
        <v>897</v>
      </c>
      <c r="G12" s="13" t="s">
        <v>898</v>
      </c>
      <c r="H12" s="2"/>
      <c r="I12" s="2"/>
      <c r="J12" s="2"/>
      <c r="K12" s="2"/>
      <c r="L12" s="2"/>
      <c r="M12" s="2"/>
      <c r="N12" s="2"/>
      <c r="O12" s="2"/>
      <c r="P12" s="2"/>
      <c r="Q12" s="2"/>
      <c r="R12" s="2"/>
      <c r="S12" s="2"/>
      <c r="T12" s="2"/>
      <c r="U12" s="2"/>
      <c r="V12" s="2"/>
      <c r="W12" s="2"/>
      <c r="X12" s="2"/>
      <c r="Y12" s="2"/>
      <c r="Z12" s="2"/>
    </row>
    <row r="13" customHeight="1" spans="1:26">
      <c r="A13" s="13" t="s">
        <v>54</v>
      </c>
      <c r="B13" s="13" t="s">
        <v>899</v>
      </c>
      <c r="C13" s="13" t="s">
        <v>56</v>
      </c>
      <c r="D13" s="57"/>
      <c r="E13" s="57"/>
      <c r="F13" s="13" t="s">
        <v>900</v>
      </c>
      <c r="G13" s="13" t="s">
        <v>901</v>
      </c>
      <c r="H13" s="2"/>
      <c r="I13" s="2"/>
      <c r="J13" s="2"/>
      <c r="K13" s="2"/>
      <c r="L13" s="2"/>
      <c r="M13" s="2"/>
      <c r="N13" s="2"/>
      <c r="O13" s="2"/>
      <c r="P13" s="2"/>
      <c r="Q13" s="2"/>
      <c r="R13" s="2"/>
      <c r="S13" s="2"/>
      <c r="T13" s="2"/>
      <c r="U13" s="2"/>
      <c r="V13" s="2"/>
      <c r="W13" s="2"/>
      <c r="X13" s="2"/>
      <c r="Y13" s="2"/>
      <c r="Z13" s="2"/>
    </row>
    <row r="14" customHeight="1" spans="1:26">
      <c r="A14" s="64" t="s">
        <v>59</v>
      </c>
      <c r="B14" s="13" t="s">
        <v>902</v>
      </c>
      <c r="C14" s="13" t="s">
        <v>61</v>
      </c>
      <c r="D14" s="65">
        <v>13</v>
      </c>
      <c r="E14" s="13" t="s">
        <v>37</v>
      </c>
      <c r="F14" s="13" t="s">
        <v>903</v>
      </c>
      <c r="G14" s="13" t="s">
        <v>904</v>
      </c>
      <c r="H14" s="2"/>
      <c r="I14" s="2"/>
      <c r="J14" s="2"/>
      <c r="K14" s="2"/>
      <c r="L14" s="2"/>
      <c r="M14" s="2"/>
      <c r="N14" s="2"/>
      <c r="O14" s="2"/>
      <c r="P14" s="2"/>
      <c r="Q14" s="2"/>
      <c r="R14" s="2"/>
      <c r="S14" s="2"/>
      <c r="T14" s="2"/>
      <c r="U14" s="2"/>
      <c r="V14" s="2"/>
      <c r="W14" s="2"/>
      <c r="X14" s="2"/>
      <c r="Y14" s="2"/>
      <c r="Z14" s="2"/>
    </row>
    <row r="15" customHeight="1" spans="1:26">
      <c r="A15" s="64" t="s">
        <v>64</v>
      </c>
      <c r="B15" s="13" t="s">
        <v>905</v>
      </c>
      <c r="C15" s="13" t="s">
        <v>66</v>
      </c>
      <c r="D15" s="65">
        <v>13</v>
      </c>
      <c r="E15" s="13" t="s">
        <v>32</v>
      </c>
      <c r="F15" s="13" t="s">
        <v>906</v>
      </c>
      <c r="G15" s="13" t="s">
        <v>907</v>
      </c>
      <c r="H15" s="2"/>
      <c r="I15" s="2"/>
      <c r="J15" s="2"/>
      <c r="K15" s="2"/>
      <c r="L15" s="2"/>
      <c r="M15" s="2"/>
      <c r="N15" s="2"/>
      <c r="O15" s="2"/>
      <c r="P15" s="2"/>
      <c r="Q15" s="2"/>
      <c r="R15" s="2"/>
      <c r="S15" s="2"/>
      <c r="T15" s="2"/>
      <c r="U15" s="2"/>
      <c r="V15" s="2"/>
      <c r="W15" s="2"/>
      <c r="X15" s="2"/>
      <c r="Y15" s="2"/>
      <c r="Z15" s="2"/>
    </row>
    <row r="16" customHeight="1" spans="1:26">
      <c r="A16" s="64" t="s">
        <v>69</v>
      </c>
      <c r="B16" s="13" t="s">
        <v>908</v>
      </c>
      <c r="C16" s="13" t="s">
        <v>66</v>
      </c>
      <c r="D16" s="65">
        <v>12</v>
      </c>
      <c r="E16" s="13" t="s">
        <v>71</v>
      </c>
      <c r="F16" s="13" t="s">
        <v>909</v>
      </c>
      <c r="G16" s="13" t="s">
        <v>910</v>
      </c>
      <c r="H16" s="2"/>
      <c r="I16" s="2"/>
      <c r="J16" s="2"/>
      <c r="K16" s="2"/>
      <c r="L16" s="2"/>
      <c r="M16" s="2"/>
      <c r="N16" s="2"/>
      <c r="O16" s="2"/>
      <c r="P16" s="2"/>
      <c r="Q16" s="2"/>
      <c r="R16" s="2"/>
      <c r="S16" s="2"/>
      <c r="T16" s="2"/>
      <c r="U16" s="2"/>
      <c r="V16" s="2"/>
      <c r="W16" s="2"/>
      <c r="X16" s="2"/>
      <c r="Y16" s="2"/>
      <c r="Z16" s="2"/>
    </row>
    <row r="17" customHeight="1" spans="1:26">
      <c r="A17" s="13" t="s">
        <v>74</v>
      </c>
      <c r="B17" s="13" t="s">
        <v>911</v>
      </c>
      <c r="C17" s="13" t="s">
        <v>76</v>
      </c>
      <c r="D17" s="57"/>
      <c r="E17" s="57"/>
      <c r="F17" s="13" t="s">
        <v>912</v>
      </c>
      <c r="G17" s="13" t="s">
        <v>913</v>
      </c>
      <c r="H17" s="2"/>
      <c r="I17" s="2"/>
      <c r="J17" s="2"/>
      <c r="K17" s="2"/>
      <c r="L17" s="2"/>
      <c r="M17" s="2"/>
      <c r="N17" s="2"/>
      <c r="O17" s="2"/>
      <c r="P17" s="2"/>
      <c r="Q17" s="2"/>
      <c r="R17" s="2"/>
      <c r="S17" s="2"/>
      <c r="T17" s="2"/>
      <c r="U17" s="2"/>
      <c r="V17" s="2"/>
      <c r="W17" s="2"/>
      <c r="X17" s="2"/>
      <c r="Y17" s="2"/>
      <c r="Z17" s="2"/>
    </row>
    <row r="18" customHeight="1" spans="1:26">
      <c r="A18" s="64" t="s">
        <v>79</v>
      </c>
      <c r="B18" s="13" t="s">
        <v>914</v>
      </c>
      <c r="C18" s="13" t="s">
        <v>915</v>
      </c>
      <c r="D18" s="65">
        <v>30</v>
      </c>
      <c r="E18" s="13" t="s">
        <v>37</v>
      </c>
      <c r="F18" s="13" t="s">
        <v>916</v>
      </c>
      <c r="G18" s="13" t="s">
        <v>917</v>
      </c>
      <c r="H18" s="2"/>
      <c r="I18" s="2"/>
      <c r="J18" s="2"/>
      <c r="K18" s="2"/>
      <c r="L18" s="2"/>
      <c r="M18" s="2"/>
      <c r="N18" s="2"/>
      <c r="O18" s="2"/>
      <c r="P18" s="2"/>
      <c r="Q18" s="2"/>
      <c r="R18" s="2"/>
      <c r="S18" s="2"/>
      <c r="T18" s="2"/>
      <c r="U18" s="2"/>
      <c r="V18" s="2"/>
      <c r="W18" s="2"/>
      <c r="X18" s="2"/>
      <c r="Y18" s="2"/>
      <c r="Z18" s="2"/>
    </row>
    <row r="19" customHeight="1" spans="1:26">
      <c r="A19" s="13" t="s">
        <v>84</v>
      </c>
      <c r="B19" s="13" t="s">
        <v>918</v>
      </c>
      <c r="C19" s="13" t="s">
        <v>86</v>
      </c>
      <c r="D19" s="14">
        <v>134</v>
      </c>
      <c r="E19" s="13" t="s">
        <v>21</v>
      </c>
      <c r="F19" s="13" t="s">
        <v>919</v>
      </c>
      <c r="G19" s="13" t="s">
        <v>920</v>
      </c>
      <c r="H19" s="2"/>
      <c r="I19" s="2"/>
      <c r="J19" s="2"/>
      <c r="K19" s="2"/>
      <c r="L19" s="2"/>
      <c r="M19" s="2"/>
      <c r="N19" s="2"/>
      <c r="O19" s="2"/>
      <c r="P19" s="2"/>
      <c r="Q19" s="2"/>
      <c r="R19" s="2"/>
      <c r="S19" s="2"/>
      <c r="T19" s="2"/>
      <c r="U19" s="2"/>
      <c r="V19" s="2"/>
      <c r="W19" s="2"/>
      <c r="X19" s="2"/>
      <c r="Y19" s="2"/>
      <c r="Z19" s="2"/>
    </row>
    <row r="20" customHeight="1" spans="1:26">
      <c r="A20" s="13" t="s">
        <v>89</v>
      </c>
      <c r="B20" s="13" t="s">
        <v>921</v>
      </c>
      <c r="C20" s="13" t="s">
        <v>91</v>
      </c>
      <c r="D20" s="57"/>
      <c r="E20" s="57"/>
      <c r="F20" s="13" t="s">
        <v>922</v>
      </c>
      <c r="G20" s="13" t="s">
        <v>923</v>
      </c>
      <c r="H20" s="2"/>
      <c r="I20" s="2"/>
      <c r="J20" s="2"/>
      <c r="K20" s="2"/>
      <c r="L20" s="2"/>
      <c r="M20" s="2"/>
      <c r="N20" s="2"/>
      <c r="O20" s="2"/>
      <c r="P20" s="2"/>
      <c r="Q20" s="2"/>
      <c r="R20" s="2"/>
      <c r="S20" s="2"/>
      <c r="T20" s="2"/>
      <c r="U20" s="2"/>
      <c r="V20" s="2"/>
      <c r="W20" s="2"/>
      <c r="X20" s="2"/>
      <c r="Y20" s="2"/>
      <c r="Z20" s="2"/>
    </row>
    <row r="21" customHeight="1" spans="1:26">
      <c r="A21" s="64" t="s">
        <v>94</v>
      </c>
      <c r="B21" s="13" t="s">
        <v>924</v>
      </c>
      <c r="C21" s="13" t="s">
        <v>925</v>
      </c>
      <c r="D21" s="65">
        <v>60</v>
      </c>
      <c r="E21" s="13" t="s">
        <v>71</v>
      </c>
      <c r="F21" s="13" t="s">
        <v>926</v>
      </c>
      <c r="G21" s="13" t="s">
        <v>927</v>
      </c>
      <c r="H21" s="2"/>
      <c r="I21" s="2"/>
      <c r="J21" s="2"/>
      <c r="K21" s="2"/>
      <c r="L21" s="2"/>
      <c r="M21" s="2"/>
      <c r="N21" s="2"/>
      <c r="O21" s="2"/>
      <c r="P21" s="2"/>
      <c r="Q21" s="2"/>
      <c r="R21" s="2"/>
      <c r="S21" s="2"/>
      <c r="T21" s="2"/>
      <c r="U21" s="2"/>
      <c r="V21" s="2"/>
      <c r="W21" s="2"/>
      <c r="X21" s="2"/>
      <c r="Y21" s="2"/>
      <c r="Z21" s="2"/>
    </row>
    <row r="22" customHeight="1" spans="1:26">
      <c r="A22" s="64" t="s">
        <v>99</v>
      </c>
      <c r="B22" s="13" t="s">
        <v>928</v>
      </c>
      <c r="C22" s="13" t="s">
        <v>925</v>
      </c>
      <c r="D22" s="65">
        <v>70</v>
      </c>
      <c r="E22" s="13" t="s">
        <v>32</v>
      </c>
      <c r="F22" s="13" t="s">
        <v>929</v>
      </c>
      <c r="G22" s="13" t="s">
        <v>930</v>
      </c>
      <c r="H22" s="2"/>
      <c r="I22" s="2"/>
      <c r="J22" s="2"/>
      <c r="K22" s="2"/>
      <c r="L22" s="2"/>
      <c r="M22" s="2"/>
      <c r="N22" s="2"/>
      <c r="O22" s="2"/>
      <c r="P22" s="2"/>
      <c r="Q22" s="2"/>
      <c r="R22" s="2"/>
      <c r="S22" s="2"/>
      <c r="T22" s="2"/>
      <c r="U22" s="2"/>
      <c r="V22" s="2"/>
      <c r="W22" s="2"/>
      <c r="X22" s="2"/>
      <c r="Y22" s="2"/>
      <c r="Z22" s="2"/>
    </row>
    <row r="23" customHeight="1" spans="1:26">
      <c r="A23" s="64" t="s">
        <v>102</v>
      </c>
      <c r="B23" s="13" t="s">
        <v>16</v>
      </c>
      <c r="C23" s="13" t="s">
        <v>108</v>
      </c>
      <c r="D23" s="65">
        <v>123</v>
      </c>
      <c r="E23" s="13" t="s">
        <v>21</v>
      </c>
      <c r="F23" s="13" t="s">
        <v>109</v>
      </c>
      <c r="G23" s="68" t="str">
        <f>HYPERLINK("http://www.easyjet.com/it/","http://www.easyjet.com/it/")</f>
        <v>http://www.easyjet.com/it/</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933</v>
      </c>
      <c r="H24" s="2"/>
      <c r="I24" s="2"/>
      <c r="J24" s="2"/>
      <c r="K24" s="2"/>
      <c r="L24" s="2"/>
      <c r="M24" s="2"/>
      <c r="N24" s="2"/>
      <c r="O24" s="2"/>
      <c r="P24" s="2"/>
      <c r="Q24" s="2"/>
      <c r="R24" s="2"/>
      <c r="S24" s="2"/>
      <c r="T24" s="2"/>
      <c r="U24" s="2"/>
      <c r="V24" s="2"/>
      <c r="W24" s="2"/>
      <c r="X24" s="2"/>
      <c r="Y24" s="2"/>
      <c r="Z24" s="2"/>
    </row>
    <row r="25" customHeight="1" spans="1:26">
      <c r="A25" s="13" t="s">
        <v>110</v>
      </c>
      <c r="B25" s="13" t="s">
        <v>934</v>
      </c>
      <c r="C25" s="13" t="s">
        <v>112</v>
      </c>
      <c r="D25" s="57"/>
      <c r="E25" s="57"/>
      <c r="F25" s="13" t="s">
        <v>935</v>
      </c>
      <c r="G25" s="13" t="s">
        <v>936</v>
      </c>
      <c r="H25" s="2"/>
      <c r="I25" s="2"/>
      <c r="J25" s="2"/>
      <c r="K25" s="2"/>
      <c r="L25" s="2"/>
      <c r="M25" s="2"/>
      <c r="N25" s="2"/>
      <c r="O25" s="2"/>
      <c r="P25" s="2"/>
      <c r="Q25" s="2"/>
      <c r="R25" s="2"/>
      <c r="S25" s="2"/>
      <c r="T25" s="2"/>
      <c r="U25" s="2"/>
      <c r="V25" s="2"/>
      <c r="W25" s="2"/>
      <c r="X25" s="2"/>
      <c r="Y25" s="2"/>
      <c r="Z25" s="2"/>
    </row>
    <row r="26" customHeight="1" spans="1:26">
      <c r="A26" s="13" t="s">
        <v>115</v>
      </c>
      <c r="B26" s="13" t="s">
        <v>937</v>
      </c>
      <c r="C26" s="13" t="s">
        <v>117</v>
      </c>
      <c r="D26" s="65">
        <v>90</v>
      </c>
      <c r="E26" s="13" t="s">
        <v>32</v>
      </c>
      <c r="F26" s="13" t="s">
        <v>938</v>
      </c>
      <c r="G26" s="13" t="s">
        <v>939</v>
      </c>
      <c r="H26" s="2"/>
      <c r="I26" s="2"/>
      <c r="J26" s="2"/>
      <c r="K26" s="2"/>
      <c r="L26" s="2"/>
      <c r="M26" s="2"/>
      <c r="N26" s="2"/>
      <c r="O26" s="2"/>
      <c r="P26" s="2"/>
      <c r="Q26" s="2"/>
      <c r="R26" s="2"/>
      <c r="S26" s="2"/>
      <c r="T26" s="2"/>
      <c r="U26" s="2"/>
      <c r="V26" s="2"/>
      <c r="W26" s="2"/>
      <c r="X26" s="2"/>
      <c r="Y26" s="2"/>
      <c r="Z26" s="2"/>
    </row>
    <row r="27" customHeight="1" spans="1:26">
      <c r="A27" s="64" t="s">
        <v>120</v>
      </c>
      <c r="B27" s="13" t="s">
        <v>121</v>
      </c>
      <c r="C27" s="13" t="s">
        <v>117</v>
      </c>
      <c r="D27" s="65">
        <v>60</v>
      </c>
      <c r="E27" s="13" t="s">
        <v>37</v>
      </c>
      <c r="F27" s="13" t="s">
        <v>940</v>
      </c>
      <c r="G27" s="13" t="s">
        <v>941</v>
      </c>
      <c r="H27" s="2"/>
      <c r="I27" s="2"/>
      <c r="J27" s="2"/>
      <c r="K27" s="2"/>
      <c r="L27" s="2"/>
      <c r="M27" s="2"/>
      <c r="N27" s="2"/>
      <c r="O27" s="2"/>
      <c r="P27" s="2"/>
      <c r="Q27" s="2"/>
      <c r="R27" s="2"/>
      <c r="S27" s="2"/>
      <c r="T27" s="2"/>
      <c r="U27" s="2"/>
      <c r="V27" s="2"/>
      <c r="W27" s="2"/>
      <c r="X27" s="2"/>
      <c r="Y27" s="2"/>
      <c r="Z27" s="2"/>
    </row>
    <row r="28" customHeight="1" spans="1:26">
      <c r="A28" s="13" t="s">
        <v>123</v>
      </c>
      <c r="B28" s="13" t="s">
        <v>942</v>
      </c>
      <c r="C28" s="13" t="s">
        <v>117</v>
      </c>
      <c r="D28" s="65">
        <v>80</v>
      </c>
      <c r="E28" s="13" t="s">
        <v>245</v>
      </c>
      <c r="F28" s="13" t="s">
        <v>943</v>
      </c>
      <c r="G28" s="13" t="s">
        <v>944</v>
      </c>
      <c r="H28" s="2"/>
      <c r="I28" s="2"/>
      <c r="J28" s="2"/>
      <c r="K28" s="2"/>
      <c r="L28" s="2"/>
      <c r="M28" s="2"/>
      <c r="N28" s="2"/>
      <c r="O28" s="2"/>
      <c r="P28" s="2"/>
      <c r="Q28" s="2"/>
      <c r="R28" s="2"/>
      <c r="S28" s="2"/>
      <c r="T28" s="2"/>
      <c r="U28" s="2"/>
      <c r="V28" s="2"/>
      <c r="W28" s="2"/>
      <c r="X28" s="2"/>
      <c r="Y28" s="2"/>
      <c r="Z28" s="2"/>
    </row>
    <row r="29" customHeight="1" spans="1:26">
      <c r="A29" s="64" t="s">
        <v>127</v>
      </c>
      <c r="B29" s="13" t="s">
        <v>945</v>
      </c>
      <c r="C29" s="13" t="s">
        <v>117</v>
      </c>
      <c r="D29" s="65">
        <v>50</v>
      </c>
      <c r="E29" s="13" t="s">
        <v>37</v>
      </c>
      <c r="F29" s="13" t="s">
        <v>946</v>
      </c>
      <c r="G29" s="13" t="s">
        <v>947</v>
      </c>
      <c r="H29" s="2"/>
      <c r="I29" s="2"/>
      <c r="J29" s="2"/>
      <c r="K29" s="2"/>
      <c r="L29" s="2"/>
      <c r="M29" s="2"/>
      <c r="N29" s="2"/>
      <c r="O29" s="2"/>
      <c r="P29" s="2"/>
      <c r="Q29" s="2"/>
      <c r="R29" s="2"/>
      <c r="S29" s="2"/>
      <c r="T29" s="2"/>
      <c r="U29" s="2"/>
      <c r="V29" s="2"/>
      <c r="W29" s="2"/>
      <c r="X29" s="2"/>
      <c r="Y29" s="2"/>
      <c r="Z29" s="2"/>
    </row>
    <row r="30" customHeight="1" spans="1:26">
      <c r="A30" s="64" t="s">
        <v>131</v>
      </c>
      <c r="B30" s="13" t="s">
        <v>948</v>
      </c>
      <c r="C30" s="13" t="s">
        <v>117</v>
      </c>
      <c r="D30" s="65">
        <v>50</v>
      </c>
      <c r="E30" s="13" t="s">
        <v>32</v>
      </c>
      <c r="F30" s="13" t="s">
        <v>949</v>
      </c>
      <c r="G30" s="13" t="s">
        <v>950</v>
      </c>
      <c r="H30" s="2"/>
      <c r="I30" s="2"/>
      <c r="J30" s="2"/>
      <c r="K30" s="2"/>
      <c r="L30" s="2"/>
      <c r="M30" s="2"/>
      <c r="N30" s="2"/>
      <c r="O30" s="2"/>
      <c r="P30" s="2"/>
      <c r="Q30" s="2"/>
      <c r="R30" s="2"/>
      <c r="S30" s="2"/>
      <c r="T30" s="2"/>
      <c r="U30" s="2"/>
      <c r="V30" s="2"/>
      <c r="W30" s="2"/>
      <c r="X30" s="2"/>
      <c r="Y30" s="2"/>
      <c r="Z30" s="2"/>
    </row>
    <row r="31" customHeight="1" spans="1:26">
      <c r="A31" s="64" t="s">
        <v>135</v>
      </c>
      <c r="B31" s="13" t="s">
        <v>951</v>
      </c>
      <c r="C31" s="13" t="s">
        <v>117</v>
      </c>
      <c r="D31" s="65">
        <v>30</v>
      </c>
      <c r="E31" s="13" t="s">
        <v>32</v>
      </c>
      <c r="F31" s="13" t="s">
        <v>952</v>
      </c>
      <c r="G31" s="13" t="s">
        <v>953</v>
      </c>
      <c r="H31" s="2"/>
      <c r="I31" s="2"/>
      <c r="J31" s="2"/>
      <c r="K31" s="2"/>
      <c r="L31" s="2"/>
      <c r="M31" s="2"/>
      <c r="N31" s="2"/>
      <c r="O31" s="2"/>
      <c r="P31" s="2"/>
      <c r="Q31" s="2"/>
      <c r="R31" s="2"/>
      <c r="S31" s="2"/>
      <c r="T31" s="2"/>
      <c r="U31" s="2"/>
      <c r="V31" s="2"/>
      <c r="W31" s="2"/>
      <c r="X31" s="2"/>
      <c r="Y31" s="2"/>
      <c r="Z31" s="2"/>
    </row>
    <row r="32" ht="16.5" customHeight="1" spans="1:26">
      <c r="A32" s="13" t="s">
        <v>139</v>
      </c>
      <c r="B32" s="13" t="s">
        <v>954</v>
      </c>
      <c r="C32" s="13" t="s">
        <v>141</v>
      </c>
      <c r="D32" s="14">
        <v>55</v>
      </c>
      <c r="E32" s="13" t="s">
        <v>37</v>
      </c>
      <c r="F32" s="13" t="s">
        <v>955</v>
      </c>
      <c r="G32" s="13" t="s">
        <v>956</v>
      </c>
      <c r="H32" s="2"/>
      <c r="I32" s="2"/>
      <c r="J32" s="2"/>
      <c r="K32" s="2"/>
      <c r="L32" s="2"/>
      <c r="M32" s="2"/>
      <c r="N32" s="2"/>
      <c r="O32" s="2"/>
      <c r="P32" s="2"/>
      <c r="Q32" s="2"/>
      <c r="R32" s="2"/>
      <c r="S32" s="2"/>
      <c r="T32" s="2"/>
      <c r="U32" s="2"/>
      <c r="V32" s="2"/>
      <c r="W32" s="2"/>
      <c r="X32" s="2"/>
      <c r="Y32" s="2"/>
      <c r="Z32" s="2"/>
    </row>
    <row r="33" customHeight="1" spans="1:26">
      <c r="A33" s="13" t="s">
        <v>144</v>
      </c>
      <c r="B33" s="13" t="s">
        <v>957</v>
      </c>
      <c r="C33" s="13" t="s">
        <v>146</v>
      </c>
      <c r="D33" s="57"/>
      <c r="E33" s="57"/>
      <c r="F33" s="13" t="s">
        <v>958</v>
      </c>
      <c r="G33" s="13" t="s">
        <v>959</v>
      </c>
      <c r="H33" s="2"/>
      <c r="I33" s="2"/>
      <c r="J33" s="2"/>
      <c r="K33" s="2"/>
      <c r="L33" s="2"/>
      <c r="M33" s="2"/>
      <c r="N33" s="2"/>
      <c r="O33" s="2"/>
      <c r="P33" s="2"/>
      <c r="Q33" s="2"/>
      <c r="R33" s="2"/>
      <c r="S33" s="2"/>
      <c r="T33" s="2"/>
      <c r="U33" s="2"/>
      <c r="V33" s="2"/>
      <c r="W33" s="2"/>
      <c r="X33" s="2"/>
      <c r="Y33" s="2"/>
      <c r="Z33" s="2"/>
    </row>
    <row r="34" customHeight="1" spans="1:26">
      <c r="A34" s="13" t="s">
        <v>149</v>
      </c>
      <c r="B34" s="13" t="s">
        <v>960</v>
      </c>
      <c r="C34" s="13" t="s">
        <v>151</v>
      </c>
      <c r="D34" s="57"/>
      <c r="E34" s="57"/>
      <c r="F34" s="13" t="s">
        <v>961</v>
      </c>
      <c r="G34" s="13" t="s">
        <v>962</v>
      </c>
      <c r="H34" s="2"/>
      <c r="I34" s="2"/>
      <c r="J34" s="2"/>
      <c r="K34" s="2"/>
      <c r="L34" s="2"/>
      <c r="M34" s="2"/>
      <c r="N34" s="2"/>
      <c r="O34" s="2"/>
      <c r="P34" s="2"/>
      <c r="Q34" s="2"/>
      <c r="R34" s="2"/>
      <c r="S34" s="2"/>
      <c r="T34" s="2"/>
      <c r="U34" s="2"/>
      <c r="V34" s="2"/>
      <c r="W34" s="2"/>
      <c r="X34" s="2"/>
      <c r="Y34" s="2"/>
      <c r="Z34" s="2"/>
    </row>
    <row r="35" customHeight="1" spans="1:26">
      <c r="A35" s="64" t="s">
        <v>154</v>
      </c>
      <c r="B35" s="13" t="s">
        <v>963</v>
      </c>
      <c r="C35" s="13" t="s">
        <v>156</v>
      </c>
      <c r="D35" s="65">
        <v>30</v>
      </c>
      <c r="E35" s="13" t="s">
        <v>37</v>
      </c>
      <c r="F35" s="13" t="s">
        <v>964</v>
      </c>
      <c r="G35" s="13" t="s">
        <v>965</v>
      </c>
      <c r="H35" s="2"/>
      <c r="I35" s="2"/>
      <c r="J35" s="2"/>
      <c r="K35" s="2"/>
      <c r="L35" s="2"/>
      <c r="M35" s="2"/>
      <c r="N35" s="2"/>
      <c r="O35" s="2"/>
      <c r="P35" s="2"/>
      <c r="Q35" s="2"/>
      <c r="R35" s="2"/>
      <c r="S35" s="2"/>
      <c r="T35" s="2"/>
      <c r="U35" s="2"/>
      <c r="V35" s="2"/>
      <c r="W35" s="2"/>
      <c r="X35" s="2"/>
      <c r="Y35" s="2"/>
      <c r="Z35" s="2"/>
    </row>
    <row r="36" customHeight="1" spans="1:26">
      <c r="A36" s="13" t="s">
        <v>159</v>
      </c>
      <c r="B36" s="13" t="s">
        <v>966</v>
      </c>
      <c r="C36" s="13" t="s">
        <v>161</v>
      </c>
      <c r="D36" s="57"/>
      <c r="E36" s="57"/>
      <c r="F36" s="13" t="s">
        <v>967</v>
      </c>
      <c r="G36" s="13" t="s">
        <v>968</v>
      </c>
      <c r="H36" s="2"/>
      <c r="I36" s="2"/>
      <c r="J36" s="2"/>
      <c r="K36" s="2"/>
      <c r="L36" s="2"/>
      <c r="M36" s="2"/>
      <c r="N36" s="2"/>
      <c r="O36" s="2"/>
      <c r="P36" s="2"/>
      <c r="Q36" s="2"/>
      <c r="R36" s="2"/>
      <c r="S36" s="2"/>
      <c r="T36" s="2"/>
      <c r="U36" s="2"/>
      <c r="V36" s="2"/>
      <c r="W36" s="2"/>
      <c r="X36" s="2"/>
      <c r="Y36" s="2"/>
      <c r="Z36" s="2"/>
    </row>
    <row r="37" customHeight="1" spans="1:26">
      <c r="A37" s="13" t="s">
        <v>164</v>
      </c>
      <c r="B37" s="13" t="s">
        <v>969</v>
      </c>
      <c r="C37" s="13" t="s">
        <v>166</v>
      </c>
      <c r="D37" s="57"/>
      <c r="E37" s="57"/>
      <c r="F37" s="13" t="s">
        <v>970</v>
      </c>
      <c r="G37" s="13" t="s">
        <v>971</v>
      </c>
      <c r="H37" s="2"/>
      <c r="I37" s="2"/>
      <c r="J37" s="2"/>
      <c r="K37" s="2"/>
      <c r="L37" s="2"/>
      <c r="M37" s="2"/>
      <c r="N37" s="2"/>
      <c r="O37" s="2"/>
      <c r="P37" s="2"/>
      <c r="Q37" s="2"/>
      <c r="R37" s="2"/>
      <c r="S37" s="2"/>
      <c r="T37" s="2"/>
      <c r="U37" s="2"/>
      <c r="V37" s="2"/>
      <c r="W37" s="2"/>
      <c r="X37" s="2"/>
      <c r="Y37" s="2"/>
      <c r="Z37" s="2"/>
    </row>
    <row r="38" customHeight="1" spans="1:26">
      <c r="A38" s="64" t="s">
        <v>169</v>
      </c>
      <c r="B38" s="13" t="s">
        <v>972</v>
      </c>
      <c r="C38" s="13" t="s">
        <v>171</v>
      </c>
      <c r="D38" s="65">
        <v>46</v>
      </c>
      <c r="E38" s="13" t="s">
        <v>37</v>
      </c>
      <c r="F38" s="13" t="s">
        <v>973</v>
      </c>
      <c r="G38" s="13" t="s">
        <v>974</v>
      </c>
      <c r="H38" s="2"/>
      <c r="I38" s="2"/>
      <c r="J38" s="2"/>
      <c r="K38" s="2"/>
      <c r="L38" s="2"/>
      <c r="M38" s="2"/>
      <c r="N38" s="2"/>
      <c r="O38" s="2"/>
      <c r="P38" s="2"/>
      <c r="Q38" s="2"/>
      <c r="R38" s="2"/>
      <c r="S38" s="2"/>
      <c r="T38" s="2"/>
      <c r="U38" s="2"/>
      <c r="V38" s="2"/>
      <c r="W38" s="2"/>
      <c r="X38" s="2"/>
      <c r="Y38" s="2"/>
      <c r="Z38" s="2"/>
    </row>
    <row r="39" customHeight="1" spans="1:26">
      <c r="A39" s="64" t="s">
        <v>174</v>
      </c>
      <c r="B39" s="13" t="s">
        <v>975</v>
      </c>
      <c r="C39" s="13" t="s">
        <v>171</v>
      </c>
      <c r="D39" s="65">
        <v>30</v>
      </c>
      <c r="E39" s="13" t="s">
        <v>37</v>
      </c>
      <c r="F39" s="13" t="s">
        <v>976</v>
      </c>
      <c r="G39" s="13" t="s">
        <v>977</v>
      </c>
      <c r="H39" s="2"/>
      <c r="I39" s="2"/>
      <c r="J39" s="2"/>
      <c r="K39" s="2"/>
      <c r="L39" s="2"/>
      <c r="M39" s="2"/>
      <c r="N39" s="2"/>
      <c r="O39" s="2"/>
      <c r="P39" s="2"/>
      <c r="Q39" s="2"/>
      <c r="R39" s="2"/>
      <c r="S39" s="2"/>
      <c r="T39" s="2"/>
      <c r="U39" s="2"/>
      <c r="V39" s="2"/>
      <c r="W39" s="2"/>
      <c r="X39" s="2"/>
      <c r="Y39" s="2"/>
      <c r="Z39" s="2"/>
    </row>
    <row r="40" customHeight="1" spans="1:26">
      <c r="A40" s="64" t="s">
        <v>178</v>
      </c>
      <c r="B40" s="13" t="s">
        <v>978</v>
      </c>
      <c r="C40" s="13" t="s">
        <v>180</v>
      </c>
      <c r="D40" s="65">
        <v>45</v>
      </c>
      <c r="E40" s="13" t="s">
        <v>37</v>
      </c>
      <c r="F40" s="13" t="s">
        <v>979</v>
      </c>
      <c r="G40" s="13" t="s">
        <v>980</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customHeight="1" spans="1:26">
      <c r="A42" s="64" t="s">
        <v>188</v>
      </c>
      <c r="B42" s="13" t="s">
        <v>189</v>
      </c>
      <c r="C42" s="13" t="s">
        <v>190</v>
      </c>
      <c r="D42" s="65">
        <v>650</v>
      </c>
      <c r="E42" s="13" t="s">
        <v>37</v>
      </c>
      <c r="F42" s="13" t="s">
        <v>191</v>
      </c>
      <c r="G42" s="13" t="s">
        <v>981</v>
      </c>
      <c r="H42" s="2"/>
      <c r="I42" s="2"/>
      <c r="J42" s="2"/>
      <c r="K42" s="2"/>
      <c r="L42" s="2"/>
      <c r="M42" s="2"/>
      <c r="N42" s="2"/>
      <c r="O42" s="2"/>
      <c r="P42" s="2"/>
      <c r="Q42" s="2"/>
      <c r="R42" s="2"/>
      <c r="S42" s="2"/>
      <c r="T42" s="2"/>
      <c r="U42" s="2"/>
      <c r="V42" s="2"/>
      <c r="W42" s="2"/>
      <c r="X42" s="2"/>
      <c r="Y42" s="2"/>
      <c r="Z42" s="2"/>
    </row>
    <row r="43" customHeight="1" spans="1:26">
      <c r="A43" s="13" t="s">
        <v>193</v>
      </c>
      <c r="B43" s="13" t="s">
        <v>982</v>
      </c>
      <c r="C43" s="13" t="s">
        <v>195</v>
      </c>
      <c r="D43" s="57"/>
      <c r="E43" s="57"/>
      <c r="F43" s="13" t="s">
        <v>983</v>
      </c>
      <c r="G43" s="13" t="s">
        <v>984</v>
      </c>
      <c r="H43" s="2"/>
      <c r="I43" s="2"/>
      <c r="J43" s="2"/>
      <c r="K43" s="2"/>
      <c r="L43" s="2"/>
      <c r="M43" s="2"/>
      <c r="N43" s="2"/>
      <c r="O43" s="2"/>
      <c r="P43" s="2"/>
      <c r="Q43" s="2"/>
      <c r="R43" s="2"/>
      <c r="S43" s="2"/>
      <c r="T43" s="2"/>
      <c r="U43" s="2"/>
      <c r="V43" s="2"/>
      <c r="W43" s="2"/>
      <c r="X43" s="2"/>
      <c r="Y43" s="2"/>
      <c r="Z43" s="2"/>
    </row>
    <row r="44" customHeight="1" spans="1:26">
      <c r="A44" s="64" t="s">
        <v>198</v>
      </c>
      <c r="B44" s="13" t="s">
        <v>985</v>
      </c>
      <c r="C44" s="13" t="s">
        <v>200</v>
      </c>
      <c r="D44" s="65">
        <v>30</v>
      </c>
      <c r="E44" s="13" t="s">
        <v>21</v>
      </c>
      <c r="F44" s="13" t="s">
        <v>986</v>
      </c>
      <c r="G44" s="13" t="s">
        <v>987</v>
      </c>
      <c r="H44" s="2"/>
      <c r="I44" s="2"/>
      <c r="J44" s="2"/>
      <c r="K44" s="2"/>
      <c r="L44" s="2"/>
      <c r="M44" s="2"/>
      <c r="N44" s="2"/>
      <c r="O44" s="2"/>
      <c r="P44" s="2"/>
      <c r="Q44" s="2"/>
      <c r="R44" s="2"/>
      <c r="S44" s="2"/>
      <c r="T44" s="2"/>
      <c r="U44" s="2"/>
      <c r="V44" s="2"/>
      <c r="W44" s="2"/>
      <c r="X44" s="2"/>
      <c r="Y44" s="2"/>
      <c r="Z44" s="2"/>
    </row>
    <row r="45" customHeight="1" spans="1:26">
      <c r="A45" s="13" t="s">
        <v>203</v>
      </c>
      <c r="B45" s="13" t="s">
        <v>988</v>
      </c>
      <c r="C45" s="13" t="s">
        <v>200</v>
      </c>
      <c r="D45" s="14">
        <v>80</v>
      </c>
      <c r="E45" s="13" t="s">
        <v>21</v>
      </c>
      <c r="F45" s="13" t="s">
        <v>989</v>
      </c>
      <c r="G45" s="13" t="s">
        <v>990</v>
      </c>
      <c r="H45" s="2"/>
      <c r="I45" s="2"/>
      <c r="J45" s="2"/>
      <c r="K45" s="2"/>
      <c r="L45" s="2"/>
      <c r="M45" s="2"/>
      <c r="N45" s="2"/>
      <c r="O45" s="2"/>
      <c r="P45" s="2"/>
      <c r="Q45" s="2"/>
      <c r="R45" s="2"/>
      <c r="S45" s="2"/>
      <c r="T45" s="2"/>
      <c r="U45" s="2"/>
      <c r="V45" s="2"/>
      <c r="W45" s="2"/>
      <c r="X45" s="2"/>
      <c r="Y45" s="2"/>
      <c r="Z45" s="2"/>
    </row>
    <row r="46" customHeight="1" spans="1:26">
      <c r="A46" s="64" t="s">
        <v>207</v>
      </c>
      <c r="B46" s="13" t="s">
        <v>991</v>
      </c>
      <c r="C46" s="13" t="s">
        <v>209</v>
      </c>
      <c r="D46" s="65">
        <v>5</v>
      </c>
      <c r="E46" s="13" t="s">
        <v>37</v>
      </c>
      <c r="F46" s="68" t="str">
        <f>HYPERLINK("http://www.ncp.co.uk/graphics/logo.png","http://www.carparkingexpo.com/themes/carparkingexpo/assets/img/generali/car-parking-expo-logo-en.png")</f>
        <v>http://www.carparkingexpo.com/themes/carparkingexpo/assets/img/generali/car-parking-expo-logo-en.png</v>
      </c>
      <c r="G46" s="13" t="s">
        <v>992</v>
      </c>
      <c r="H46" s="2"/>
      <c r="I46" s="2"/>
      <c r="J46" s="2"/>
      <c r="K46" s="2"/>
      <c r="L46" s="2"/>
      <c r="M46" s="2"/>
      <c r="N46" s="2"/>
      <c r="O46" s="2"/>
      <c r="P46" s="2"/>
      <c r="Q46" s="2"/>
      <c r="R46" s="2"/>
      <c r="S46" s="2"/>
      <c r="T46" s="2"/>
      <c r="U46" s="2"/>
      <c r="V46" s="2"/>
      <c r="W46" s="2"/>
      <c r="X46" s="2"/>
      <c r="Y46" s="2"/>
      <c r="Z46" s="2"/>
    </row>
    <row r="47" customHeight="1" spans="1:26">
      <c r="A47" s="13" t="s">
        <v>212</v>
      </c>
      <c r="B47" s="13" t="s">
        <v>993</v>
      </c>
      <c r="C47" s="13" t="s">
        <v>214</v>
      </c>
      <c r="D47" s="14">
        <v>20</v>
      </c>
      <c r="E47" s="13" t="s">
        <v>37</v>
      </c>
      <c r="F47" s="13" t="s">
        <v>994</v>
      </c>
      <c r="G47" s="13" t="s">
        <v>995</v>
      </c>
      <c r="H47" s="2"/>
      <c r="I47" s="2"/>
      <c r="J47" s="2"/>
      <c r="K47" s="2"/>
      <c r="L47" s="2"/>
      <c r="M47" s="2"/>
      <c r="N47" s="2"/>
      <c r="O47" s="2"/>
      <c r="P47" s="2"/>
      <c r="Q47" s="2"/>
      <c r="R47" s="2"/>
      <c r="S47" s="2"/>
      <c r="T47" s="2"/>
      <c r="U47" s="2"/>
      <c r="V47" s="2"/>
      <c r="W47" s="2"/>
      <c r="X47" s="2"/>
      <c r="Y47" s="2"/>
      <c r="Z47" s="2"/>
    </row>
    <row r="48" customHeight="1" spans="1:26">
      <c r="A48" s="13" t="s">
        <v>217</v>
      </c>
      <c r="B48" s="13" t="s">
        <v>996</v>
      </c>
      <c r="C48" s="13" t="s">
        <v>219</v>
      </c>
      <c r="D48" s="57"/>
      <c r="E48" s="57"/>
      <c r="F48" s="13" t="s">
        <v>997</v>
      </c>
      <c r="G48" s="13" t="s">
        <v>998</v>
      </c>
      <c r="H48" s="2"/>
      <c r="I48" s="2"/>
      <c r="J48" s="2"/>
      <c r="K48" s="2"/>
      <c r="L48" s="2"/>
      <c r="M48" s="2"/>
      <c r="N48" s="2"/>
      <c r="O48" s="2"/>
      <c r="P48" s="2"/>
      <c r="Q48" s="2"/>
      <c r="R48" s="2"/>
      <c r="S48" s="2"/>
      <c r="T48" s="2"/>
      <c r="U48" s="2"/>
      <c r="V48" s="2"/>
      <c r="W48" s="2"/>
      <c r="X48" s="2"/>
      <c r="Y48" s="2"/>
      <c r="Z48" s="2"/>
    </row>
    <row r="49" customHeight="1" spans="1:26">
      <c r="A49" s="13" t="s">
        <v>222</v>
      </c>
      <c r="B49" s="13" t="s">
        <v>999</v>
      </c>
      <c r="C49" s="13" t="s">
        <v>1000</v>
      </c>
      <c r="D49" s="14">
        <v>96</v>
      </c>
      <c r="E49" s="13" t="s">
        <v>21</v>
      </c>
      <c r="F49" s="13" t="s">
        <v>1001</v>
      </c>
      <c r="G49" s="13" t="s">
        <v>1002</v>
      </c>
      <c r="H49" s="2"/>
      <c r="I49" s="2"/>
      <c r="J49" s="2"/>
      <c r="K49" s="2"/>
      <c r="L49" s="2"/>
      <c r="M49" s="2"/>
      <c r="N49" s="2"/>
      <c r="O49" s="2"/>
      <c r="P49" s="2"/>
      <c r="Q49" s="2"/>
      <c r="R49" s="2"/>
      <c r="S49" s="2"/>
      <c r="T49" s="2"/>
      <c r="U49" s="2"/>
      <c r="V49" s="2"/>
      <c r="W49" s="2"/>
      <c r="X49" s="2"/>
      <c r="Y49" s="2"/>
      <c r="Z49" s="2"/>
    </row>
    <row r="50" customHeight="1" spans="1:26">
      <c r="A50" s="13" t="s">
        <v>227</v>
      </c>
      <c r="B50" s="13" t="s">
        <v>1003</v>
      </c>
      <c r="C50" s="13" t="s">
        <v>1004</v>
      </c>
      <c r="D50" s="14">
        <v>66</v>
      </c>
      <c r="E50" s="13" t="s">
        <v>21</v>
      </c>
      <c r="F50" s="13" t="s">
        <v>1005</v>
      </c>
      <c r="G50" s="13" t="s">
        <v>1006</v>
      </c>
      <c r="H50" s="2"/>
      <c r="I50" s="2"/>
      <c r="J50" s="2"/>
      <c r="K50" s="2"/>
      <c r="L50" s="2"/>
      <c r="M50" s="2"/>
      <c r="N50" s="2"/>
      <c r="O50" s="2"/>
      <c r="P50" s="2"/>
      <c r="Q50" s="2"/>
      <c r="R50" s="2"/>
      <c r="S50" s="2"/>
      <c r="T50" s="2"/>
      <c r="U50" s="2"/>
      <c r="V50" s="2"/>
      <c r="W50" s="2"/>
      <c r="X50" s="2"/>
      <c r="Y50" s="2"/>
      <c r="Z50" s="2"/>
    </row>
    <row r="51" customHeight="1" spans="1:26">
      <c r="A51" s="13" t="s">
        <v>231</v>
      </c>
      <c r="B51" s="13" t="s">
        <v>1007</v>
      </c>
      <c r="C51" s="13" t="s">
        <v>1008</v>
      </c>
      <c r="D51" s="14">
        <v>156</v>
      </c>
      <c r="E51" s="13" t="s">
        <v>21</v>
      </c>
      <c r="F51" s="13" t="s">
        <v>1009</v>
      </c>
      <c r="G51" s="13" t="s">
        <v>1010</v>
      </c>
      <c r="H51" s="2"/>
      <c r="I51" s="2"/>
      <c r="J51" s="2"/>
      <c r="K51" s="2"/>
      <c r="L51" s="2"/>
      <c r="M51" s="2"/>
      <c r="N51" s="2"/>
      <c r="O51" s="2"/>
      <c r="P51" s="2"/>
      <c r="Q51" s="2"/>
      <c r="R51" s="2"/>
      <c r="S51" s="2"/>
      <c r="T51" s="2"/>
      <c r="U51" s="2"/>
      <c r="V51" s="2"/>
      <c r="W51" s="2"/>
      <c r="X51" s="2"/>
      <c r="Y51" s="2"/>
      <c r="Z51" s="2"/>
    </row>
    <row r="52" customHeight="1" spans="1:26">
      <c r="A52" s="64" t="s">
        <v>234</v>
      </c>
      <c r="B52" s="13" t="s">
        <v>1011</v>
      </c>
      <c r="C52" s="13" t="s">
        <v>236</v>
      </c>
      <c r="D52" s="65">
        <v>30</v>
      </c>
      <c r="E52" s="13" t="s">
        <v>37</v>
      </c>
      <c r="F52" s="13" t="s">
        <v>1012</v>
      </c>
      <c r="G52" s="13" t="s">
        <v>1013</v>
      </c>
      <c r="H52" s="2"/>
      <c r="I52" s="2"/>
      <c r="J52" s="2"/>
      <c r="K52" s="2"/>
      <c r="L52" s="2"/>
      <c r="M52" s="2"/>
      <c r="N52" s="2"/>
      <c r="O52" s="2"/>
      <c r="P52" s="2"/>
      <c r="Q52" s="2"/>
      <c r="R52" s="2"/>
      <c r="S52" s="2"/>
      <c r="T52" s="2"/>
      <c r="U52" s="2"/>
      <c r="V52" s="2"/>
      <c r="W52" s="2"/>
      <c r="X52" s="2"/>
      <c r="Y52" s="2"/>
      <c r="Z52" s="2"/>
    </row>
    <row r="53" customHeight="1" spans="1:26">
      <c r="A53" s="13" t="s">
        <v>239</v>
      </c>
      <c r="B53" s="13" t="s">
        <v>1014</v>
      </c>
      <c r="C53" s="13" t="s">
        <v>236</v>
      </c>
      <c r="D53" s="14">
        <v>230</v>
      </c>
      <c r="E53" s="13" t="s">
        <v>21</v>
      </c>
      <c r="F53" s="13" t="s">
        <v>1015</v>
      </c>
      <c r="G53" s="13" t="s">
        <v>1016</v>
      </c>
      <c r="H53" s="2"/>
      <c r="I53" s="2"/>
      <c r="J53" s="2"/>
      <c r="K53" s="2"/>
      <c r="L53" s="2"/>
      <c r="M53" s="2"/>
      <c r="N53" s="2"/>
      <c r="O53" s="2"/>
      <c r="P53" s="2"/>
      <c r="Q53" s="2"/>
      <c r="R53" s="2"/>
      <c r="S53" s="2"/>
      <c r="T53" s="2"/>
      <c r="U53" s="2"/>
      <c r="V53" s="2"/>
      <c r="W53" s="2"/>
      <c r="X53" s="2"/>
      <c r="Y53" s="2"/>
      <c r="Z53" s="2"/>
    </row>
    <row r="54" customHeight="1" spans="1:26">
      <c r="A54" s="13" t="s">
        <v>243</v>
      </c>
      <c r="B54" s="13" t="s">
        <v>1017</v>
      </c>
      <c r="C54" s="13" t="s">
        <v>236</v>
      </c>
      <c r="D54" s="14">
        <v>100</v>
      </c>
      <c r="E54" s="13" t="s">
        <v>245</v>
      </c>
      <c r="F54" s="13" t="s">
        <v>1018</v>
      </c>
      <c r="G54" s="13" t="s">
        <v>1019</v>
      </c>
      <c r="H54" s="2"/>
      <c r="I54" s="2"/>
      <c r="J54" s="2"/>
      <c r="K54" s="2"/>
      <c r="L54" s="2"/>
      <c r="M54" s="2"/>
      <c r="N54" s="2"/>
      <c r="O54" s="2"/>
      <c r="P54" s="2"/>
      <c r="Q54" s="2"/>
      <c r="R54" s="2"/>
      <c r="S54" s="2"/>
      <c r="T54" s="2"/>
      <c r="U54" s="2"/>
      <c r="V54" s="2"/>
      <c r="W54" s="2"/>
      <c r="X54" s="2"/>
      <c r="Y54" s="2"/>
      <c r="Z54" s="2"/>
    </row>
    <row r="55" customHeight="1" spans="1:26">
      <c r="A55" s="13" t="s">
        <v>248</v>
      </c>
      <c r="B55" s="13" t="s">
        <v>1020</v>
      </c>
      <c r="C55" s="13" t="s">
        <v>236</v>
      </c>
      <c r="D55" s="14">
        <v>100</v>
      </c>
      <c r="E55" s="13" t="s">
        <v>245</v>
      </c>
      <c r="F55" s="13" t="s">
        <v>1021</v>
      </c>
      <c r="G55" s="13" t="s">
        <v>1022</v>
      </c>
      <c r="H55" s="2"/>
      <c r="I55" s="2"/>
      <c r="J55" s="2"/>
      <c r="K55" s="2"/>
      <c r="L55" s="2"/>
      <c r="M55" s="2"/>
      <c r="N55" s="2"/>
      <c r="O55" s="2"/>
      <c r="P55" s="2"/>
      <c r="Q55" s="2"/>
      <c r="R55" s="2"/>
      <c r="S55" s="2"/>
      <c r="T55" s="2"/>
      <c r="U55" s="2"/>
      <c r="V55" s="2"/>
      <c r="W55" s="2"/>
      <c r="X55" s="2"/>
      <c r="Y55" s="2"/>
      <c r="Z55" s="2"/>
    </row>
    <row r="56" customHeight="1" spans="1:26">
      <c r="A56" s="64" t="s">
        <v>252</v>
      </c>
      <c r="B56" s="13" t="s">
        <v>1023</v>
      </c>
      <c r="C56" s="13" t="s">
        <v>236</v>
      </c>
      <c r="D56" s="65">
        <v>35</v>
      </c>
      <c r="E56" s="13" t="s">
        <v>37</v>
      </c>
      <c r="F56" s="13" t="s">
        <v>1024</v>
      </c>
      <c r="G56" s="13" t="s">
        <v>1025</v>
      </c>
      <c r="H56" s="2"/>
      <c r="I56" s="2"/>
      <c r="J56" s="2"/>
      <c r="K56" s="2"/>
      <c r="L56" s="2"/>
      <c r="M56" s="2"/>
      <c r="N56" s="2"/>
      <c r="O56" s="2"/>
      <c r="P56" s="2"/>
      <c r="Q56" s="2"/>
      <c r="R56" s="2"/>
      <c r="S56" s="2"/>
      <c r="T56" s="2"/>
      <c r="U56" s="2"/>
      <c r="V56" s="2"/>
      <c r="W56" s="2"/>
      <c r="X56" s="2"/>
      <c r="Y56" s="2"/>
      <c r="Z56" s="2"/>
    </row>
    <row r="57" customHeight="1" spans="1:26">
      <c r="A57" s="64" t="s">
        <v>256</v>
      </c>
      <c r="B57" s="13" t="s">
        <v>1026</v>
      </c>
      <c r="C57" s="13" t="s">
        <v>236</v>
      </c>
      <c r="D57" s="65">
        <v>40</v>
      </c>
      <c r="E57" s="13" t="s">
        <v>37</v>
      </c>
      <c r="F57" s="13" t="s">
        <v>1027</v>
      </c>
      <c r="G57" s="13" t="s">
        <v>1028</v>
      </c>
      <c r="H57" s="2"/>
      <c r="I57" s="2"/>
      <c r="J57" s="2"/>
      <c r="K57" s="2"/>
      <c r="L57" s="2"/>
      <c r="M57" s="2"/>
      <c r="N57" s="2"/>
      <c r="O57" s="2"/>
      <c r="P57" s="2"/>
      <c r="Q57" s="2"/>
      <c r="R57" s="2"/>
      <c r="S57" s="2"/>
      <c r="T57" s="2"/>
      <c r="U57" s="2"/>
      <c r="V57" s="2"/>
      <c r="W57" s="2"/>
      <c r="X57" s="2"/>
      <c r="Y57" s="2"/>
      <c r="Z57" s="2"/>
    </row>
    <row r="58" customHeight="1" spans="1:26">
      <c r="A58" s="64" t="s">
        <v>260</v>
      </c>
      <c r="B58" s="13" t="s">
        <v>261</v>
      </c>
      <c r="C58" s="13" t="s">
        <v>236</v>
      </c>
      <c r="D58" s="65">
        <v>8</v>
      </c>
      <c r="E58" s="13" t="s">
        <v>262</v>
      </c>
      <c r="F58" s="13" t="s">
        <v>263</v>
      </c>
      <c r="G58" s="13" t="s">
        <v>1029</v>
      </c>
      <c r="H58" s="2"/>
      <c r="I58" s="2"/>
      <c r="J58" s="2"/>
      <c r="K58" s="2"/>
      <c r="L58" s="2"/>
      <c r="M58" s="2"/>
      <c r="N58" s="2"/>
      <c r="O58" s="2"/>
      <c r="P58" s="2"/>
      <c r="Q58" s="2"/>
      <c r="R58" s="2"/>
      <c r="S58" s="2"/>
      <c r="T58" s="2"/>
      <c r="U58" s="2"/>
      <c r="V58" s="2"/>
      <c r="W58" s="2"/>
      <c r="X58" s="2"/>
      <c r="Y58" s="2"/>
      <c r="Z58" s="2"/>
    </row>
    <row r="59" customHeight="1" spans="1:26">
      <c r="A59" s="64" t="s">
        <v>265</v>
      </c>
      <c r="B59" s="13" t="s">
        <v>1030</v>
      </c>
      <c r="C59" s="13" t="s">
        <v>236</v>
      </c>
      <c r="D59" s="65">
        <v>30</v>
      </c>
      <c r="E59" s="13" t="s">
        <v>37</v>
      </c>
      <c r="F59" s="13" t="s">
        <v>1031</v>
      </c>
      <c r="G59" s="13" t="s">
        <v>1032</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13" t="s">
        <v>1033</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1034</v>
      </c>
      <c r="H61" s="2"/>
      <c r="I61" s="2"/>
      <c r="J61" s="2"/>
      <c r="K61" s="2"/>
      <c r="L61" s="2"/>
      <c r="M61" s="2"/>
      <c r="N61" s="2"/>
      <c r="O61" s="2"/>
      <c r="P61" s="2"/>
      <c r="Q61" s="2"/>
      <c r="R61" s="2"/>
      <c r="S61" s="2"/>
      <c r="T61" s="2"/>
      <c r="U61" s="2"/>
      <c r="V61" s="2"/>
      <c r="W61" s="2"/>
      <c r="X61" s="2"/>
      <c r="Y61" s="2"/>
      <c r="Z61" s="2"/>
    </row>
    <row r="62" customHeight="1" spans="1:26">
      <c r="A62" s="64" t="s">
        <v>277</v>
      </c>
      <c r="B62" s="13" t="s">
        <v>1035</v>
      </c>
      <c r="C62" s="13" t="s">
        <v>236</v>
      </c>
      <c r="D62" s="65">
        <v>37</v>
      </c>
      <c r="E62" s="13" t="s">
        <v>37</v>
      </c>
      <c r="F62" s="13" t="s">
        <v>1036</v>
      </c>
      <c r="G62" s="13" t="s">
        <v>1037</v>
      </c>
      <c r="H62" s="2"/>
      <c r="I62" s="2"/>
      <c r="J62" s="2"/>
      <c r="K62" s="2"/>
      <c r="L62" s="2"/>
      <c r="M62" s="2"/>
      <c r="N62" s="2"/>
      <c r="O62" s="2"/>
      <c r="P62" s="2"/>
      <c r="Q62" s="2"/>
      <c r="R62" s="2"/>
      <c r="S62" s="2"/>
      <c r="T62" s="2"/>
      <c r="U62" s="2"/>
      <c r="V62" s="2"/>
      <c r="W62" s="2"/>
      <c r="X62" s="2"/>
      <c r="Y62" s="2"/>
      <c r="Z62" s="2"/>
    </row>
    <row r="63" customHeight="1" spans="1:26">
      <c r="A63" s="64" t="s">
        <v>281</v>
      </c>
      <c r="B63" s="13" t="s">
        <v>1038</v>
      </c>
      <c r="C63" s="13" t="s">
        <v>236</v>
      </c>
      <c r="D63" s="65">
        <v>40</v>
      </c>
      <c r="E63" s="13" t="s">
        <v>37</v>
      </c>
      <c r="F63" s="13" t="s">
        <v>1039</v>
      </c>
      <c r="G63" s="13" t="s">
        <v>1040</v>
      </c>
      <c r="H63" s="2"/>
      <c r="I63" s="2"/>
      <c r="J63" s="2"/>
      <c r="K63" s="2"/>
      <c r="L63" s="2"/>
      <c r="M63" s="2"/>
      <c r="N63" s="2"/>
      <c r="O63" s="2"/>
      <c r="P63" s="2"/>
      <c r="Q63" s="2"/>
      <c r="R63" s="2"/>
      <c r="S63" s="2"/>
      <c r="T63" s="2"/>
      <c r="U63" s="2"/>
      <c r="V63" s="2"/>
      <c r="W63" s="2"/>
      <c r="X63" s="2"/>
      <c r="Y63" s="2"/>
      <c r="Z63" s="2"/>
    </row>
    <row r="64" customHeight="1" spans="1:26">
      <c r="A64" s="13" t="s">
        <v>285</v>
      </c>
      <c r="B64" s="13" t="s">
        <v>1041</v>
      </c>
      <c r="C64" s="13" t="s">
        <v>286</v>
      </c>
      <c r="D64" s="14">
        <v>35</v>
      </c>
      <c r="E64" s="13" t="s">
        <v>37</v>
      </c>
      <c r="F64" s="13" t="s">
        <v>1042</v>
      </c>
      <c r="G64" s="13" t="s">
        <v>1043</v>
      </c>
      <c r="H64" s="2"/>
      <c r="I64" s="2"/>
      <c r="J64" s="2"/>
      <c r="K64" s="2"/>
      <c r="L64" s="2"/>
      <c r="M64" s="2"/>
      <c r="N64" s="2"/>
      <c r="O64" s="2"/>
      <c r="P64" s="2"/>
      <c r="Q64" s="2"/>
      <c r="R64" s="2"/>
      <c r="S64" s="2"/>
      <c r="T64" s="2"/>
      <c r="U64" s="2"/>
      <c r="V64" s="2"/>
      <c r="W64" s="2"/>
      <c r="X64" s="2"/>
      <c r="Y64" s="2"/>
      <c r="Z64" s="2"/>
    </row>
    <row r="65" customHeight="1" spans="1:26">
      <c r="A65" s="64" t="s">
        <v>288</v>
      </c>
      <c r="B65" s="13" t="s">
        <v>1044</v>
      </c>
      <c r="C65" s="13" t="s">
        <v>290</v>
      </c>
      <c r="D65" s="65">
        <v>300</v>
      </c>
      <c r="E65" s="13" t="s">
        <v>37</v>
      </c>
      <c r="F65" s="13" t="s">
        <v>1045</v>
      </c>
      <c r="G65" s="13" t="s">
        <v>1046</v>
      </c>
      <c r="H65" s="2"/>
      <c r="I65" s="2"/>
      <c r="J65" s="2"/>
      <c r="K65" s="2"/>
      <c r="L65" s="2"/>
      <c r="M65" s="2"/>
      <c r="N65" s="2"/>
      <c r="O65" s="2"/>
      <c r="P65" s="2"/>
      <c r="Q65" s="2"/>
      <c r="R65" s="2"/>
      <c r="S65" s="2"/>
      <c r="T65" s="2"/>
      <c r="U65" s="2"/>
      <c r="V65" s="2"/>
      <c r="W65" s="2"/>
      <c r="X65" s="2"/>
      <c r="Y65" s="2"/>
      <c r="Z65" s="2"/>
    </row>
    <row r="66" customHeight="1" spans="1:26">
      <c r="A66" s="64" t="s">
        <v>293</v>
      </c>
      <c r="B66" s="13" t="s">
        <v>1047</v>
      </c>
      <c r="C66" s="13" t="s">
        <v>290</v>
      </c>
      <c r="D66" s="65">
        <v>35</v>
      </c>
      <c r="E66" s="13" t="s">
        <v>37</v>
      </c>
      <c r="F66" s="13" t="s">
        <v>1048</v>
      </c>
      <c r="G66" s="13" t="s">
        <v>1049</v>
      </c>
      <c r="H66" s="2"/>
      <c r="I66" s="2"/>
      <c r="J66" s="2"/>
      <c r="K66" s="2"/>
      <c r="L66" s="2"/>
      <c r="M66" s="2"/>
      <c r="N66" s="2"/>
      <c r="O66" s="2"/>
      <c r="P66" s="2"/>
      <c r="Q66" s="2"/>
      <c r="R66" s="2"/>
      <c r="S66" s="2"/>
      <c r="T66" s="2"/>
      <c r="U66" s="2"/>
      <c r="V66" s="2"/>
      <c r="W66" s="2"/>
      <c r="X66" s="2"/>
      <c r="Y66" s="2"/>
      <c r="Z66" s="2"/>
    </row>
    <row r="67" customHeight="1" spans="1:26">
      <c r="A67" s="13" t="s">
        <v>297</v>
      </c>
      <c r="B67" s="13" t="s">
        <v>1050</v>
      </c>
      <c r="C67" s="13" t="s">
        <v>299</v>
      </c>
      <c r="D67" s="14">
        <v>1000</v>
      </c>
      <c r="E67" s="13" t="s">
        <v>37</v>
      </c>
      <c r="F67" s="13" t="s">
        <v>1051</v>
      </c>
      <c r="G67" s="13" t="s">
        <v>1052</v>
      </c>
      <c r="H67" s="2"/>
      <c r="I67" s="2"/>
      <c r="J67" s="2"/>
      <c r="K67" s="2"/>
      <c r="L67" s="2"/>
      <c r="M67" s="2"/>
      <c r="N67" s="2"/>
      <c r="O67" s="2"/>
      <c r="P67" s="2"/>
      <c r="Q67" s="2"/>
      <c r="R67" s="2"/>
      <c r="S67" s="2"/>
      <c r="T67" s="2"/>
      <c r="U67" s="2"/>
      <c r="V67" s="2"/>
      <c r="W67" s="2"/>
      <c r="X67" s="2"/>
      <c r="Y67" s="2"/>
      <c r="Z67" s="2"/>
    </row>
    <row r="68" customHeight="1" spans="1:26">
      <c r="A68" s="13" t="s">
        <v>302</v>
      </c>
      <c r="B68" s="13" t="s">
        <v>303</v>
      </c>
      <c r="C68" s="13" t="s">
        <v>304</v>
      </c>
      <c r="D68" s="57"/>
      <c r="E68" s="57"/>
      <c r="F68" s="13" t="s">
        <v>305</v>
      </c>
      <c r="G68" s="13" t="s">
        <v>306</v>
      </c>
      <c r="H68" s="2"/>
      <c r="I68" s="2"/>
      <c r="J68" s="2"/>
      <c r="K68" s="2"/>
      <c r="L68" s="2"/>
      <c r="M68" s="2"/>
      <c r="N68" s="2"/>
      <c r="O68" s="2"/>
      <c r="P68" s="2"/>
      <c r="Q68" s="2"/>
      <c r="R68" s="2"/>
      <c r="S68" s="2"/>
      <c r="T68" s="2"/>
      <c r="U68" s="2"/>
      <c r="V68" s="2"/>
      <c r="W68" s="2"/>
      <c r="X68" s="2"/>
      <c r="Y68" s="2"/>
      <c r="Z68" s="2"/>
    </row>
    <row r="69" customHeight="1" spans="1:26">
      <c r="A69" s="13" t="s">
        <v>307</v>
      </c>
      <c r="B69" s="13" t="s">
        <v>308</v>
      </c>
      <c r="C69" s="13" t="s">
        <v>309</v>
      </c>
      <c r="D69" s="14">
        <v>45</v>
      </c>
      <c r="E69" s="13" t="s">
        <v>310</v>
      </c>
      <c r="F69" s="13" t="s">
        <v>311</v>
      </c>
      <c r="G69" s="13" t="s">
        <v>1053</v>
      </c>
      <c r="H69" s="2"/>
      <c r="I69" s="2"/>
      <c r="J69" s="2"/>
      <c r="K69" s="2"/>
      <c r="L69" s="2"/>
      <c r="M69" s="2"/>
      <c r="N69" s="2"/>
      <c r="O69" s="2"/>
      <c r="P69" s="2"/>
      <c r="Q69" s="2"/>
      <c r="R69" s="2"/>
      <c r="S69" s="2"/>
      <c r="T69" s="2"/>
      <c r="U69" s="2"/>
      <c r="V69" s="2"/>
      <c r="W69" s="2"/>
      <c r="X69" s="2"/>
      <c r="Y69" s="2"/>
      <c r="Z69" s="2"/>
    </row>
    <row r="70" customHeight="1" spans="1:26">
      <c r="A70" s="13" t="s">
        <v>313</v>
      </c>
      <c r="B70" s="13" t="s">
        <v>314</v>
      </c>
      <c r="C70" s="13" t="s">
        <v>315</v>
      </c>
      <c r="D70" s="65">
        <v>90</v>
      </c>
      <c r="E70" s="13" t="s">
        <v>32</v>
      </c>
      <c r="F70" s="73" t="s">
        <v>316</v>
      </c>
      <c r="G70" s="73" t="str">
        <f>HYPERLINK("http://www.disneystore.fr/","http://www.disneystore.fr/")</f>
        <v>http://www.disneystore.fr/</v>
      </c>
      <c r="H70" s="2"/>
      <c r="I70" s="2"/>
      <c r="J70" s="2"/>
      <c r="K70" s="2"/>
      <c r="L70" s="2"/>
      <c r="M70" s="2"/>
      <c r="N70" s="2"/>
      <c r="O70" s="2"/>
      <c r="P70" s="2"/>
      <c r="Q70" s="2"/>
      <c r="R70" s="2"/>
      <c r="S70" s="2"/>
      <c r="T70" s="2"/>
      <c r="U70" s="2"/>
      <c r="V70" s="2"/>
      <c r="W70" s="2"/>
      <c r="X70" s="2"/>
      <c r="Y70" s="2"/>
      <c r="Z70" s="2"/>
    </row>
    <row r="71" customHeight="1" spans="1:26">
      <c r="A71" s="13" t="s">
        <v>317</v>
      </c>
      <c r="B71" s="13" t="s">
        <v>1054</v>
      </c>
      <c r="C71" s="13" t="s">
        <v>319</v>
      </c>
      <c r="D71" s="65">
        <v>400</v>
      </c>
      <c r="E71" s="13" t="s">
        <v>245</v>
      </c>
      <c r="F71" s="13" t="s">
        <v>1055</v>
      </c>
      <c r="G71" s="13" t="s">
        <v>1056</v>
      </c>
      <c r="H71" s="2"/>
      <c r="I71" s="2"/>
      <c r="J71" s="2"/>
      <c r="K71" s="2"/>
      <c r="L71" s="2"/>
      <c r="M71" s="2"/>
      <c r="N71" s="2"/>
      <c r="O71" s="2"/>
      <c r="P71" s="2"/>
      <c r="Q71" s="2"/>
      <c r="R71" s="2"/>
      <c r="S71" s="2"/>
      <c r="T71" s="2"/>
      <c r="U71" s="2"/>
      <c r="V71" s="2"/>
      <c r="W71" s="2"/>
      <c r="X71" s="2"/>
      <c r="Y71" s="2"/>
      <c r="Z71" s="2"/>
    </row>
    <row r="72" customHeight="1" spans="1:26">
      <c r="A72" s="64" t="s">
        <v>321</v>
      </c>
      <c r="B72" s="13" t="s">
        <v>1057</v>
      </c>
      <c r="C72" s="13" t="s">
        <v>1058</v>
      </c>
      <c r="D72" s="65">
        <v>13</v>
      </c>
      <c r="E72" s="13" t="s">
        <v>262</v>
      </c>
      <c r="F72" s="13" t="s">
        <v>1059</v>
      </c>
      <c r="G72" s="13" t="s">
        <v>1060</v>
      </c>
      <c r="H72" s="2"/>
      <c r="I72" s="2"/>
      <c r="J72" s="2"/>
      <c r="K72" s="2"/>
      <c r="L72" s="2"/>
      <c r="M72" s="2"/>
      <c r="N72" s="2"/>
      <c r="O72" s="2"/>
      <c r="P72" s="2"/>
      <c r="Q72" s="2"/>
      <c r="R72" s="2"/>
      <c r="S72" s="2"/>
      <c r="T72" s="2"/>
      <c r="U72" s="2"/>
      <c r="V72" s="2"/>
      <c r="W72" s="2"/>
      <c r="X72" s="2"/>
      <c r="Y72" s="2"/>
      <c r="Z72" s="2"/>
    </row>
    <row r="73" customHeight="1" spans="1:26">
      <c r="A73" s="13" t="s">
        <v>325</v>
      </c>
      <c r="B73" s="13" t="s">
        <v>1061</v>
      </c>
      <c r="C73" s="13" t="s">
        <v>327</v>
      </c>
      <c r="D73" s="14">
        <v>25</v>
      </c>
      <c r="E73" s="13" t="s">
        <v>310</v>
      </c>
      <c r="F73" s="13" t="s">
        <v>1062</v>
      </c>
      <c r="G73" s="13" t="s">
        <v>1063</v>
      </c>
      <c r="H73" s="2"/>
      <c r="I73" s="2"/>
      <c r="J73" s="2"/>
      <c r="K73" s="2"/>
      <c r="L73" s="2"/>
      <c r="M73" s="2"/>
      <c r="N73" s="2"/>
      <c r="O73" s="2"/>
      <c r="P73" s="2"/>
      <c r="Q73" s="2"/>
      <c r="R73" s="2"/>
      <c r="S73" s="2"/>
      <c r="T73" s="2"/>
      <c r="U73" s="2"/>
      <c r="V73" s="2"/>
      <c r="W73" s="2"/>
      <c r="X73" s="2"/>
      <c r="Y73" s="2"/>
      <c r="Z73" s="2"/>
    </row>
    <row r="74" customHeight="1" spans="1:26">
      <c r="A74" s="64" t="s">
        <v>330</v>
      </c>
      <c r="B74" s="13" t="s">
        <v>1064</v>
      </c>
      <c r="C74" s="13" t="s">
        <v>315</v>
      </c>
      <c r="D74" s="65">
        <v>50</v>
      </c>
      <c r="E74" s="13" t="s">
        <v>37</v>
      </c>
      <c r="F74" s="13" t="s">
        <v>1065</v>
      </c>
      <c r="G74" s="13" t="s">
        <v>1066</v>
      </c>
      <c r="H74" s="2"/>
      <c r="I74" s="2"/>
      <c r="J74" s="2"/>
      <c r="K74" s="2"/>
      <c r="L74" s="2"/>
      <c r="M74" s="2"/>
      <c r="N74" s="2"/>
      <c r="O74" s="2"/>
      <c r="P74" s="2"/>
      <c r="Q74" s="2"/>
      <c r="R74" s="2"/>
      <c r="S74" s="2"/>
      <c r="T74" s="2"/>
      <c r="U74" s="2"/>
      <c r="V74" s="2"/>
      <c r="W74" s="2"/>
      <c r="X74" s="2"/>
      <c r="Y74" s="2"/>
      <c r="Z74" s="2"/>
    </row>
    <row r="75" customHeight="1" spans="1:26">
      <c r="A75" s="64" t="s">
        <v>334</v>
      </c>
      <c r="B75" s="13" t="s">
        <v>1067</v>
      </c>
      <c r="C75" s="13" t="s">
        <v>315</v>
      </c>
      <c r="D75" s="65">
        <v>50</v>
      </c>
      <c r="E75" s="13" t="s">
        <v>37</v>
      </c>
      <c r="F75" s="13" t="s">
        <v>1068</v>
      </c>
      <c r="G75" s="74" t="s">
        <v>1069</v>
      </c>
      <c r="H75" s="2"/>
      <c r="I75" s="2"/>
      <c r="J75" s="2"/>
      <c r="K75" s="2"/>
      <c r="L75" s="2"/>
      <c r="M75" s="2"/>
      <c r="N75" s="2"/>
      <c r="O75" s="2"/>
      <c r="P75" s="2"/>
      <c r="Q75" s="2"/>
      <c r="R75" s="2"/>
      <c r="S75" s="2"/>
      <c r="T75" s="2"/>
      <c r="U75" s="2"/>
      <c r="V75" s="2"/>
      <c r="W75" s="2"/>
      <c r="X75" s="2"/>
      <c r="Y75" s="2"/>
      <c r="Z75" s="2"/>
    </row>
    <row r="76" customHeight="1" spans="1:26">
      <c r="A76" s="64" t="s">
        <v>338</v>
      </c>
      <c r="B76" s="13" t="s">
        <v>339</v>
      </c>
      <c r="C76" s="13" t="s">
        <v>315</v>
      </c>
      <c r="D76" s="65">
        <v>125</v>
      </c>
      <c r="E76" s="13" t="s">
        <v>262</v>
      </c>
      <c r="F76" s="13" t="s">
        <v>340</v>
      </c>
      <c r="G76" s="13" t="s">
        <v>1070</v>
      </c>
      <c r="H76" s="2"/>
      <c r="I76" s="2"/>
      <c r="J76" s="2"/>
      <c r="K76" s="2"/>
      <c r="L76" s="2"/>
      <c r="M76" s="2"/>
      <c r="N76" s="2"/>
      <c r="O76" s="2"/>
      <c r="P76" s="2"/>
      <c r="Q76" s="2"/>
      <c r="R76" s="2"/>
      <c r="S76" s="2"/>
      <c r="T76" s="2"/>
      <c r="U76" s="2"/>
      <c r="V76" s="2"/>
      <c r="W76" s="2"/>
      <c r="X76" s="2"/>
      <c r="Y76" s="2"/>
      <c r="Z76" s="2"/>
    </row>
    <row r="77" customHeight="1" spans="1:26">
      <c r="A77" s="64" t="s">
        <v>342</v>
      </c>
      <c r="B77" s="13" t="s">
        <v>1071</v>
      </c>
      <c r="C77" s="13" t="s">
        <v>315</v>
      </c>
      <c r="D77" s="65">
        <v>45</v>
      </c>
      <c r="E77" s="13" t="s">
        <v>262</v>
      </c>
      <c r="F77" s="13" t="s">
        <v>1072</v>
      </c>
      <c r="G77" s="13" t="s">
        <v>1073</v>
      </c>
      <c r="H77" s="2"/>
      <c r="I77" s="2"/>
      <c r="J77" s="2"/>
      <c r="K77" s="2"/>
      <c r="L77" s="2"/>
      <c r="M77" s="2"/>
      <c r="N77" s="2"/>
      <c r="O77" s="2"/>
      <c r="P77" s="2"/>
      <c r="Q77" s="2"/>
      <c r="R77" s="2"/>
      <c r="S77" s="2"/>
      <c r="T77" s="2"/>
      <c r="U77" s="2"/>
      <c r="V77" s="2"/>
      <c r="W77" s="2"/>
      <c r="X77" s="2"/>
      <c r="Y77" s="2"/>
      <c r="Z77" s="2"/>
    </row>
    <row r="78" customHeight="1" spans="1:26">
      <c r="A78" s="64" t="s">
        <v>346</v>
      </c>
      <c r="B78" s="13" t="s">
        <v>347</v>
      </c>
      <c r="C78" s="13" t="s">
        <v>315</v>
      </c>
      <c r="D78" s="65">
        <v>55</v>
      </c>
      <c r="E78" s="13" t="s">
        <v>37</v>
      </c>
      <c r="F78" s="13" t="s">
        <v>348</v>
      </c>
      <c r="G78" s="74" t="s">
        <v>1074</v>
      </c>
      <c r="H78" s="2"/>
      <c r="I78" s="2"/>
      <c r="J78" s="2"/>
      <c r="K78" s="2"/>
      <c r="L78" s="2"/>
      <c r="M78" s="2"/>
      <c r="N78" s="2"/>
      <c r="O78" s="2"/>
      <c r="P78" s="2"/>
      <c r="Q78" s="2"/>
      <c r="R78" s="2"/>
      <c r="S78" s="2"/>
      <c r="T78" s="2"/>
      <c r="U78" s="2"/>
      <c r="V78" s="2"/>
      <c r="W78" s="2"/>
      <c r="X78" s="2"/>
      <c r="Y78" s="2"/>
      <c r="Z78" s="2"/>
    </row>
    <row r="79" customHeight="1" spans="1:26">
      <c r="A79" s="64" t="s">
        <v>350</v>
      </c>
      <c r="B79" s="13" t="s">
        <v>351</v>
      </c>
      <c r="C79" s="13" t="s">
        <v>315</v>
      </c>
      <c r="D79" s="65">
        <v>20</v>
      </c>
      <c r="E79" s="13" t="s">
        <v>262</v>
      </c>
      <c r="F79" s="13" t="s">
        <v>352</v>
      </c>
      <c r="G79" s="13" t="s">
        <v>1075</v>
      </c>
      <c r="H79" s="2"/>
      <c r="I79" s="2"/>
      <c r="J79" s="2"/>
      <c r="K79" s="2"/>
      <c r="L79" s="2"/>
      <c r="M79" s="2"/>
      <c r="N79" s="2"/>
      <c r="O79" s="2"/>
      <c r="P79" s="2"/>
      <c r="Q79" s="2"/>
      <c r="R79" s="2"/>
      <c r="S79" s="2"/>
      <c r="T79" s="2"/>
      <c r="U79" s="2"/>
      <c r="V79" s="2"/>
      <c r="W79" s="2"/>
      <c r="X79" s="2"/>
      <c r="Y79" s="2"/>
      <c r="Z79" s="2"/>
    </row>
    <row r="80" customHeight="1" spans="1:26">
      <c r="A80" s="13" t="s">
        <v>354</v>
      </c>
      <c r="B80" s="13" t="s">
        <v>355</v>
      </c>
      <c r="C80" s="13" t="s">
        <v>356</v>
      </c>
      <c r="D80" s="65">
        <v>123</v>
      </c>
      <c r="E80" s="13" t="s">
        <v>310</v>
      </c>
      <c r="F80" s="13" t="s">
        <v>357</v>
      </c>
      <c r="G80" s="13" t="s">
        <v>1076</v>
      </c>
      <c r="H80" s="2"/>
      <c r="I80" s="2"/>
      <c r="J80" s="2"/>
      <c r="K80" s="2"/>
      <c r="L80" s="2"/>
      <c r="M80" s="2"/>
      <c r="N80" s="2"/>
      <c r="O80" s="2"/>
      <c r="P80" s="2"/>
      <c r="Q80" s="2"/>
      <c r="R80" s="2"/>
      <c r="S80" s="2"/>
      <c r="T80" s="2"/>
      <c r="U80" s="2"/>
      <c r="V80" s="2"/>
      <c r="W80" s="2"/>
      <c r="X80" s="2"/>
      <c r="Y80" s="2"/>
      <c r="Z80" s="2"/>
    </row>
    <row r="81" customHeight="1" spans="1:26">
      <c r="A81" s="13" t="s">
        <v>359</v>
      </c>
      <c r="B81" s="13" t="s">
        <v>1077</v>
      </c>
      <c r="C81" s="13" t="s">
        <v>361</v>
      </c>
      <c r="D81" s="65">
        <v>55</v>
      </c>
      <c r="E81" s="13" t="s">
        <v>310</v>
      </c>
      <c r="F81" s="13" t="s">
        <v>1078</v>
      </c>
      <c r="G81" s="13" t="s">
        <v>1079</v>
      </c>
      <c r="H81" s="2"/>
      <c r="I81" s="2"/>
      <c r="J81" s="2"/>
      <c r="K81" s="2"/>
      <c r="L81" s="2"/>
      <c r="M81" s="2"/>
      <c r="N81" s="2"/>
      <c r="O81" s="2"/>
      <c r="P81" s="2"/>
      <c r="Q81" s="2"/>
      <c r="R81" s="2"/>
      <c r="S81" s="2"/>
      <c r="T81" s="2"/>
      <c r="U81" s="2"/>
      <c r="V81" s="2"/>
      <c r="W81" s="2"/>
      <c r="X81" s="2"/>
      <c r="Y81" s="2"/>
      <c r="Z81" s="2"/>
    </row>
    <row r="82" customHeight="1" spans="1:26">
      <c r="A82" s="64" t="s">
        <v>364</v>
      </c>
      <c r="B82" s="13" t="s">
        <v>365</v>
      </c>
      <c r="C82" s="13" t="s">
        <v>366</v>
      </c>
      <c r="D82" s="65">
        <v>35</v>
      </c>
      <c r="E82" s="13" t="s">
        <v>262</v>
      </c>
      <c r="F82" s="13" t="s">
        <v>367</v>
      </c>
      <c r="G82" s="13" t="s">
        <v>1080</v>
      </c>
      <c r="H82" s="2"/>
      <c r="I82" s="2"/>
      <c r="J82" s="2"/>
      <c r="K82" s="2"/>
      <c r="L82" s="2"/>
      <c r="M82" s="2"/>
      <c r="N82" s="2"/>
      <c r="O82" s="2"/>
      <c r="P82" s="2"/>
      <c r="Q82" s="2"/>
      <c r="R82" s="2"/>
      <c r="S82" s="2"/>
      <c r="T82" s="2"/>
      <c r="U82" s="2"/>
      <c r="V82" s="2"/>
      <c r="W82" s="2"/>
      <c r="X82" s="2"/>
      <c r="Y82" s="2"/>
      <c r="Z82" s="2"/>
    </row>
    <row r="83" customHeight="1" spans="1:26">
      <c r="A83" s="64" t="s">
        <v>368</v>
      </c>
      <c r="B83" s="13" t="s">
        <v>369</v>
      </c>
      <c r="C83" s="13" t="s">
        <v>366</v>
      </c>
      <c r="D83" s="65">
        <v>30</v>
      </c>
      <c r="E83" s="13" t="s">
        <v>262</v>
      </c>
      <c r="F83" s="13" t="s">
        <v>370</v>
      </c>
      <c r="G83" s="13" t="s">
        <v>1081</v>
      </c>
      <c r="H83" s="2"/>
      <c r="I83" s="2"/>
      <c r="J83" s="2"/>
      <c r="K83" s="2"/>
      <c r="L83" s="2"/>
      <c r="M83" s="2"/>
      <c r="N83" s="2"/>
      <c r="O83" s="2"/>
      <c r="P83" s="2"/>
      <c r="Q83" s="2"/>
      <c r="R83" s="2"/>
      <c r="S83" s="2"/>
      <c r="T83" s="2"/>
      <c r="U83" s="2"/>
      <c r="V83" s="2"/>
      <c r="W83" s="2"/>
      <c r="X83" s="2"/>
      <c r="Y83" s="2"/>
      <c r="Z83" s="2"/>
    </row>
    <row r="84" customHeight="1" spans="1:26">
      <c r="A84" s="64" t="s">
        <v>371</v>
      </c>
      <c r="B84" s="13" t="s">
        <v>372</v>
      </c>
      <c r="C84" s="13" t="s">
        <v>373</v>
      </c>
      <c r="D84" s="65">
        <v>35</v>
      </c>
      <c r="E84" s="13" t="s">
        <v>37</v>
      </c>
      <c r="F84" s="13" t="s">
        <v>374</v>
      </c>
      <c r="G84" s="13" t="s">
        <v>1082</v>
      </c>
      <c r="H84" s="2"/>
      <c r="I84" s="2"/>
      <c r="J84" s="2"/>
      <c r="K84" s="2"/>
      <c r="L84" s="2"/>
      <c r="M84" s="2"/>
      <c r="N84" s="2"/>
      <c r="O84" s="2"/>
      <c r="P84" s="2"/>
      <c r="Q84" s="2"/>
      <c r="R84" s="2"/>
      <c r="S84" s="2"/>
      <c r="T84" s="2"/>
      <c r="U84" s="2"/>
      <c r="V84" s="2"/>
      <c r="W84" s="2"/>
      <c r="X84" s="2"/>
      <c r="Y84" s="2"/>
      <c r="Z84" s="2"/>
    </row>
    <row r="85" customHeight="1" spans="1:26">
      <c r="A85" s="64" t="s">
        <v>375</v>
      </c>
      <c r="B85" s="13" t="s">
        <v>1083</v>
      </c>
      <c r="C85" s="13" t="s">
        <v>373</v>
      </c>
      <c r="D85" s="65">
        <v>90</v>
      </c>
      <c r="E85" s="13" t="s">
        <v>37</v>
      </c>
      <c r="F85" s="13" t="s">
        <v>1084</v>
      </c>
      <c r="G85" s="13" t="s">
        <v>1085</v>
      </c>
      <c r="H85" s="2"/>
      <c r="I85" s="2"/>
      <c r="J85" s="2"/>
      <c r="K85" s="2"/>
      <c r="L85" s="2"/>
      <c r="M85" s="2"/>
      <c r="N85" s="2"/>
      <c r="O85" s="2"/>
      <c r="P85" s="2"/>
      <c r="Q85" s="2"/>
      <c r="R85" s="2"/>
      <c r="S85" s="2"/>
      <c r="T85" s="2"/>
      <c r="U85" s="2"/>
      <c r="V85" s="2"/>
      <c r="W85" s="2"/>
      <c r="X85" s="2"/>
      <c r="Y85" s="2"/>
      <c r="Z85" s="2"/>
    </row>
    <row r="86" customHeight="1" spans="1:26">
      <c r="A86" s="64" t="s">
        <v>379</v>
      </c>
      <c r="B86" s="13" t="s">
        <v>1086</v>
      </c>
      <c r="C86" s="13" t="s">
        <v>373</v>
      </c>
      <c r="D86" s="65">
        <v>66</v>
      </c>
      <c r="E86" s="13" t="s">
        <v>21</v>
      </c>
      <c r="F86" s="13" t="s">
        <v>1087</v>
      </c>
      <c r="G86" s="13" t="s">
        <v>1088</v>
      </c>
      <c r="H86" s="2"/>
      <c r="I86" s="2"/>
      <c r="J86" s="2"/>
      <c r="K86" s="2"/>
      <c r="L86" s="2"/>
      <c r="M86" s="2"/>
      <c r="N86" s="2"/>
      <c r="O86" s="2"/>
      <c r="P86" s="2"/>
      <c r="Q86" s="2"/>
      <c r="R86" s="2"/>
      <c r="S86" s="2"/>
      <c r="T86" s="2"/>
      <c r="U86" s="2"/>
      <c r="V86" s="2"/>
      <c r="W86" s="2"/>
      <c r="X86" s="2"/>
      <c r="Y86" s="2"/>
      <c r="Z86" s="2"/>
    </row>
    <row r="87" customHeight="1" spans="1:26">
      <c r="A87" s="13" t="s">
        <v>383</v>
      </c>
      <c r="B87" s="13" t="s">
        <v>1089</v>
      </c>
      <c r="C87" s="13" t="s">
        <v>373</v>
      </c>
      <c r="D87" s="65">
        <v>150</v>
      </c>
      <c r="E87" s="13" t="s">
        <v>310</v>
      </c>
      <c r="F87" s="13" t="s">
        <v>1090</v>
      </c>
      <c r="G87" s="13" t="s">
        <v>1091</v>
      </c>
      <c r="H87" s="2"/>
      <c r="I87" s="2"/>
      <c r="J87" s="2"/>
      <c r="K87" s="2"/>
      <c r="L87" s="2"/>
      <c r="M87" s="2"/>
      <c r="N87" s="2"/>
      <c r="O87" s="2"/>
      <c r="P87" s="2"/>
      <c r="Q87" s="2"/>
      <c r="R87" s="2"/>
      <c r="S87" s="2"/>
      <c r="T87" s="2"/>
      <c r="U87" s="2"/>
      <c r="V87" s="2"/>
      <c r="W87" s="2"/>
      <c r="X87" s="2"/>
      <c r="Y87" s="2"/>
      <c r="Z87" s="2"/>
    </row>
    <row r="88" customHeight="1" spans="1:26">
      <c r="A88" s="13" t="s">
        <v>387</v>
      </c>
      <c r="B88" s="13" t="s">
        <v>1092</v>
      </c>
      <c r="C88" s="13" t="s">
        <v>373</v>
      </c>
      <c r="D88" s="65">
        <v>76</v>
      </c>
      <c r="E88" s="13" t="s">
        <v>37</v>
      </c>
      <c r="F88" s="13" t="s">
        <v>1093</v>
      </c>
      <c r="G88" s="13" t="s">
        <v>1094</v>
      </c>
      <c r="H88" s="2"/>
      <c r="I88" s="2"/>
      <c r="J88" s="2"/>
      <c r="K88" s="2"/>
      <c r="L88" s="2"/>
      <c r="M88" s="2"/>
      <c r="N88" s="2"/>
      <c r="O88" s="2"/>
      <c r="P88" s="2"/>
      <c r="Q88" s="2"/>
      <c r="R88" s="2"/>
      <c r="S88" s="2"/>
      <c r="T88" s="2"/>
      <c r="U88" s="2"/>
      <c r="V88" s="2"/>
      <c r="W88" s="2"/>
      <c r="X88" s="2"/>
      <c r="Y88" s="2"/>
      <c r="Z88" s="2"/>
    </row>
    <row r="89" customHeight="1" spans="1:26">
      <c r="A89" s="13" t="s">
        <v>391</v>
      </c>
      <c r="B89" s="13" t="s">
        <v>392</v>
      </c>
      <c r="C89" s="13" t="s">
        <v>393</v>
      </c>
      <c r="D89" s="14">
        <v>3500</v>
      </c>
      <c r="E89" s="13" t="s">
        <v>21</v>
      </c>
      <c r="F89" s="13" t="s">
        <v>394</v>
      </c>
      <c r="G89" s="13" t="s">
        <v>1095</v>
      </c>
      <c r="H89" s="2"/>
      <c r="I89" s="2"/>
      <c r="J89" s="2"/>
      <c r="K89" s="2"/>
      <c r="L89" s="2"/>
      <c r="M89" s="2"/>
      <c r="N89" s="2"/>
      <c r="O89" s="2"/>
      <c r="P89" s="2"/>
      <c r="Q89" s="2"/>
      <c r="R89" s="2"/>
      <c r="S89" s="2"/>
      <c r="T89" s="2"/>
      <c r="U89" s="2"/>
      <c r="V89" s="2"/>
      <c r="W89" s="2"/>
      <c r="X89" s="2"/>
      <c r="Y89" s="2"/>
      <c r="Z89" s="2"/>
    </row>
    <row r="90" customHeight="1" spans="1:26">
      <c r="A90" s="13" t="s">
        <v>395</v>
      </c>
      <c r="B90" s="13" t="s">
        <v>396</v>
      </c>
      <c r="C90" s="13" t="s">
        <v>393</v>
      </c>
      <c r="D90" s="14">
        <v>1230</v>
      </c>
      <c r="E90" s="13" t="s">
        <v>21</v>
      </c>
      <c r="F90" s="13" t="s">
        <v>397</v>
      </c>
      <c r="G90" s="13" t="s">
        <v>1096</v>
      </c>
      <c r="H90" s="2"/>
      <c r="I90" s="2"/>
      <c r="J90" s="2"/>
      <c r="K90" s="2"/>
      <c r="L90" s="2"/>
      <c r="M90" s="2"/>
      <c r="N90" s="2"/>
      <c r="O90" s="2"/>
      <c r="P90" s="2"/>
      <c r="Q90" s="2"/>
      <c r="R90" s="2"/>
      <c r="S90" s="2"/>
      <c r="T90" s="2"/>
      <c r="U90" s="2"/>
      <c r="V90" s="2"/>
      <c r="W90" s="2"/>
      <c r="X90" s="2"/>
      <c r="Y90" s="2"/>
      <c r="Z90" s="2"/>
    </row>
    <row r="91" customHeight="1" spans="1:26">
      <c r="A91" s="13" t="s">
        <v>399</v>
      </c>
      <c r="B91" s="13" t="s">
        <v>1097</v>
      </c>
      <c r="C91" s="13" t="s">
        <v>224</v>
      </c>
      <c r="D91" s="65">
        <v>130</v>
      </c>
      <c r="E91" s="13" t="s">
        <v>262</v>
      </c>
      <c r="F91" s="13" t="s">
        <v>1098</v>
      </c>
      <c r="G91" s="13" t="s">
        <v>1099</v>
      </c>
      <c r="H91" s="2"/>
      <c r="I91" s="2"/>
      <c r="J91" s="2"/>
      <c r="K91" s="2"/>
      <c r="L91" s="2"/>
      <c r="M91" s="2"/>
      <c r="N91" s="2"/>
      <c r="O91" s="2"/>
      <c r="P91" s="2"/>
      <c r="Q91" s="2"/>
      <c r="R91" s="2"/>
      <c r="S91" s="2"/>
      <c r="T91" s="2"/>
      <c r="U91" s="2"/>
      <c r="V91" s="2"/>
      <c r="W91" s="2"/>
      <c r="X91" s="2"/>
      <c r="Y91" s="2"/>
      <c r="Z91" s="2"/>
    </row>
    <row r="92" customHeight="1" spans="1:26">
      <c r="A92" s="13" t="s">
        <v>403</v>
      </c>
      <c r="B92" s="13" t="s">
        <v>1100</v>
      </c>
      <c r="C92" s="13" t="s">
        <v>229</v>
      </c>
      <c r="D92" s="65">
        <v>500</v>
      </c>
      <c r="E92" s="13" t="s">
        <v>21</v>
      </c>
      <c r="F92" s="13" t="s">
        <v>1101</v>
      </c>
      <c r="G92" s="13" t="s">
        <v>1102</v>
      </c>
      <c r="H92" s="2"/>
      <c r="I92" s="2"/>
      <c r="J92" s="2"/>
      <c r="K92" s="2"/>
      <c r="L92" s="2"/>
      <c r="M92" s="2"/>
      <c r="N92" s="2"/>
      <c r="O92" s="2"/>
      <c r="P92" s="2"/>
      <c r="Q92" s="2"/>
      <c r="R92" s="2"/>
      <c r="S92" s="2"/>
      <c r="T92" s="2"/>
      <c r="U92" s="2"/>
      <c r="V92" s="2"/>
      <c r="W92" s="2"/>
      <c r="X92" s="2"/>
      <c r="Y92" s="2"/>
      <c r="Z92" s="2"/>
    </row>
    <row r="93" customHeight="1" spans="1:26">
      <c r="A93" s="13" t="s">
        <v>407</v>
      </c>
      <c r="B93" s="13" t="s">
        <v>1103</v>
      </c>
      <c r="C93" s="13" t="s">
        <v>229</v>
      </c>
      <c r="D93" s="65">
        <v>350</v>
      </c>
      <c r="E93" s="13" t="s">
        <v>21</v>
      </c>
      <c r="F93" s="13" t="s">
        <v>1104</v>
      </c>
      <c r="G93" s="13" t="s">
        <v>1105</v>
      </c>
      <c r="H93" s="2"/>
      <c r="I93" s="2"/>
      <c r="J93" s="2"/>
      <c r="K93" s="2"/>
      <c r="L93" s="2"/>
      <c r="M93" s="2"/>
      <c r="N93" s="2"/>
      <c r="O93" s="2"/>
      <c r="P93" s="2"/>
      <c r="Q93" s="2"/>
      <c r="R93" s="2"/>
      <c r="S93" s="2"/>
      <c r="T93" s="2"/>
      <c r="U93" s="2"/>
      <c r="V93" s="2"/>
      <c r="W93" s="2"/>
      <c r="X93" s="2"/>
      <c r="Y93" s="2"/>
      <c r="Z93" s="2"/>
    </row>
    <row r="94" customHeight="1" spans="1:26">
      <c r="A94" s="13" t="s">
        <v>411</v>
      </c>
      <c r="B94" s="13" t="s">
        <v>1106</v>
      </c>
      <c r="C94" s="13" t="s">
        <v>413</v>
      </c>
      <c r="D94" s="14">
        <v>50</v>
      </c>
      <c r="E94" s="13" t="s">
        <v>310</v>
      </c>
      <c r="F94" s="13" t="s">
        <v>1107</v>
      </c>
      <c r="G94" s="13" t="s">
        <v>1108</v>
      </c>
      <c r="H94" s="2"/>
      <c r="I94" s="2"/>
      <c r="J94" s="2"/>
      <c r="K94" s="2"/>
      <c r="L94" s="2"/>
      <c r="M94" s="2"/>
      <c r="N94" s="2"/>
      <c r="O94" s="2"/>
      <c r="P94" s="2"/>
      <c r="Q94" s="2"/>
      <c r="R94" s="2"/>
      <c r="S94" s="2"/>
      <c r="T94" s="2"/>
      <c r="U94" s="2"/>
      <c r="V94" s="2"/>
      <c r="W94" s="2"/>
      <c r="X94" s="2"/>
      <c r="Y94" s="2"/>
      <c r="Z94" s="2"/>
    </row>
    <row r="95" customHeight="1" spans="1:26">
      <c r="A95" s="13" t="s">
        <v>416</v>
      </c>
      <c r="B95" s="13" t="s">
        <v>1109</v>
      </c>
      <c r="C95" s="13" t="s">
        <v>418</v>
      </c>
      <c r="D95" s="14">
        <v>35</v>
      </c>
      <c r="E95" s="13" t="s">
        <v>310</v>
      </c>
      <c r="F95" s="13" t="s">
        <v>1110</v>
      </c>
      <c r="G95" s="13" t="s">
        <v>1111</v>
      </c>
      <c r="H95" s="2"/>
      <c r="I95" s="2"/>
      <c r="J95" s="2"/>
      <c r="K95" s="2"/>
      <c r="L95" s="2"/>
      <c r="M95" s="2"/>
      <c r="N95" s="2"/>
      <c r="O95" s="2"/>
      <c r="P95" s="2"/>
      <c r="Q95" s="2"/>
      <c r="R95" s="2"/>
      <c r="S95" s="2"/>
      <c r="T95" s="2"/>
      <c r="U95" s="2"/>
      <c r="V95" s="2"/>
      <c r="W95" s="2"/>
      <c r="X95" s="2"/>
      <c r="Y95" s="2"/>
      <c r="Z95" s="2"/>
    </row>
    <row r="96" customHeight="1" spans="1:26">
      <c r="A96" s="13" t="s">
        <v>421</v>
      </c>
      <c r="B96" s="13" t="s">
        <v>1112</v>
      </c>
      <c r="C96" s="13" t="s">
        <v>423</v>
      </c>
      <c r="D96" s="14">
        <v>67</v>
      </c>
      <c r="E96" s="13" t="s">
        <v>310</v>
      </c>
      <c r="F96" s="13" t="s">
        <v>1113</v>
      </c>
      <c r="G96" s="68" t="str">
        <f>HYPERLINK("http://www.bricoio.it/","http://www.bricoio.it")</f>
        <v>http://www.bricoio.it</v>
      </c>
      <c r="H96" s="2"/>
      <c r="I96" s="2"/>
      <c r="J96" s="2"/>
      <c r="K96" s="2"/>
      <c r="L96" s="2"/>
      <c r="M96" s="2"/>
      <c r="N96" s="2"/>
      <c r="O96" s="2"/>
      <c r="P96" s="2"/>
      <c r="Q96" s="2"/>
      <c r="R96" s="2"/>
      <c r="S96" s="2"/>
      <c r="T96" s="2"/>
      <c r="U96" s="2"/>
      <c r="V96" s="2"/>
      <c r="W96" s="2"/>
      <c r="X96" s="2"/>
      <c r="Y96" s="2"/>
      <c r="Z96" s="2"/>
    </row>
    <row r="97" customHeight="1" spans="1:26">
      <c r="A97" s="13" t="s">
        <v>426</v>
      </c>
      <c r="B97" s="13" t="s">
        <v>1114</v>
      </c>
      <c r="C97" s="13" t="s">
        <v>428</v>
      </c>
      <c r="D97" s="65">
        <v>13</v>
      </c>
      <c r="E97" s="13" t="s">
        <v>262</v>
      </c>
      <c r="F97" s="13" t="s">
        <v>1115</v>
      </c>
      <c r="G97" s="13" t="s">
        <v>1116</v>
      </c>
      <c r="H97" s="2"/>
      <c r="I97" s="2"/>
      <c r="J97" s="2"/>
      <c r="K97" s="2"/>
      <c r="L97" s="2"/>
      <c r="M97" s="2"/>
      <c r="N97" s="2"/>
      <c r="O97" s="2"/>
      <c r="P97" s="2"/>
      <c r="Q97" s="2"/>
      <c r="R97" s="2"/>
      <c r="S97" s="2"/>
      <c r="T97" s="2"/>
      <c r="U97" s="2"/>
      <c r="V97" s="2"/>
      <c r="W97" s="2"/>
      <c r="X97" s="2"/>
      <c r="Y97" s="2"/>
      <c r="Z97" s="2"/>
    </row>
    <row r="98" customHeight="1" spans="1:26">
      <c r="A98" s="13" t="s">
        <v>431</v>
      </c>
      <c r="B98" s="13" t="s">
        <v>1117</v>
      </c>
      <c r="C98" s="13" t="s">
        <v>428</v>
      </c>
      <c r="D98" s="65">
        <v>879</v>
      </c>
      <c r="E98" s="13" t="s">
        <v>21</v>
      </c>
      <c r="F98" s="13" t="s">
        <v>1118</v>
      </c>
      <c r="G98" s="13" t="s">
        <v>1119</v>
      </c>
      <c r="H98" s="2"/>
      <c r="I98" s="2"/>
      <c r="J98" s="2"/>
      <c r="K98" s="2"/>
      <c r="L98" s="2"/>
      <c r="M98" s="2"/>
      <c r="N98" s="2"/>
      <c r="O98" s="2"/>
      <c r="P98" s="2"/>
      <c r="Q98" s="2"/>
      <c r="R98" s="2"/>
      <c r="S98" s="2"/>
      <c r="T98" s="2"/>
      <c r="U98" s="2"/>
      <c r="V98" s="2"/>
      <c r="W98" s="2"/>
      <c r="X98" s="2"/>
      <c r="Y98" s="2"/>
      <c r="Z98" s="2"/>
    </row>
    <row r="99" customHeight="1" spans="1:26">
      <c r="A99" s="13" t="s">
        <v>435</v>
      </c>
      <c r="B99" s="13" t="s">
        <v>1120</v>
      </c>
      <c r="C99" s="13" t="s">
        <v>428</v>
      </c>
      <c r="D99" s="14">
        <v>1000</v>
      </c>
      <c r="E99" s="13" t="s">
        <v>21</v>
      </c>
      <c r="F99" s="13" t="s">
        <v>1121</v>
      </c>
      <c r="G99" s="13" t="s">
        <v>1122</v>
      </c>
      <c r="H99" s="2"/>
      <c r="I99" s="2"/>
      <c r="J99" s="2"/>
      <c r="K99" s="2"/>
      <c r="L99" s="2"/>
      <c r="M99" s="2"/>
      <c r="N99" s="2"/>
      <c r="O99" s="2"/>
      <c r="P99" s="2"/>
      <c r="Q99" s="2"/>
      <c r="R99" s="2"/>
      <c r="S99" s="2"/>
      <c r="T99" s="2"/>
      <c r="U99" s="2"/>
      <c r="V99" s="2"/>
      <c r="W99" s="2"/>
      <c r="X99" s="2"/>
      <c r="Y99" s="2"/>
      <c r="Z99" s="2"/>
    </row>
    <row r="100" customHeight="1" spans="1:26">
      <c r="A100" s="64" t="s">
        <v>439</v>
      </c>
      <c r="B100" s="13" t="s">
        <v>1123</v>
      </c>
      <c r="C100" s="13" t="s">
        <v>315</v>
      </c>
      <c r="D100" s="65">
        <v>15</v>
      </c>
      <c r="E100" s="13" t="s">
        <v>37</v>
      </c>
      <c r="F100" s="13" t="s">
        <v>1124</v>
      </c>
      <c r="G100" s="13" t="s">
        <v>1125</v>
      </c>
      <c r="H100" s="2"/>
      <c r="I100" s="2"/>
      <c r="J100" s="2"/>
      <c r="K100" s="2"/>
      <c r="L100" s="2"/>
      <c r="M100" s="2"/>
      <c r="N100" s="2"/>
      <c r="O100" s="2"/>
      <c r="P100" s="2"/>
      <c r="Q100" s="2"/>
      <c r="R100" s="2"/>
      <c r="S100" s="2"/>
      <c r="T100" s="2"/>
      <c r="U100" s="2"/>
      <c r="V100" s="2"/>
      <c r="W100" s="2"/>
      <c r="X100" s="2"/>
      <c r="Y100" s="2"/>
      <c r="Z100" s="2"/>
    </row>
    <row r="101" customHeight="1" spans="1:26">
      <c r="A101" s="13" t="s">
        <v>443</v>
      </c>
      <c r="B101" s="13" t="s">
        <v>1126</v>
      </c>
      <c r="C101" s="13" t="s">
        <v>772</v>
      </c>
      <c r="D101" s="14">
        <v>188</v>
      </c>
      <c r="E101" s="13" t="s">
        <v>310</v>
      </c>
      <c r="F101" s="13" t="s">
        <v>1127</v>
      </c>
      <c r="G101" s="13" t="s">
        <v>1128</v>
      </c>
      <c r="H101" s="2"/>
      <c r="I101" s="2"/>
      <c r="J101" s="2"/>
      <c r="K101" s="2"/>
      <c r="L101" s="2"/>
      <c r="M101" s="2"/>
      <c r="N101" s="2"/>
      <c r="O101" s="2"/>
      <c r="P101" s="2"/>
      <c r="Q101" s="2"/>
      <c r="R101" s="2"/>
      <c r="S101" s="2"/>
      <c r="T101" s="2"/>
      <c r="U101" s="2"/>
      <c r="V101" s="2"/>
      <c r="W101" s="2"/>
      <c r="X101" s="2"/>
      <c r="Y101" s="2"/>
      <c r="Z101" s="2"/>
    </row>
    <row r="102" customHeight="1" spans="1:26">
      <c r="A102" s="13" t="s">
        <v>448</v>
      </c>
      <c r="B102" s="13" t="s">
        <v>1129</v>
      </c>
      <c r="C102" s="13" t="s">
        <v>450</v>
      </c>
      <c r="D102" s="65">
        <v>95</v>
      </c>
      <c r="E102" s="13" t="s">
        <v>310</v>
      </c>
      <c r="F102" s="13" t="s">
        <v>1130</v>
      </c>
      <c r="G102" s="13" t="s">
        <v>1131</v>
      </c>
      <c r="H102" s="2"/>
      <c r="I102" s="2"/>
      <c r="J102" s="2"/>
      <c r="K102" s="2"/>
      <c r="L102" s="2"/>
      <c r="M102" s="2"/>
      <c r="N102" s="2"/>
      <c r="O102" s="2"/>
      <c r="P102" s="2"/>
      <c r="Q102" s="2"/>
      <c r="R102" s="2"/>
      <c r="S102" s="2"/>
      <c r="T102" s="2"/>
      <c r="U102" s="2"/>
      <c r="V102" s="2"/>
      <c r="W102" s="2"/>
      <c r="X102" s="2"/>
      <c r="Y102" s="2"/>
      <c r="Z102" s="2"/>
    </row>
    <row r="103" customHeight="1" spans="1:26">
      <c r="A103" s="13" t="s">
        <v>452</v>
      </c>
      <c r="B103" s="13" t="s">
        <v>314</v>
      </c>
      <c r="C103" s="13" t="s">
        <v>450</v>
      </c>
      <c r="D103" s="65">
        <v>89</v>
      </c>
      <c r="E103" s="13" t="s">
        <v>310</v>
      </c>
      <c r="F103" s="13" t="s">
        <v>1132</v>
      </c>
      <c r="G103" s="13" t="s">
        <v>1133</v>
      </c>
      <c r="H103" s="2"/>
      <c r="I103" s="2"/>
      <c r="J103" s="2"/>
      <c r="K103" s="2"/>
      <c r="L103" s="2"/>
      <c r="M103" s="2"/>
      <c r="N103" s="2"/>
      <c r="O103" s="2"/>
      <c r="P103" s="2"/>
      <c r="Q103" s="2"/>
      <c r="R103" s="2"/>
      <c r="S103" s="2"/>
      <c r="T103" s="2"/>
      <c r="U103" s="2"/>
      <c r="V103" s="2"/>
      <c r="W103" s="2"/>
      <c r="X103" s="2"/>
      <c r="Y103" s="2"/>
      <c r="Z103" s="2"/>
    </row>
    <row r="104" customHeight="1" spans="1:26">
      <c r="A104" s="13" t="s">
        <v>455</v>
      </c>
      <c r="B104" s="13" t="s">
        <v>1134</v>
      </c>
      <c r="C104" s="13" t="s">
        <v>457</v>
      </c>
      <c r="D104" s="14">
        <v>400</v>
      </c>
      <c r="E104" s="13" t="s">
        <v>21</v>
      </c>
      <c r="F104" s="13" t="s">
        <v>1135</v>
      </c>
      <c r="G104" s="13" t="s">
        <v>1136</v>
      </c>
      <c r="H104" s="2"/>
      <c r="I104" s="2"/>
      <c r="J104" s="2"/>
      <c r="K104" s="2"/>
      <c r="L104" s="2"/>
      <c r="M104" s="2"/>
      <c r="N104" s="2"/>
      <c r="O104" s="2"/>
      <c r="P104" s="2"/>
      <c r="Q104" s="2"/>
      <c r="R104" s="2"/>
      <c r="S104" s="2"/>
      <c r="T104" s="2"/>
      <c r="U104" s="2"/>
      <c r="V104" s="2"/>
      <c r="W104" s="2"/>
      <c r="X104" s="2"/>
      <c r="Y104" s="2"/>
      <c r="Z104" s="2"/>
    </row>
    <row r="105" customHeight="1" spans="1:26">
      <c r="A105" s="13" t="s">
        <v>1137</v>
      </c>
      <c r="B105" s="13" t="s">
        <v>1138</v>
      </c>
      <c r="C105" s="13" t="s">
        <v>1139</v>
      </c>
      <c r="D105" s="14">
        <v>8</v>
      </c>
      <c r="E105" s="13" t="s">
        <v>37</v>
      </c>
      <c r="F105" s="13" t="s">
        <v>1140</v>
      </c>
      <c r="G105" s="13" t="s">
        <v>1141</v>
      </c>
      <c r="H105" s="2"/>
      <c r="I105" s="2"/>
      <c r="J105" s="2"/>
      <c r="K105" s="2"/>
      <c r="L105" s="2"/>
      <c r="M105" s="2"/>
      <c r="N105" s="2"/>
      <c r="O105" s="2"/>
      <c r="P105" s="2"/>
      <c r="Q105" s="2"/>
      <c r="R105" s="2"/>
      <c r="S105" s="2"/>
      <c r="T105" s="2"/>
      <c r="U105" s="2"/>
      <c r="V105" s="2"/>
      <c r="W105" s="2"/>
      <c r="X105" s="2"/>
      <c r="Y105" s="2"/>
      <c r="Z105" s="2"/>
    </row>
    <row r="106" customHeight="1" spans="1:26">
      <c r="A106" s="64" t="s">
        <v>465</v>
      </c>
      <c r="B106" s="13" t="s">
        <v>1142</v>
      </c>
      <c r="C106" s="13" t="s">
        <v>471</v>
      </c>
      <c r="D106" s="65">
        <v>30</v>
      </c>
      <c r="E106" s="13" t="s">
        <v>21</v>
      </c>
      <c r="F106" s="13" t="s">
        <v>1143</v>
      </c>
      <c r="G106" s="13" t="s">
        <v>1144</v>
      </c>
      <c r="H106" s="2"/>
      <c r="I106" s="2"/>
      <c r="J106" s="2"/>
      <c r="K106" s="2"/>
      <c r="L106" s="2"/>
      <c r="M106" s="2"/>
      <c r="N106" s="2"/>
      <c r="O106" s="2"/>
      <c r="P106" s="2"/>
      <c r="Q106" s="2"/>
      <c r="R106" s="2"/>
      <c r="S106" s="2"/>
      <c r="T106" s="2"/>
      <c r="U106" s="2"/>
      <c r="V106" s="2"/>
      <c r="W106" s="2"/>
      <c r="X106" s="2"/>
      <c r="Y106" s="2"/>
      <c r="Z106" s="2"/>
    </row>
    <row r="107" customHeight="1" spans="1:26">
      <c r="A107" s="13" t="s">
        <v>469</v>
      </c>
      <c r="B107" s="13" t="s">
        <v>1145</v>
      </c>
      <c r="C107" s="13" t="s">
        <v>471</v>
      </c>
      <c r="D107" s="14">
        <v>43</v>
      </c>
      <c r="E107" s="13" t="s">
        <v>310</v>
      </c>
      <c r="F107" s="13" t="s">
        <v>1146</v>
      </c>
      <c r="G107" s="13" t="s">
        <v>1147</v>
      </c>
      <c r="H107" s="2"/>
      <c r="I107" s="2"/>
      <c r="J107" s="2"/>
      <c r="K107" s="2"/>
      <c r="L107" s="2"/>
      <c r="M107" s="2"/>
      <c r="N107" s="2"/>
      <c r="O107" s="2"/>
      <c r="P107" s="2"/>
      <c r="Q107" s="2"/>
      <c r="R107" s="2"/>
      <c r="S107" s="2"/>
      <c r="T107" s="2"/>
      <c r="U107" s="2"/>
      <c r="V107" s="2"/>
      <c r="W107" s="2"/>
      <c r="X107" s="2"/>
      <c r="Y107" s="2"/>
      <c r="Z107" s="2"/>
    </row>
    <row r="108" customHeight="1" spans="1:26">
      <c r="A108" s="13" t="s">
        <v>474</v>
      </c>
      <c r="B108" s="13" t="s">
        <v>812</v>
      </c>
      <c r="C108" s="13" t="s">
        <v>476</v>
      </c>
      <c r="D108" s="65">
        <v>123</v>
      </c>
      <c r="E108" s="13" t="s">
        <v>310</v>
      </c>
      <c r="F108" s="13" t="s">
        <v>1148</v>
      </c>
      <c r="G108" s="13" t="s">
        <v>1149</v>
      </c>
      <c r="H108" s="2"/>
      <c r="I108" s="2"/>
      <c r="J108" s="2"/>
      <c r="K108" s="2"/>
      <c r="L108" s="2"/>
      <c r="M108" s="2"/>
      <c r="N108" s="2"/>
      <c r="O108" s="2"/>
      <c r="P108" s="2"/>
      <c r="Q108" s="2"/>
      <c r="R108" s="2"/>
      <c r="S108" s="2"/>
      <c r="T108" s="2"/>
      <c r="U108" s="2"/>
      <c r="V108" s="2"/>
      <c r="W108" s="2"/>
      <c r="X108" s="2"/>
      <c r="Y108" s="2"/>
      <c r="Z108" s="2"/>
    </row>
    <row r="109" customHeight="1" spans="1:26">
      <c r="A109" s="13" t="s">
        <v>479</v>
      </c>
      <c r="B109" s="13" t="s">
        <v>1150</v>
      </c>
      <c r="C109" s="13" t="s">
        <v>476</v>
      </c>
      <c r="D109" s="65">
        <v>76</v>
      </c>
      <c r="E109" s="13" t="s">
        <v>310</v>
      </c>
      <c r="F109" s="13" t="s">
        <v>1151</v>
      </c>
      <c r="G109" s="13" t="s">
        <v>1152</v>
      </c>
      <c r="H109" s="2"/>
      <c r="I109" s="2"/>
      <c r="J109" s="2"/>
      <c r="K109" s="2"/>
      <c r="L109" s="2"/>
      <c r="M109" s="2"/>
      <c r="N109" s="2"/>
      <c r="O109" s="2"/>
      <c r="P109" s="2"/>
      <c r="Q109" s="2"/>
      <c r="R109" s="2"/>
      <c r="S109" s="2"/>
      <c r="T109" s="2"/>
      <c r="U109" s="2"/>
      <c r="V109" s="2"/>
      <c r="W109" s="2"/>
      <c r="X109" s="2"/>
      <c r="Y109" s="2"/>
      <c r="Z109" s="2"/>
    </row>
    <row r="110" customHeight="1" spans="1:26">
      <c r="A110" s="64" t="s">
        <v>483</v>
      </c>
      <c r="B110" s="13" t="s">
        <v>484</v>
      </c>
      <c r="C110" s="13" t="s">
        <v>485</v>
      </c>
      <c r="D110" s="65">
        <v>77</v>
      </c>
      <c r="E110" s="13" t="s">
        <v>37</v>
      </c>
      <c r="F110" s="13" t="s">
        <v>486</v>
      </c>
      <c r="G110" s="13" t="s">
        <v>1153</v>
      </c>
      <c r="H110" s="2"/>
      <c r="I110" s="2"/>
      <c r="J110" s="2"/>
      <c r="K110" s="2"/>
      <c r="L110" s="2"/>
      <c r="M110" s="2"/>
      <c r="N110" s="2"/>
      <c r="O110" s="2"/>
      <c r="P110" s="2"/>
      <c r="Q110" s="2"/>
      <c r="R110" s="2"/>
      <c r="S110" s="2"/>
      <c r="T110" s="2"/>
      <c r="U110" s="2"/>
      <c r="V110" s="2"/>
      <c r="W110" s="2"/>
      <c r="X110" s="2"/>
      <c r="Y110" s="2"/>
      <c r="Z110" s="2"/>
    </row>
    <row r="111" customHeight="1" spans="1:26">
      <c r="A111" s="13" t="s">
        <v>488</v>
      </c>
      <c r="B111" s="13" t="s">
        <v>1154</v>
      </c>
      <c r="C111" s="13" t="s">
        <v>490</v>
      </c>
      <c r="D111" s="14">
        <v>50</v>
      </c>
      <c r="E111" s="13" t="s">
        <v>37</v>
      </c>
      <c r="F111" s="13" t="s">
        <v>1155</v>
      </c>
      <c r="G111" s="13" t="s">
        <v>1156</v>
      </c>
      <c r="H111" s="2"/>
      <c r="I111" s="2"/>
      <c r="J111" s="2"/>
      <c r="K111" s="2"/>
      <c r="L111" s="2"/>
      <c r="M111" s="2"/>
      <c r="N111" s="2"/>
      <c r="O111" s="2"/>
      <c r="P111" s="2"/>
      <c r="Q111" s="2"/>
      <c r="R111" s="2"/>
      <c r="S111" s="2"/>
      <c r="T111" s="2"/>
      <c r="U111" s="2"/>
      <c r="V111" s="2"/>
      <c r="W111" s="2"/>
      <c r="X111" s="2"/>
      <c r="Y111" s="2"/>
      <c r="Z111" s="2"/>
    </row>
    <row r="112" customHeight="1" spans="1:26">
      <c r="A112" s="13" t="s">
        <v>493</v>
      </c>
      <c r="B112" s="13" t="s">
        <v>1157</v>
      </c>
      <c r="C112" s="13" t="s">
        <v>495</v>
      </c>
      <c r="D112" s="57"/>
      <c r="E112" s="57"/>
      <c r="F112" s="13" t="s">
        <v>1158</v>
      </c>
      <c r="G112" s="13" t="s">
        <v>1159</v>
      </c>
      <c r="H112" s="2"/>
      <c r="I112" s="2"/>
      <c r="J112" s="2"/>
      <c r="K112" s="2"/>
      <c r="L112" s="2"/>
      <c r="M112" s="2"/>
      <c r="N112" s="2"/>
      <c r="O112" s="2"/>
      <c r="P112" s="2"/>
      <c r="Q112" s="2"/>
      <c r="R112" s="2"/>
      <c r="S112" s="2"/>
      <c r="T112" s="2"/>
      <c r="U112" s="2"/>
      <c r="V112" s="2"/>
      <c r="W112" s="2"/>
      <c r="X112" s="2"/>
      <c r="Y112" s="2"/>
      <c r="Z112" s="2"/>
    </row>
    <row r="113" customHeight="1" spans="1:26">
      <c r="A113" s="13" t="s">
        <v>498</v>
      </c>
      <c r="B113" s="13" t="s">
        <v>1160</v>
      </c>
      <c r="C113" s="13" t="s">
        <v>500</v>
      </c>
      <c r="D113" s="57"/>
      <c r="E113" s="57"/>
      <c r="F113" s="13" t="s">
        <v>1161</v>
      </c>
      <c r="G113" s="13" t="s">
        <v>1162</v>
      </c>
      <c r="H113" s="2"/>
      <c r="I113" s="2"/>
      <c r="J113" s="2"/>
      <c r="K113" s="2"/>
      <c r="L113" s="2"/>
      <c r="M113" s="2"/>
      <c r="N113" s="2"/>
      <c r="O113" s="2"/>
      <c r="P113" s="2"/>
      <c r="Q113" s="2"/>
      <c r="R113" s="2"/>
      <c r="S113" s="2"/>
      <c r="T113" s="2"/>
      <c r="U113" s="2"/>
      <c r="V113" s="2"/>
      <c r="W113" s="2"/>
      <c r="X113" s="2"/>
      <c r="Y113" s="2"/>
      <c r="Z113" s="2"/>
    </row>
    <row r="114" customHeight="1" spans="1:26">
      <c r="A114" s="64" t="s">
        <v>503</v>
      </c>
      <c r="B114" s="13" t="s">
        <v>504</v>
      </c>
      <c r="C114" s="13" t="s">
        <v>505</v>
      </c>
      <c r="D114" s="65">
        <v>38</v>
      </c>
      <c r="E114" s="13" t="s">
        <v>37</v>
      </c>
      <c r="F114" s="13" t="s">
        <v>506</v>
      </c>
      <c r="G114" s="13" t="s">
        <v>1163</v>
      </c>
      <c r="H114" s="2"/>
      <c r="I114" s="2"/>
      <c r="J114" s="2"/>
      <c r="K114" s="2"/>
      <c r="L114" s="2"/>
      <c r="M114" s="2"/>
      <c r="N114" s="2"/>
      <c r="O114" s="2"/>
      <c r="P114" s="2"/>
      <c r="Q114" s="2"/>
      <c r="R114" s="2"/>
      <c r="S114" s="2"/>
      <c r="T114" s="2"/>
      <c r="U114" s="2"/>
      <c r="V114" s="2"/>
      <c r="W114" s="2"/>
      <c r="X114" s="2"/>
      <c r="Y114" s="2"/>
      <c r="Z114" s="2"/>
    </row>
    <row r="115" customHeight="1" spans="1:26">
      <c r="A115" s="13" t="s">
        <v>508</v>
      </c>
      <c r="B115" s="13" t="s">
        <v>1164</v>
      </c>
      <c r="C115" s="13" t="s">
        <v>510</v>
      </c>
      <c r="D115" s="14">
        <v>40</v>
      </c>
      <c r="E115" s="13" t="s">
        <v>37</v>
      </c>
      <c r="F115" s="13" t="s">
        <v>1165</v>
      </c>
      <c r="G115" s="13" t="s">
        <v>1166</v>
      </c>
      <c r="H115" s="2"/>
      <c r="I115" s="2"/>
      <c r="J115" s="2"/>
      <c r="K115" s="2"/>
      <c r="L115" s="2"/>
      <c r="M115" s="2"/>
      <c r="N115" s="2"/>
      <c r="O115" s="2"/>
      <c r="P115" s="2"/>
      <c r="Q115" s="2"/>
      <c r="R115" s="2"/>
      <c r="S115" s="2"/>
      <c r="T115" s="2"/>
      <c r="U115" s="2"/>
      <c r="V115" s="2"/>
      <c r="W115" s="2"/>
      <c r="X115" s="2"/>
      <c r="Y115" s="2"/>
      <c r="Z115" s="2"/>
    </row>
    <row r="116" customHeight="1" spans="1:26">
      <c r="A116" s="13" t="s">
        <v>513</v>
      </c>
      <c r="B116" s="13" t="s">
        <v>972</v>
      </c>
      <c r="C116" s="13" t="s">
        <v>515</v>
      </c>
      <c r="D116" s="14">
        <v>40</v>
      </c>
      <c r="E116" s="13" t="s">
        <v>37</v>
      </c>
      <c r="F116" s="13" t="s">
        <v>1167</v>
      </c>
      <c r="G116" s="13" t="s">
        <v>974</v>
      </c>
      <c r="H116" s="2"/>
      <c r="I116" s="2"/>
      <c r="J116" s="2"/>
      <c r="K116" s="2"/>
      <c r="L116" s="2"/>
      <c r="M116" s="2"/>
      <c r="N116" s="2"/>
      <c r="O116" s="2"/>
      <c r="P116" s="2"/>
      <c r="Q116" s="2"/>
      <c r="R116" s="2"/>
      <c r="S116" s="2"/>
      <c r="T116" s="2"/>
      <c r="U116" s="2"/>
      <c r="V116" s="2"/>
      <c r="W116" s="2"/>
      <c r="X116" s="2"/>
      <c r="Y116" s="2"/>
      <c r="Z116" s="2"/>
    </row>
    <row r="117" customHeight="1" spans="1:26">
      <c r="A117" s="13" t="s">
        <v>518</v>
      </c>
      <c r="B117" s="13" t="s">
        <v>1168</v>
      </c>
      <c r="C117" s="13" t="s">
        <v>519</v>
      </c>
      <c r="D117" s="14">
        <v>45</v>
      </c>
      <c r="E117" s="13" t="s">
        <v>37</v>
      </c>
      <c r="F117" s="13" t="s">
        <v>1169</v>
      </c>
      <c r="G117" s="13" t="s">
        <v>1170</v>
      </c>
      <c r="H117" s="2"/>
      <c r="I117" s="2"/>
      <c r="J117" s="2"/>
      <c r="K117" s="2"/>
      <c r="L117" s="2"/>
      <c r="M117" s="2"/>
      <c r="N117" s="2"/>
      <c r="O117" s="2"/>
      <c r="P117" s="2"/>
      <c r="Q117" s="2"/>
      <c r="R117" s="2"/>
      <c r="S117" s="2"/>
      <c r="T117" s="2"/>
      <c r="U117" s="2"/>
      <c r="V117" s="2"/>
      <c r="W117" s="2"/>
      <c r="X117" s="2"/>
      <c r="Y117" s="2"/>
      <c r="Z117" s="2"/>
    </row>
    <row r="118" customHeight="1" spans="1:26">
      <c r="A118" s="13" t="s">
        <v>520</v>
      </c>
      <c r="B118" s="13" t="s">
        <v>1171</v>
      </c>
      <c r="C118" s="13" t="s">
        <v>515</v>
      </c>
      <c r="D118" s="14">
        <v>50</v>
      </c>
      <c r="E118" s="13" t="s">
        <v>37</v>
      </c>
      <c r="F118" s="13" t="s">
        <v>1172</v>
      </c>
      <c r="G118" s="13" t="s">
        <v>1173</v>
      </c>
      <c r="H118" s="2"/>
      <c r="I118" s="2"/>
      <c r="J118" s="2"/>
      <c r="K118" s="2"/>
      <c r="L118" s="2"/>
      <c r="M118" s="2"/>
      <c r="N118" s="2"/>
      <c r="O118" s="2"/>
      <c r="P118" s="2"/>
      <c r="Q118" s="2"/>
      <c r="R118" s="2"/>
      <c r="S118" s="2"/>
      <c r="T118" s="2"/>
      <c r="U118" s="2"/>
      <c r="V118" s="2"/>
      <c r="W118" s="2"/>
      <c r="X118" s="2"/>
      <c r="Y118" s="2"/>
      <c r="Z118" s="2"/>
    </row>
    <row r="119" customHeight="1" spans="1:26">
      <c r="A119" s="64" t="s">
        <v>522</v>
      </c>
      <c r="B119" s="13" t="s">
        <v>1174</v>
      </c>
      <c r="C119" s="13" t="s">
        <v>524</v>
      </c>
      <c r="D119" s="65">
        <v>90</v>
      </c>
      <c r="E119" s="13" t="s">
        <v>21</v>
      </c>
      <c r="F119" s="13" t="s">
        <v>1175</v>
      </c>
      <c r="G119" s="74" t="s">
        <v>1176</v>
      </c>
      <c r="H119" s="2"/>
      <c r="I119" s="2"/>
      <c r="J119" s="2"/>
      <c r="K119" s="2"/>
      <c r="L119" s="2"/>
      <c r="M119" s="2"/>
      <c r="N119" s="2"/>
      <c r="O119" s="2"/>
      <c r="P119" s="2"/>
      <c r="Q119" s="2"/>
      <c r="R119" s="2"/>
      <c r="S119" s="2"/>
      <c r="T119" s="2"/>
      <c r="U119" s="2"/>
      <c r="V119" s="2"/>
      <c r="W119" s="2"/>
      <c r="X119" s="2"/>
      <c r="Y119" s="2"/>
      <c r="Z119" s="2"/>
    </row>
    <row r="120" customHeight="1" spans="1:26">
      <c r="A120" s="13" t="s">
        <v>527</v>
      </c>
      <c r="B120" s="13" t="s">
        <v>528</v>
      </c>
      <c r="C120" s="13" t="s">
        <v>529</v>
      </c>
      <c r="D120" s="57"/>
      <c r="E120" s="57"/>
      <c r="F120" s="13" t="s">
        <v>1177</v>
      </c>
      <c r="G120" s="13" t="s">
        <v>1178</v>
      </c>
      <c r="H120" s="2"/>
      <c r="I120" s="2"/>
      <c r="J120" s="2"/>
      <c r="K120" s="2"/>
      <c r="L120" s="2"/>
      <c r="M120" s="2"/>
      <c r="N120" s="2"/>
      <c r="O120" s="2"/>
      <c r="P120" s="2"/>
      <c r="Q120" s="2"/>
      <c r="R120" s="2"/>
      <c r="S120" s="2"/>
      <c r="T120" s="2"/>
      <c r="U120" s="2"/>
      <c r="V120" s="2"/>
      <c r="W120" s="2"/>
      <c r="X120" s="2"/>
      <c r="Y120" s="2"/>
      <c r="Z120" s="2"/>
    </row>
    <row r="121" customHeight="1" spans="1:26">
      <c r="A121" s="13" t="s">
        <v>532</v>
      </c>
      <c r="B121" s="13" t="s">
        <v>1179</v>
      </c>
      <c r="C121" s="13" t="s">
        <v>534</v>
      </c>
      <c r="D121" s="14">
        <v>120</v>
      </c>
      <c r="E121" s="13" t="s">
        <v>37</v>
      </c>
      <c r="F121" s="13" t="s">
        <v>1180</v>
      </c>
      <c r="G121" s="13" t="s">
        <v>1181</v>
      </c>
      <c r="H121" s="2"/>
      <c r="I121" s="2"/>
      <c r="J121" s="2"/>
      <c r="K121" s="2"/>
      <c r="L121" s="2"/>
      <c r="M121" s="2"/>
      <c r="N121" s="2"/>
      <c r="O121" s="2"/>
      <c r="P121" s="2"/>
      <c r="Q121" s="2"/>
      <c r="R121" s="2"/>
      <c r="S121" s="2"/>
      <c r="T121" s="2"/>
      <c r="U121" s="2"/>
      <c r="V121" s="2"/>
      <c r="W121" s="2"/>
      <c r="X121" s="2"/>
      <c r="Y121" s="2"/>
      <c r="Z121" s="2"/>
    </row>
    <row r="122" customHeight="1" spans="1:26">
      <c r="A122" s="64" t="s">
        <v>537</v>
      </c>
      <c r="B122" s="13" t="s">
        <v>1182</v>
      </c>
      <c r="C122" s="13" t="s">
        <v>539</v>
      </c>
      <c r="D122" s="65">
        <v>60</v>
      </c>
      <c r="E122" s="13" t="s">
        <v>37</v>
      </c>
      <c r="F122" s="13" t="s">
        <v>1183</v>
      </c>
      <c r="G122" s="13" t="s">
        <v>1184</v>
      </c>
      <c r="H122" s="2"/>
      <c r="I122" s="2"/>
      <c r="J122" s="2"/>
      <c r="K122" s="2"/>
      <c r="L122" s="2"/>
      <c r="M122" s="2"/>
      <c r="N122" s="2"/>
      <c r="O122" s="2"/>
      <c r="P122" s="2"/>
      <c r="Q122" s="2"/>
      <c r="R122" s="2"/>
      <c r="S122" s="2"/>
      <c r="T122" s="2"/>
      <c r="U122" s="2"/>
      <c r="V122" s="2"/>
      <c r="W122" s="2"/>
      <c r="X122" s="2"/>
      <c r="Y122" s="2"/>
      <c r="Z122" s="2"/>
    </row>
    <row r="123" customHeight="1" spans="1:26">
      <c r="A123" s="64" t="s">
        <v>542</v>
      </c>
      <c r="B123" s="13" t="s">
        <v>1185</v>
      </c>
      <c r="C123" s="13" t="s">
        <v>539</v>
      </c>
      <c r="D123" s="65">
        <v>50</v>
      </c>
      <c r="E123" s="13" t="s">
        <v>37</v>
      </c>
      <c r="F123" s="13" t="s">
        <v>1186</v>
      </c>
      <c r="G123" s="13" t="s">
        <v>1187</v>
      </c>
      <c r="H123" s="2"/>
      <c r="I123" s="2"/>
      <c r="J123" s="2"/>
      <c r="K123" s="2"/>
      <c r="L123" s="2"/>
      <c r="M123" s="2"/>
      <c r="N123" s="2"/>
      <c r="O123" s="2"/>
      <c r="P123" s="2"/>
      <c r="Q123" s="2"/>
      <c r="R123" s="2"/>
      <c r="S123" s="2"/>
      <c r="T123" s="2"/>
      <c r="U123" s="2"/>
      <c r="V123" s="2"/>
      <c r="W123" s="2"/>
      <c r="X123" s="2"/>
      <c r="Y123" s="2"/>
      <c r="Z123" s="2"/>
    </row>
    <row r="124" customHeight="1" spans="1:26">
      <c r="A124" s="13" t="s">
        <v>546</v>
      </c>
      <c r="B124" s="13" t="s">
        <v>1188</v>
      </c>
      <c r="C124" s="13" t="s">
        <v>548</v>
      </c>
      <c r="D124" s="14">
        <v>100</v>
      </c>
      <c r="E124" s="13" t="s">
        <v>37</v>
      </c>
      <c r="F124" s="13" t="s">
        <v>1189</v>
      </c>
      <c r="G124" s="13" t="s">
        <v>1190</v>
      </c>
      <c r="H124" s="2"/>
      <c r="I124" s="2"/>
      <c r="J124" s="2"/>
      <c r="K124" s="2"/>
      <c r="L124" s="2"/>
      <c r="M124" s="2"/>
      <c r="N124" s="2"/>
      <c r="O124" s="2"/>
      <c r="P124" s="2"/>
      <c r="Q124" s="2"/>
      <c r="R124" s="2"/>
      <c r="S124" s="2"/>
      <c r="T124" s="2"/>
      <c r="U124" s="2"/>
      <c r="V124" s="2"/>
      <c r="W124" s="2"/>
      <c r="X124" s="2"/>
      <c r="Y124" s="2"/>
      <c r="Z124" s="2"/>
    </row>
    <row r="125" customHeight="1" spans="1:26">
      <c r="A125" s="64" t="s">
        <v>551</v>
      </c>
      <c r="B125" s="13" t="s">
        <v>1191</v>
      </c>
      <c r="C125" s="13" t="s">
        <v>553</v>
      </c>
      <c r="D125" s="65">
        <v>30</v>
      </c>
      <c r="E125" s="13" t="s">
        <v>37</v>
      </c>
      <c r="F125" s="13" t="s">
        <v>1192</v>
      </c>
      <c r="G125" s="13" t="s">
        <v>1193</v>
      </c>
      <c r="H125" s="2"/>
      <c r="I125" s="2"/>
      <c r="J125" s="2"/>
      <c r="K125" s="2"/>
      <c r="L125" s="2"/>
      <c r="M125" s="2"/>
      <c r="N125" s="2"/>
      <c r="O125" s="2"/>
      <c r="P125" s="2"/>
      <c r="Q125" s="2"/>
      <c r="R125" s="2"/>
      <c r="S125" s="2"/>
      <c r="T125" s="2"/>
      <c r="U125" s="2"/>
      <c r="V125" s="2"/>
      <c r="W125" s="2"/>
      <c r="X125" s="2"/>
      <c r="Y125" s="2"/>
      <c r="Z125" s="2"/>
    </row>
    <row r="126" customHeight="1" spans="1:26">
      <c r="A126" s="13" t="s">
        <v>556</v>
      </c>
      <c r="B126" s="13" t="s">
        <v>1194</v>
      </c>
      <c r="C126" s="13" t="s">
        <v>557</v>
      </c>
      <c r="D126" s="14">
        <v>30</v>
      </c>
      <c r="E126" s="13" t="s">
        <v>37</v>
      </c>
      <c r="F126" s="13" t="s">
        <v>1195</v>
      </c>
      <c r="G126" s="13" t="s">
        <v>1196</v>
      </c>
      <c r="H126" s="2"/>
      <c r="I126" s="2"/>
      <c r="J126" s="2"/>
      <c r="K126" s="2"/>
      <c r="L126" s="2"/>
      <c r="M126" s="2"/>
      <c r="N126" s="2"/>
      <c r="O126" s="2"/>
      <c r="P126" s="2"/>
      <c r="Q126" s="2"/>
      <c r="R126" s="2"/>
      <c r="S126" s="2"/>
      <c r="T126" s="2"/>
      <c r="U126" s="2"/>
      <c r="V126" s="2"/>
      <c r="W126" s="2"/>
      <c r="X126" s="2"/>
      <c r="Y126" s="2"/>
      <c r="Z126" s="2"/>
    </row>
    <row r="127" customHeight="1" spans="1:26">
      <c r="A127" s="13" t="s">
        <v>558</v>
      </c>
      <c r="B127" s="13" t="s">
        <v>1197</v>
      </c>
      <c r="C127" s="13" t="s">
        <v>560</v>
      </c>
      <c r="D127" s="14">
        <v>40</v>
      </c>
      <c r="E127" s="13" t="s">
        <v>37</v>
      </c>
      <c r="F127" s="13" t="s">
        <v>1198</v>
      </c>
      <c r="G127" s="13" t="s">
        <v>1199</v>
      </c>
      <c r="H127" s="2"/>
      <c r="I127" s="2"/>
      <c r="J127" s="2"/>
      <c r="K127" s="2"/>
      <c r="L127" s="2"/>
      <c r="M127" s="2"/>
      <c r="N127" s="2"/>
      <c r="O127" s="2"/>
      <c r="P127" s="2"/>
      <c r="Q127" s="2"/>
      <c r="R127" s="2"/>
      <c r="S127" s="2"/>
      <c r="T127" s="2"/>
      <c r="U127" s="2"/>
      <c r="V127" s="2"/>
      <c r="W127" s="2"/>
      <c r="X127" s="2"/>
      <c r="Y127" s="2"/>
      <c r="Z127" s="2"/>
    </row>
    <row r="128" customHeight="1" spans="1:26">
      <c r="A128" s="13" t="s">
        <v>563</v>
      </c>
      <c r="B128" s="13" t="s">
        <v>1200</v>
      </c>
      <c r="C128" s="13" t="s">
        <v>565</v>
      </c>
      <c r="D128" s="14">
        <v>80</v>
      </c>
      <c r="E128" s="13" t="s">
        <v>37</v>
      </c>
      <c r="F128" s="13" t="s">
        <v>1201</v>
      </c>
      <c r="G128" s="13" t="s">
        <v>1202</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569</v>
      </c>
      <c r="C129" s="10" t="s">
        <v>570</v>
      </c>
      <c r="D129" s="2"/>
      <c r="E129" s="2"/>
      <c r="F129" s="2" t="s">
        <v>571</v>
      </c>
      <c r="G129" s="128" t="str">
        <f>HYPERLINK("https://www.unicreditbank.eu/","https://www.unicreditbank.eu/")</f>
        <v>https://www.unicreditbank.eu/</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1203</v>
      </c>
      <c r="C130" s="2" t="s">
        <v>570</v>
      </c>
      <c r="D130" s="2"/>
      <c r="E130" s="2"/>
      <c r="F130" s="2" t="s">
        <v>574</v>
      </c>
      <c r="G130" s="2" t="s">
        <v>575</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1204</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1205</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1206</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1207</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1208</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1209</v>
      </c>
      <c r="C136" s="11" t="s">
        <v>578</v>
      </c>
      <c r="D136" s="2"/>
      <c r="E136" s="2"/>
      <c r="F136" s="2" t="s">
        <v>589</v>
      </c>
      <c r="G136" s="2" t="s">
        <v>590</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181" t="s">
        <v>1210</v>
      </c>
      <c r="C137" s="11" t="s">
        <v>578</v>
      </c>
      <c r="D137" s="2"/>
      <c r="E137" s="2"/>
      <c r="F137" s="181" t="s">
        <v>1211</v>
      </c>
      <c r="G137" s="181" t="s">
        <v>1212</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1213</v>
      </c>
      <c r="C138" s="11" t="s">
        <v>578</v>
      </c>
      <c r="D138" s="2"/>
      <c r="E138" s="2"/>
      <c r="F138" s="2" t="s">
        <v>1214</v>
      </c>
      <c r="G138" s="181" t="s">
        <v>1215</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1216</v>
      </c>
      <c r="C139" s="11" t="s">
        <v>578</v>
      </c>
      <c r="D139" s="2"/>
      <c r="E139" s="2"/>
      <c r="F139" s="2" t="s">
        <v>1217</v>
      </c>
      <c r="G139" s="2" t="s">
        <v>1218</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1219</v>
      </c>
      <c r="C140" s="11" t="s">
        <v>578</v>
      </c>
      <c r="D140" s="2"/>
      <c r="E140" s="2"/>
      <c r="F140" s="2" t="s">
        <v>1220</v>
      </c>
      <c r="G140" s="2" t="s">
        <v>1221</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1223</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1224</v>
      </c>
      <c r="C145" s="11" t="s">
        <v>612</v>
      </c>
      <c r="D145" s="2"/>
      <c r="E145" s="2"/>
      <c r="F145" s="2" t="s">
        <v>1225</v>
      </c>
      <c r="G145" s="2" t="s">
        <v>1226</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1227</v>
      </c>
      <c r="C146" s="11" t="s">
        <v>612</v>
      </c>
      <c r="D146" s="2"/>
      <c r="E146" s="2"/>
      <c r="F146" s="2" t="s">
        <v>1228</v>
      </c>
      <c r="G146" s="2" t="s">
        <v>1229</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1230</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1231</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1232</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1233</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1234</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1235</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148" t="s">
        <v>1236</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1237</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1239</v>
      </c>
      <c r="C157" s="13" t="s">
        <v>648</v>
      </c>
      <c r="D157" s="14">
        <v>120</v>
      </c>
      <c r="E157" s="13" t="s">
        <v>37</v>
      </c>
      <c r="F157" s="13" t="s">
        <v>649</v>
      </c>
      <c r="G157" s="13" t="s">
        <v>650</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1240</v>
      </c>
      <c r="C158" s="11" t="s">
        <v>653</v>
      </c>
      <c r="D158" s="2"/>
      <c r="E158" s="2"/>
      <c r="F158" s="2" t="s">
        <v>1241</v>
      </c>
      <c r="G158" s="2" t="s">
        <v>1242</v>
      </c>
      <c r="H158" s="2"/>
      <c r="I158" s="2"/>
      <c r="J158" s="2"/>
      <c r="K158" s="2"/>
      <c r="L158" s="2"/>
      <c r="M158" s="2"/>
      <c r="N158" s="2"/>
      <c r="O158" s="2"/>
      <c r="P158" s="2"/>
      <c r="Q158" s="2"/>
      <c r="R158" s="2"/>
      <c r="S158" s="2"/>
      <c r="T158" s="2"/>
      <c r="U158" s="2"/>
      <c r="V158" s="2"/>
      <c r="W158" s="2"/>
      <c r="X158" s="2"/>
      <c r="Y158" s="2"/>
      <c r="Z158" s="2"/>
    </row>
    <row r="159" ht="13.5" customHeight="1"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36 B138:B143 B145:B148 B155:B156">
      <formula1>ValidLondonCounterpartyNames</formula1>
    </dataValidation>
  </dataValidation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5" width="22.6607142857143" customWidth="1"/>
    <col min="6" max="6" width="8.66071428571429" hidden="1" customWidth="1"/>
    <col min="7" max="7" width="39.1607142857143" customWidth="1"/>
    <col min="8" max="8" width="22.6607142857143" customWidth="1"/>
    <col min="9" max="18" width="8.66071428571429" customWidth="1"/>
    <col min="19" max="26" width="11.1607142857143" customWidth="1"/>
  </cols>
  <sheetData>
    <row r="1" customHeight="1" spans="1:26">
      <c r="A1" s="56" t="s">
        <v>0</v>
      </c>
      <c r="B1" s="57"/>
      <c r="C1" s="57"/>
      <c r="D1" s="57"/>
      <c r="E1" s="57"/>
      <c r="F1" s="57"/>
      <c r="G1" s="65"/>
      <c r="H1" s="57"/>
      <c r="I1" s="2"/>
      <c r="J1" s="2"/>
      <c r="K1" s="2"/>
      <c r="L1" s="2"/>
      <c r="M1" s="2"/>
      <c r="N1" s="2"/>
      <c r="O1" s="2"/>
      <c r="P1" s="2"/>
      <c r="Q1" s="2"/>
      <c r="R1" s="2"/>
      <c r="S1" s="2"/>
      <c r="T1" s="2"/>
      <c r="U1" s="2"/>
      <c r="V1" s="2"/>
      <c r="W1" s="2"/>
      <c r="X1" s="2"/>
      <c r="Y1" s="2"/>
      <c r="Z1" s="2"/>
    </row>
    <row r="2" customHeight="1" spans="1:26">
      <c r="A2" s="58" t="s">
        <v>1243</v>
      </c>
      <c r="B2" s="49"/>
      <c r="C2" s="49"/>
      <c r="D2" s="59" t="s">
        <v>2</v>
      </c>
      <c r="E2" s="49"/>
      <c r="F2" s="49"/>
      <c r="G2" s="182"/>
      <c r="H2" s="49"/>
      <c r="I2" s="2"/>
      <c r="J2" s="2"/>
      <c r="K2" s="2"/>
      <c r="L2" s="2"/>
      <c r="M2" s="2"/>
      <c r="N2" s="2"/>
      <c r="O2" s="2"/>
      <c r="P2" s="2"/>
      <c r="Q2" s="2"/>
      <c r="R2" s="2"/>
      <c r="S2" s="2"/>
      <c r="T2" s="2"/>
      <c r="U2" s="2"/>
      <c r="V2" s="2"/>
      <c r="W2" s="2"/>
      <c r="X2" s="2"/>
      <c r="Y2" s="2"/>
      <c r="Z2" s="2"/>
    </row>
    <row r="3" ht="27.75" customHeight="1" spans="1:26">
      <c r="A3" s="50" t="s">
        <v>1244</v>
      </c>
      <c r="B3" s="51" t="s">
        <v>1245</v>
      </c>
      <c r="C3" s="51" t="s">
        <v>1246</v>
      </c>
      <c r="D3" s="51" t="s">
        <v>1247</v>
      </c>
      <c r="E3" s="51" t="s">
        <v>7</v>
      </c>
      <c r="F3" s="51" t="s">
        <v>1248</v>
      </c>
      <c r="G3" s="51" t="s">
        <v>1248</v>
      </c>
      <c r="H3" s="51" t="s">
        <v>1249</v>
      </c>
      <c r="I3" s="2"/>
      <c r="J3" s="2"/>
      <c r="K3" s="2"/>
      <c r="L3" s="2"/>
      <c r="M3" s="2"/>
      <c r="N3" s="2"/>
      <c r="O3" s="2"/>
      <c r="P3" s="2"/>
      <c r="Q3" s="2"/>
      <c r="R3" s="2"/>
      <c r="S3" s="2"/>
      <c r="T3" s="2"/>
      <c r="U3" s="2"/>
      <c r="V3" s="2"/>
      <c r="W3" s="2"/>
      <c r="X3" s="2"/>
      <c r="Y3" s="2"/>
      <c r="Z3" s="2"/>
    </row>
    <row r="4" customHeight="1" spans="1:26">
      <c r="A4" s="52" t="s">
        <v>680</v>
      </c>
      <c r="B4" s="52" t="s">
        <v>1250</v>
      </c>
      <c r="C4" s="52" t="s">
        <v>1251</v>
      </c>
      <c r="D4" s="198">
        <v>25</v>
      </c>
      <c r="E4" s="52" t="s">
        <v>37</v>
      </c>
      <c r="F4" s="199" t="str">
        <f>HYPERLINK("http://www.brandprofiles.com/the-spice-depot-logo","http://www.brandprofiles.com/the-spice-depot-logo")</f>
        <v>http://www.brandprofiles.com/the-spice-depot-logo</v>
      </c>
      <c r="G4" s="200" t="s">
        <v>1252</v>
      </c>
      <c r="H4" s="201" t="s">
        <v>1253</v>
      </c>
      <c r="I4" s="2"/>
      <c r="J4" s="2"/>
      <c r="K4" s="2"/>
      <c r="L4" s="2"/>
      <c r="M4" s="2"/>
      <c r="N4" s="2"/>
      <c r="O4" s="2"/>
      <c r="P4" s="2"/>
      <c r="Q4" s="2"/>
      <c r="R4" s="2"/>
      <c r="S4" s="2"/>
      <c r="T4" s="2"/>
      <c r="U4" s="2"/>
      <c r="V4" s="2"/>
      <c r="W4" s="2"/>
      <c r="X4" s="2"/>
      <c r="Y4" s="2"/>
      <c r="Z4" s="2"/>
    </row>
    <row r="5" customHeight="1" spans="1:26">
      <c r="A5" s="52" t="s">
        <v>680</v>
      </c>
      <c r="B5" s="52" t="s">
        <v>1254</v>
      </c>
      <c r="C5" s="52" t="s">
        <v>1255</v>
      </c>
      <c r="D5" s="198">
        <v>200</v>
      </c>
      <c r="E5" s="52" t="s">
        <v>245</v>
      </c>
      <c r="F5" s="202" t="s">
        <v>1256</v>
      </c>
      <c r="G5" s="203" t="s">
        <v>1257</v>
      </c>
      <c r="H5" s="52" t="s">
        <v>1258</v>
      </c>
      <c r="I5" s="2"/>
      <c r="J5" s="2"/>
      <c r="K5" s="2"/>
      <c r="L5" s="2"/>
      <c r="M5" s="2"/>
      <c r="N5" s="2"/>
      <c r="O5" s="2"/>
      <c r="P5" s="2"/>
      <c r="Q5" s="2"/>
      <c r="R5" s="2"/>
      <c r="S5" s="2"/>
      <c r="T5" s="2"/>
      <c r="U5" s="2"/>
      <c r="V5" s="2"/>
      <c r="W5" s="2"/>
      <c r="X5" s="2"/>
      <c r="Y5" s="2"/>
      <c r="Z5" s="2"/>
    </row>
    <row r="6" customHeight="1" spans="1:26">
      <c r="A6" s="52" t="s">
        <v>680</v>
      </c>
      <c r="B6" s="52" t="s">
        <v>1259</v>
      </c>
      <c r="C6" s="52" t="s">
        <v>1260</v>
      </c>
      <c r="D6" s="198">
        <v>350</v>
      </c>
      <c r="E6" s="52" t="s">
        <v>37</v>
      </c>
      <c r="F6" s="204" t="s">
        <v>1261</v>
      </c>
      <c r="G6" s="205" t="s">
        <v>1262</v>
      </c>
      <c r="H6" s="52" t="s">
        <v>1263</v>
      </c>
      <c r="I6" s="2"/>
      <c r="J6" s="2"/>
      <c r="K6" s="2"/>
      <c r="L6" s="2"/>
      <c r="M6" s="2"/>
      <c r="N6" s="2"/>
      <c r="O6" s="2"/>
      <c r="P6" s="2"/>
      <c r="Q6" s="2"/>
      <c r="R6" s="2"/>
      <c r="S6" s="2"/>
      <c r="T6" s="2"/>
      <c r="U6" s="2"/>
      <c r="V6" s="2"/>
      <c r="W6" s="2"/>
      <c r="X6" s="2"/>
      <c r="Y6" s="2"/>
      <c r="Z6" s="2"/>
    </row>
    <row r="7" customHeight="1" spans="1:26">
      <c r="A7" s="52" t="s">
        <v>680</v>
      </c>
      <c r="B7" s="52" t="s">
        <v>1264</v>
      </c>
      <c r="C7" s="52" t="s">
        <v>1265</v>
      </c>
      <c r="D7" s="198">
        <v>35</v>
      </c>
      <c r="E7" s="52" t="s">
        <v>245</v>
      </c>
      <c r="F7" s="204" t="s">
        <v>1266</v>
      </c>
      <c r="G7" s="205" t="s">
        <v>1267</v>
      </c>
      <c r="H7" s="52" t="s">
        <v>1268</v>
      </c>
      <c r="I7" s="2"/>
      <c r="J7" s="2"/>
      <c r="K7" s="2"/>
      <c r="L7" s="2"/>
      <c r="M7" s="2"/>
      <c r="N7" s="2"/>
      <c r="O7" s="2"/>
      <c r="P7" s="2"/>
      <c r="Q7" s="2"/>
      <c r="R7" s="2"/>
      <c r="S7" s="2"/>
      <c r="T7" s="2"/>
      <c r="U7" s="2"/>
      <c r="V7" s="2"/>
      <c r="W7" s="2"/>
      <c r="X7" s="2"/>
      <c r="Y7" s="2"/>
      <c r="Z7" s="2"/>
    </row>
    <row r="8" customHeight="1" spans="1:26">
      <c r="A8" s="52" t="s">
        <v>753</v>
      </c>
      <c r="B8" s="52" t="s">
        <v>1269</v>
      </c>
      <c r="C8" s="52" t="s">
        <v>1270</v>
      </c>
      <c r="D8" s="198">
        <v>50</v>
      </c>
      <c r="E8" s="52" t="s">
        <v>37</v>
      </c>
      <c r="F8" s="204" t="s">
        <v>1271</v>
      </c>
      <c r="G8" s="205" t="s">
        <v>1272</v>
      </c>
      <c r="H8" s="52" t="s">
        <v>1273</v>
      </c>
      <c r="I8" s="2"/>
      <c r="J8" s="2"/>
      <c r="K8" s="2"/>
      <c r="L8" s="2"/>
      <c r="M8" s="2"/>
      <c r="N8" s="2"/>
      <c r="O8" s="2"/>
      <c r="P8" s="2"/>
      <c r="Q8" s="2"/>
      <c r="R8" s="2"/>
      <c r="S8" s="2"/>
      <c r="T8" s="2"/>
      <c r="U8" s="2"/>
      <c r="V8" s="2"/>
      <c r="W8" s="2"/>
      <c r="X8" s="2"/>
      <c r="Y8" s="2"/>
      <c r="Z8" s="2"/>
    </row>
    <row r="9" customHeight="1" spans="1:26">
      <c r="A9" s="52" t="s">
        <v>753</v>
      </c>
      <c r="B9" s="52" t="s">
        <v>1274</v>
      </c>
      <c r="C9" s="52" t="s">
        <v>1270</v>
      </c>
      <c r="D9" s="198">
        <v>50</v>
      </c>
      <c r="E9" s="52" t="s">
        <v>37</v>
      </c>
      <c r="F9" s="206" t="str">
        <f>HYPERLINK("http://www.brandprofiles.com/petco-logo-2","http://www.brandprofiles.com/petco-logo-2")</f>
        <v>http://www.brandprofiles.com/petco-logo-2</v>
      </c>
      <c r="G9" s="205" t="s">
        <v>1275</v>
      </c>
      <c r="H9" s="52" t="s">
        <v>1276</v>
      </c>
      <c r="I9" s="2"/>
      <c r="J9" s="2"/>
      <c r="K9" s="2"/>
      <c r="L9" s="2"/>
      <c r="M9" s="2"/>
      <c r="N9" s="2"/>
      <c r="O9" s="2"/>
      <c r="P9" s="2"/>
      <c r="Q9" s="2"/>
      <c r="R9" s="2"/>
      <c r="S9" s="2"/>
      <c r="T9" s="2"/>
      <c r="U9" s="2"/>
      <c r="V9" s="2"/>
      <c r="W9" s="2"/>
      <c r="X9" s="2"/>
      <c r="Y9" s="2"/>
      <c r="Z9" s="2"/>
    </row>
    <row r="10" customHeight="1" spans="1:26">
      <c r="A10" s="52" t="s">
        <v>753</v>
      </c>
      <c r="B10" s="52" t="s">
        <v>1277</v>
      </c>
      <c r="C10" s="52" t="s">
        <v>1278</v>
      </c>
      <c r="D10" s="198">
        <v>15</v>
      </c>
      <c r="E10" s="52" t="s">
        <v>245</v>
      </c>
      <c r="F10" s="204" t="s">
        <v>1279</v>
      </c>
      <c r="G10" s="205" t="s">
        <v>1280</v>
      </c>
      <c r="H10" s="52" t="s">
        <v>1281</v>
      </c>
      <c r="I10" s="2"/>
      <c r="J10" s="2"/>
      <c r="K10" s="2"/>
      <c r="L10" s="2"/>
      <c r="M10" s="2"/>
      <c r="N10" s="2"/>
      <c r="O10" s="2"/>
      <c r="P10" s="2"/>
      <c r="Q10" s="2"/>
      <c r="R10" s="2"/>
      <c r="S10" s="2"/>
      <c r="T10" s="2"/>
      <c r="U10" s="2"/>
      <c r="V10" s="2"/>
      <c r="W10" s="2"/>
      <c r="X10" s="2"/>
      <c r="Y10" s="2"/>
      <c r="Z10" s="2"/>
    </row>
    <row r="11" customHeight="1" spans="1:26">
      <c r="A11" s="52" t="s">
        <v>753</v>
      </c>
      <c r="B11" s="52" t="s">
        <v>1282</v>
      </c>
      <c r="C11" s="52" t="s">
        <v>1283</v>
      </c>
      <c r="D11" s="198">
        <v>50</v>
      </c>
      <c r="E11" s="52" t="s">
        <v>1284</v>
      </c>
      <c r="F11" s="207" t="str">
        <f>HYPERLINK("http://www.brandprofiles.com/american-kennel-club-logo","http://www.brandprofiles.com/american-kennel-club-logo")</f>
        <v>http://www.brandprofiles.com/american-kennel-club-logo</v>
      </c>
      <c r="G11" s="205" t="s">
        <v>1285</v>
      </c>
      <c r="H11" s="52" t="s">
        <v>1286</v>
      </c>
      <c r="I11" s="2"/>
      <c r="J11" s="2"/>
      <c r="K11" s="2"/>
      <c r="L11" s="2"/>
      <c r="M11" s="2"/>
      <c r="N11" s="2"/>
      <c r="O11" s="2"/>
      <c r="P11" s="2"/>
      <c r="Q11" s="2"/>
      <c r="R11" s="2"/>
      <c r="S11" s="2"/>
      <c r="T11" s="2"/>
      <c r="U11" s="2"/>
      <c r="V11" s="2"/>
      <c r="W11" s="2"/>
      <c r="X11" s="2"/>
      <c r="Y11" s="2"/>
      <c r="Z11" s="2"/>
    </row>
    <row r="12" customHeight="1" spans="1:26">
      <c r="A12" s="52" t="s">
        <v>853</v>
      </c>
      <c r="B12" s="52" t="s">
        <v>1287</v>
      </c>
      <c r="C12" s="52" t="s">
        <v>855</v>
      </c>
      <c r="D12" s="198">
        <v>20</v>
      </c>
      <c r="E12" s="52" t="s">
        <v>37</v>
      </c>
      <c r="F12" s="207" t="str">
        <f>HYPERLINK("http://www.brandprofiles.com/super-cuts-logo","http://www.brandprofiles.com/super-cuts-logo")</f>
        <v>http://www.brandprofiles.com/super-cuts-logo</v>
      </c>
      <c r="G12" s="205" t="s">
        <v>1288</v>
      </c>
      <c r="H12" s="52" t="s">
        <v>1289</v>
      </c>
      <c r="I12" s="2"/>
      <c r="J12" s="2"/>
      <c r="K12" s="2"/>
      <c r="L12" s="2"/>
      <c r="M12" s="2"/>
      <c r="N12" s="2"/>
      <c r="O12" s="2"/>
      <c r="P12" s="2"/>
      <c r="Q12" s="2"/>
      <c r="R12" s="2"/>
      <c r="S12" s="2"/>
      <c r="T12" s="2"/>
      <c r="U12" s="2"/>
      <c r="V12" s="2"/>
      <c r="W12" s="2"/>
      <c r="X12" s="2"/>
      <c r="Y12" s="2"/>
      <c r="Z12" s="2"/>
    </row>
    <row r="13" customHeight="1" spans="1:26">
      <c r="A13" s="52" t="s">
        <v>853</v>
      </c>
      <c r="B13" s="52" t="s">
        <v>1290</v>
      </c>
      <c r="C13" s="52" t="s">
        <v>855</v>
      </c>
      <c r="D13" s="198">
        <v>50</v>
      </c>
      <c r="E13" s="52" t="s">
        <v>37</v>
      </c>
      <c r="F13" s="204" t="s">
        <v>1291</v>
      </c>
      <c r="G13" s="205" t="s">
        <v>1292</v>
      </c>
      <c r="H13" s="54" t="str">
        <f>HYPERLINK("http://acutabovehair.com/","http://acutabovehair.com/")</f>
        <v>http://acutabovehair.com/</v>
      </c>
      <c r="I13" s="2"/>
      <c r="J13" s="2"/>
      <c r="K13" s="2"/>
      <c r="L13" s="2"/>
      <c r="M13" s="2"/>
      <c r="N13" s="2"/>
      <c r="O13" s="2"/>
      <c r="P13" s="2"/>
      <c r="Q13" s="2"/>
      <c r="R13" s="2"/>
      <c r="S13" s="2"/>
      <c r="T13" s="2"/>
      <c r="U13" s="2"/>
      <c r="V13" s="2"/>
      <c r="W13" s="2"/>
      <c r="X13" s="2"/>
      <c r="Y13" s="2"/>
      <c r="Z13" s="2"/>
    </row>
    <row r="14" customHeight="1" spans="1:26">
      <c r="A14" s="52" t="s">
        <v>853</v>
      </c>
      <c r="B14" s="52" t="s">
        <v>1293</v>
      </c>
      <c r="C14" s="52" t="s">
        <v>1294</v>
      </c>
      <c r="D14" s="198">
        <v>15</v>
      </c>
      <c r="E14" s="52" t="s">
        <v>1295</v>
      </c>
      <c r="F14" s="204" t="s">
        <v>1296</v>
      </c>
      <c r="G14" s="205" t="s">
        <v>1297</v>
      </c>
      <c r="H14" s="54" t="str">
        <f>HYPERLINK("http://www.goldsgym.com/","http://www.goldsgym.com/")</f>
        <v>http://www.goldsgym.com/</v>
      </c>
      <c r="I14" s="2"/>
      <c r="J14" s="2"/>
      <c r="K14" s="2"/>
      <c r="L14" s="2"/>
      <c r="M14" s="2"/>
      <c r="N14" s="2"/>
      <c r="O14" s="2"/>
      <c r="P14" s="2"/>
      <c r="Q14" s="2"/>
      <c r="R14" s="2"/>
      <c r="S14" s="2"/>
      <c r="T14" s="2"/>
      <c r="U14" s="2"/>
      <c r="V14" s="2"/>
      <c r="W14" s="2"/>
      <c r="X14" s="2"/>
      <c r="Y14" s="2"/>
      <c r="Z14" s="2"/>
    </row>
    <row r="15" customHeight="1" spans="1:26">
      <c r="A15" s="52" t="s">
        <v>853</v>
      </c>
      <c r="B15" s="52" t="s">
        <v>1298</v>
      </c>
      <c r="C15" s="52" t="s">
        <v>361</v>
      </c>
      <c r="D15" s="198">
        <v>40</v>
      </c>
      <c r="E15" s="52" t="s">
        <v>37</v>
      </c>
      <c r="F15" s="204" t="s">
        <v>1299</v>
      </c>
      <c r="G15" s="205" t="s">
        <v>1300</v>
      </c>
      <c r="H15" s="52" t="s">
        <v>1301</v>
      </c>
      <c r="I15" s="2"/>
      <c r="J15" s="2"/>
      <c r="K15" s="2"/>
      <c r="L15" s="2"/>
      <c r="M15" s="2"/>
      <c r="N15" s="2"/>
      <c r="O15" s="2"/>
      <c r="P15" s="2"/>
      <c r="Q15" s="2"/>
      <c r="R15" s="2"/>
      <c r="S15" s="2"/>
      <c r="T15" s="2"/>
      <c r="U15" s="2"/>
      <c r="V15" s="2"/>
      <c r="W15" s="2"/>
      <c r="X15" s="2"/>
      <c r="Y15" s="2"/>
      <c r="Z15" s="2"/>
    </row>
    <row r="16" customHeight="1" spans="1:26">
      <c r="A16" s="52" t="s">
        <v>770</v>
      </c>
      <c r="B16" s="52" t="s">
        <v>1126</v>
      </c>
      <c r="C16" s="52" t="s">
        <v>772</v>
      </c>
      <c r="D16" s="198">
        <v>3500</v>
      </c>
      <c r="E16" s="52" t="s">
        <v>21</v>
      </c>
      <c r="F16" s="204" t="s">
        <v>1302</v>
      </c>
      <c r="G16" s="205" t="s">
        <v>1303</v>
      </c>
      <c r="H16" s="52" t="s">
        <v>1304</v>
      </c>
      <c r="I16" s="2"/>
      <c r="J16" s="2"/>
      <c r="K16" s="2"/>
      <c r="L16" s="2"/>
      <c r="M16" s="2"/>
      <c r="N16" s="2"/>
      <c r="O16" s="2"/>
      <c r="P16" s="2"/>
      <c r="Q16" s="2"/>
      <c r="R16" s="2"/>
      <c r="S16" s="2"/>
      <c r="T16" s="2"/>
      <c r="U16" s="2"/>
      <c r="V16" s="2"/>
      <c r="W16" s="2"/>
      <c r="X16" s="2"/>
      <c r="Y16" s="2"/>
      <c r="Z16" s="2"/>
    </row>
    <row r="17" customHeight="1" spans="1:26">
      <c r="A17" s="52" t="s">
        <v>770</v>
      </c>
      <c r="B17" s="52" t="s">
        <v>1305</v>
      </c>
      <c r="C17" s="52" t="s">
        <v>1306</v>
      </c>
      <c r="D17" s="198">
        <v>25</v>
      </c>
      <c r="E17" s="52" t="s">
        <v>37</v>
      </c>
      <c r="F17" s="208" t="s">
        <v>1307</v>
      </c>
      <c r="G17" s="209" t="s">
        <v>1308</v>
      </c>
      <c r="H17" s="52" t="s">
        <v>1309</v>
      </c>
      <c r="I17" s="2"/>
      <c r="J17" s="2"/>
      <c r="K17" s="2"/>
      <c r="L17" s="2"/>
      <c r="M17" s="2"/>
      <c r="N17" s="2"/>
      <c r="O17" s="2"/>
      <c r="P17" s="2"/>
      <c r="Q17" s="2"/>
      <c r="R17" s="2"/>
      <c r="S17" s="2"/>
      <c r="T17" s="2"/>
      <c r="U17" s="2"/>
      <c r="V17" s="2"/>
      <c r="W17" s="2"/>
      <c r="X17" s="2"/>
      <c r="Y17" s="2"/>
      <c r="Z17" s="2"/>
    </row>
    <row r="18" customHeight="1" spans="1:26">
      <c r="A18" s="52" t="s">
        <v>770</v>
      </c>
      <c r="B18" s="52" t="s">
        <v>1310</v>
      </c>
      <c r="C18" s="52" t="s">
        <v>1311</v>
      </c>
      <c r="D18" s="198">
        <v>250</v>
      </c>
      <c r="E18" s="52" t="s">
        <v>21</v>
      </c>
      <c r="F18" s="210" t="s">
        <v>1312</v>
      </c>
      <c r="G18" s="210" t="s">
        <v>1313</v>
      </c>
      <c r="H18" s="52" t="s">
        <v>1314</v>
      </c>
      <c r="I18" s="2"/>
      <c r="J18" s="2"/>
      <c r="K18" s="2"/>
      <c r="L18" s="2"/>
      <c r="M18" s="2"/>
      <c r="N18" s="2"/>
      <c r="O18" s="2"/>
      <c r="P18" s="2"/>
      <c r="Q18" s="2"/>
      <c r="R18" s="2"/>
      <c r="S18" s="2"/>
      <c r="T18" s="2"/>
      <c r="U18" s="2"/>
      <c r="V18" s="2"/>
      <c r="W18" s="2"/>
      <c r="X18" s="2"/>
      <c r="Y18" s="2"/>
      <c r="Z18" s="2"/>
    </row>
    <row r="19" customHeight="1" spans="1:26">
      <c r="A19" s="52" t="s">
        <v>770</v>
      </c>
      <c r="B19" s="52" t="s">
        <v>1315</v>
      </c>
      <c r="C19" s="52" t="s">
        <v>1316</v>
      </c>
      <c r="D19" s="198">
        <v>50</v>
      </c>
      <c r="E19" s="52" t="s">
        <v>37</v>
      </c>
      <c r="F19" s="210" t="s">
        <v>1317</v>
      </c>
      <c r="G19" s="210" t="s">
        <v>1318</v>
      </c>
      <c r="H19" s="52" t="s">
        <v>1319</v>
      </c>
      <c r="I19" s="2"/>
      <c r="J19" s="2"/>
      <c r="K19" s="2"/>
      <c r="L19" s="2"/>
      <c r="M19" s="2"/>
      <c r="N19" s="2"/>
      <c r="O19" s="2"/>
      <c r="P19" s="2"/>
      <c r="Q19" s="2"/>
      <c r="R19" s="2"/>
      <c r="S19" s="2"/>
      <c r="T19" s="2"/>
      <c r="U19" s="2"/>
      <c r="V19" s="2"/>
      <c r="W19" s="2"/>
      <c r="X19" s="2"/>
      <c r="Y19" s="2"/>
      <c r="Z19" s="2"/>
    </row>
    <row r="20" customHeight="1" spans="1:26">
      <c r="A20" s="52" t="s">
        <v>668</v>
      </c>
      <c r="B20" s="52" t="s">
        <v>1320</v>
      </c>
      <c r="C20" s="52" t="s">
        <v>1321</v>
      </c>
      <c r="D20" s="198">
        <v>35</v>
      </c>
      <c r="E20" s="52" t="s">
        <v>37</v>
      </c>
      <c r="F20" s="210" t="s">
        <v>1322</v>
      </c>
      <c r="G20" s="210" t="s">
        <v>1323</v>
      </c>
      <c r="H20" s="52" t="s">
        <v>1324</v>
      </c>
      <c r="I20" s="2"/>
      <c r="J20" s="2"/>
      <c r="K20" s="2"/>
      <c r="L20" s="2"/>
      <c r="M20" s="2"/>
      <c r="N20" s="2"/>
      <c r="O20" s="2"/>
      <c r="P20" s="2"/>
      <c r="Q20" s="2"/>
      <c r="R20" s="2"/>
      <c r="S20" s="2"/>
      <c r="T20" s="2"/>
      <c r="U20" s="2"/>
      <c r="V20" s="2"/>
      <c r="W20" s="2"/>
      <c r="X20" s="2"/>
      <c r="Y20" s="2"/>
      <c r="Z20" s="2"/>
    </row>
    <row r="21" customHeight="1" spans="1:26">
      <c r="A21" s="52" t="s">
        <v>668</v>
      </c>
      <c r="B21" s="52" t="s">
        <v>1325</v>
      </c>
      <c r="C21" s="52" t="s">
        <v>1326</v>
      </c>
      <c r="D21" s="198">
        <v>100</v>
      </c>
      <c r="E21" s="52" t="s">
        <v>37</v>
      </c>
      <c r="F21" s="210" t="s">
        <v>1327</v>
      </c>
      <c r="G21" s="210" t="s">
        <v>1328</v>
      </c>
      <c r="H21" s="52" t="s">
        <v>1329</v>
      </c>
      <c r="I21" s="2"/>
      <c r="J21" s="2"/>
      <c r="K21" s="2"/>
      <c r="L21" s="2"/>
      <c r="M21" s="2"/>
      <c r="N21" s="2"/>
      <c r="O21" s="2"/>
      <c r="P21" s="2"/>
      <c r="Q21" s="2"/>
      <c r="R21" s="2"/>
      <c r="S21" s="2"/>
      <c r="T21" s="2"/>
      <c r="U21" s="2"/>
      <c r="V21" s="2"/>
      <c r="W21" s="2"/>
      <c r="X21" s="2"/>
      <c r="Y21" s="2"/>
      <c r="Z21" s="2"/>
    </row>
    <row r="22" customHeight="1" spans="1:26">
      <c r="A22" s="52" t="s">
        <v>668</v>
      </c>
      <c r="B22" s="52" t="s">
        <v>1330</v>
      </c>
      <c r="C22" s="52" t="s">
        <v>1331</v>
      </c>
      <c r="D22" s="198">
        <v>1200</v>
      </c>
      <c r="E22" s="52" t="s">
        <v>21</v>
      </c>
      <c r="F22" s="210" t="s">
        <v>1332</v>
      </c>
      <c r="G22" s="210" t="s">
        <v>1333</v>
      </c>
      <c r="H22" s="54" t="str">
        <f>HYPERLINK("http://www.sears.com/","http://www.sears.com/")</f>
        <v>http://www.sears.com/</v>
      </c>
      <c r="I22" s="2"/>
      <c r="J22" s="2"/>
      <c r="K22" s="2"/>
      <c r="L22" s="2"/>
      <c r="M22" s="2"/>
      <c r="N22" s="2"/>
      <c r="O22" s="2"/>
      <c r="P22" s="2"/>
      <c r="Q22" s="2"/>
      <c r="R22" s="2"/>
      <c r="S22" s="2"/>
      <c r="T22" s="2"/>
      <c r="U22" s="2"/>
      <c r="V22" s="2"/>
      <c r="W22" s="2"/>
      <c r="X22" s="2"/>
      <c r="Y22" s="2"/>
      <c r="Z22" s="2"/>
    </row>
    <row r="23" customHeight="1" spans="1:26">
      <c r="A23" s="52" t="s">
        <v>668</v>
      </c>
      <c r="B23" s="52" t="s">
        <v>1334</v>
      </c>
      <c r="C23" s="52" t="s">
        <v>1335</v>
      </c>
      <c r="D23" s="198">
        <v>50</v>
      </c>
      <c r="E23" s="52" t="s">
        <v>37</v>
      </c>
      <c r="F23" s="210" t="s">
        <v>1336</v>
      </c>
      <c r="G23" s="210" t="s">
        <v>1337</v>
      </c>
      <c r="H23" s="52" t="s">
        <v>1338</v>
      </c>
      <c r="I23" s="2"/>
      <c r="J23" s="2"/>
      <c r="K23" s="2"/>
      <c r="L23" s="2"/>
      <c r="M23" s="2"/>
      <c r="N23" s="2"/>
      <c r="O23" s="2"/>
      <c r="P23" s="2"/>
      <c r="Q23" s="2"/>
      <c r="R23" s="2"/>
      <c r="S23" s="2"/>
      <c r="T23" s="2"/>
      <c r="U23" s="2"/>
      <c r="V23" s="2"/>
      <c r="W23" s="2"/>
      <c r="X23" s="2"/>
      <c r="Y23" s="2"/>
      <c r="Z23" s="2"/>
    </row>
    <row r="24" customHeight="1" spans="1:26">
      <c r="A24" s="52" t="s">
        <v>668</v>
      </c>
      <c r="B24" s="52" t="s">
        <v>1339</v>
      </c>
      <c r="C24" s="52" t="s">
        <v>1340</v>
      </c>
      <c r="D24" s="198">
        <v>100</v>
      </c>
      <c r="E24" s="52" t="s">
        <v>37</v>
      </c>
      <c r="F24" s="210" t="s">
        <v>1341</v>
      </c>
      <c r="G24" s="210" t="s">
        <v>1342</v>
      </c>
      <c r="H24" s="52" t="s">
        <v>1343</v>
      </c>
      <c r="I24" s="2"/>
      <c r="J24" s="2"/>
      <c r="K24" s="2"/>
      <c r="L24" s="2"/>
      <c r="M24" s="2"/>
      <c r="N24" s="2"/>
      <c r="O24" s="2"/>
      <c r="P24" s="2"/>
      <c r="Q24" s="2"/>
      <c r="R24" s="2"/>
      <c r="S24" s="2"/>
      <c r="T24" s="2"/>
      <c r="U24" s="2"/>
      <c r="V24" s="2"/>
      <c r="W24" s="2"/>
      <c r="X24" s="2"/>
      <c r="Y24" s="2"/>
      <c r="Z24" s="2"/>
    </row>
    <row r="25" customHeight="1" spans="1:26">
      <c r="A25" s="52" t="s">
        <v>668</v>
      </c>
      <c r="B25" s="52" t="s">
        <v>1344</v>
      </c>
      <c r="C25" s="52" t="s">
        <v>1345</v>
      </c>
      <c r="D25" s="198">
        <v>200</v>
      </c>
      <c r="E25" s="52" t="s">
        <v>37</v>
      </c>
      <c r="F25" s="210" t="s">
        <v>1346</v>
      </c>
      <c r="G25" s="211" t="s">
        <v>1347</v>
      </c>
      <c r="H25" s="212" t="s">
        <v>1348</v>
      </c>
      <c r="I25" s="2"/>
      <c r="J25" s="2"/>
      <c r="K25" s="2"/>
      <c r="L25" s="2"/>
      <c r="M25" s="2"/>
      <c r="N25" s="2"/>
      <c r="O25" s="2"/>
      <c r="P25" s="2"/>
      <c r="Q25" s="2"/>
      <c r="R25" s="2"/>
      <c r="S25" s="2"/>
      <c r="T25" s="2"/>
      <c r="U25" s="2"/>
      <c r="V25" s="2"/>
      <c r="W25" s="2"/>
      <c r="X25" s="2"/>
      <c r="Y25" s="2"/>
      <c r="Z25" s="2"/>
    </row>
    <row r="26" customHeight="1" spans="1:26">
      <c r="A26" s="52" t="s">
        <v>721</v>
      </c>
      <c r="B26" s="52" t="s">
        <v>1349</v>
      </c>
      <c r="C26" s="52" t="s">
        <v>1350</v>
      </c>
      <c r="D26" s="198">
        <v>8</v>
      </c>
      <c r="E26" s="52" t="s">
        <v>1295</v>
      </c>
      <c r="F26" s="210" t="s">
        <v>1351</v>
      </c>
      <c r="G26" s="210" t="s">
        <v>1352</v>
      </c>
      <c r="H26" s="52" t="s">
        <v>1353</v>
      </c>
      <c r="I26" s="2"/>
      <c r="J26" s="2"/>
      <c r="K26" s="2"/>
      <c r="L26" s="2"/>
      <c r="M26" s="2"/>
      <c r="N26" s="2"/>
      <c r="O26" s="2"/>
      <c r="P26" s="2"/>
      <c r="Q26" s="2"/>
      <c r="R26" s="2"/>
      <c r="S26" s="2"/>
      <c r="T26" s="2"/>
      <c r="U26" s="2"/>
      <c r="V26" s="2"/>
      <c r="W26" s="2"/>
      <c r="X26" s="2"/>
      <c r="Y26" s="2"/>
      <c r="Z26" s="2"/>
    </row>
    <row r="27" customHeight="1" spans="1:26">
      <c r="A27" s="52" t="s">
        <v>686</v>
      </c>
      <c r="B27" s="52" t="s">
        <v>1354</v>
      </c>
      <c r="C27" s="52" t="s">
        <v>1355</v>
      </c>
      <c r="D27" s="198">
        <v>200</v>
      </c>
      <c r="E27" s="52" t="s">
        <v>37</v>
      </c>
      <c r="F27" s="210" t="s">
        <v>1356</v>
      </c>
      <c r="G27" s="210" t="s">
        <v>1357</v>
      </c>
      <c r="H27" s="52" t="s">
        <v>1358</v>
      </c>
      <c r="I27" s="2"/>
      <c r="J27" s="2"/>
      <c r="K27" s="2"/>
      <c r="L27" s="2"/>
      <c r="M27" s="2"/>
      <c r="N27" s="2"/>
      <c r="O27" s="2"/>
      <c r="P27" s="2"/>
      <c r="Q27" s="2"/>
      <c r="R27" s="2"/>
      <c r="S27" s="2"/>
      <c r="T27" s="2"/>
      <c r="U27" s="2"/>
      <c r="V27" s="2"/>
      <c r="W27" s="2"/>
      <c r="X27" s="2"/>
      <c r="Y27" s="2"/>
      <c r="Z27" s="2"/>
    </row>
    <row r="28" customHeight="1" spans="1:26">
      <c r="A28" s="52" t="s">
        <v>686</v>
      </c>
      <c r="B28" s="52" t="s">
        <v>1359</v>
      </c>
      <c r="C28" s="52" t="s">
        <v>1360</v>
      </c>
      <c r="D28" s="198">
        <v>300</v>
      </c>
      <c r="E28" s="52" t="s">
        <v>37</v>
      </c>
      <c r="F28" s="210" t="s">
        <v>1361</v>
      </c>
      <c r="G28" s="210" t="s">
        <v>1362</v>
      </c>
      <c r="H28" s="54" t="str">
        <f>HYPERLINK("http://www.pge.com/","http://www.pge.com/")</f>
        <v>http://www.pge.com/</v>
      </c>
      <c r="I28" s="2"/>
      <c r="J28" s="2"/>
      <c r="K28" s="2"/>
      <c r="L28" s="2"/>
      <c r="M28" s="2"/>
      <c r="N28" s="2"/>
      <c r="O28" s="2"/>
      <c r="P28" s="2"/>
      <c r="Q28" s="2"/>
      <c r="R28" s="2"/>
      <c r="S28" s="2"/>
      <c r="T28" s="2"/>
      <c r="U28" s="2"/>
      <c r="V28" s="2"/>
      <c r="W28" s="2"/>
      <c r="X28" s="2"/>
      <c r="Y28" s="2"/>
      <c r="Z28" s="2"/>
    </row>
    <row r="29" customHeight="1" spans="1:26">
      <c r="A29" s="52" t="s">
        <v>686</v>
      </c>
      <c r="B29" s="52" t="s">
        <v>1363</v>
      </c>
      <c r="C29" s="52" t="s">
        <v>1364</v>
      </c>
      <c r="D29" s="198">
        <v>200</v>
      </c>
      <c r="E29" s="52" t="s">
        <v>37</v>
      </c>
      <c r="F29" s="210" t="s">
        <v>1365</v>
      </c>
      <c r="G29" s="210" t="s">
        <v>1366</v>
      </c>
      <c r="H29" s="52" t="s">
        <v>1367</v>
      </c>
      <c r="I29" s="2"/>
      <c r="J29" s="2"/>
      <c r="K29" s="2"/>
      <c r="L29" s="2"/>
      <c r="M29" s="2"/>
      <c r="N29" s="2"/>
      <c r="O29" s="2"/>
      <c r="P29" s="2"/>
      <c r="Q29" s="2"/>
      <c r="R29" s="2"/>
      <c r="S29" s="2"/>
      <c r="T29" s="2"/>
      <c r="U29" s="2"/>
      <c r="V29" s="2"/>
      <c r="W29" s="2"/>
      <c r="X29" s="2"/>
      <c r="Y29" s="2"/>
      <c r="Z29" s="2"/>
    </row>
    <row r="30" customHeight="1" spans="1:26">
      <c r="A30" s="52" t="s">
        <v>1368</v>
      </c>
      <c r="B30" s="52" t="s">
        <v>1369</v>
      </c>
      <c r="C30" s="52" t="s">
        <v>1370</v>
      </c>
      <c r="D30" s="198">
        <v>40</v>
      </c>
      <c r="E30" s="52" t="s">
        <v>37</v>
      </c>
      <c r="F30" s="210" t="s">
        <v>1371</v>
      </c>
      <c r="G30" s="210" t="s">
        <v>1372</v>
      </c>
      <c r="H30" s="52" t="s">
        <v>1373</v>
      </c>
      <c r="I30" s="2"/>
      <c r="J30" s="2"/>
      <c r="K30" s="2"/>
      <c r="L30" s="2"/>
      <c r="M30" s="2"/>
      <c r="N30" s="2"/>
      <c r="O30" s="2"/>
      <c r="P30" s="2"/>
      <c r="Q30" s="2"/>
      <c r="R30" s="2"/>
      <c r="S30" s="2"/>
      <c r="T30" s="2"/>
      <c r="U30" s="2"/>
      <c r="V30" s="2"/>
      <c r="W30" s="2"/>
      <c r="X30" s="2"/>
      <c r="Y30" s="2"/>
      <c r="Z30" s="2"/>
    </row>
    <row r="31" customHeight="1" spans="1:26">
      <c r="A31" s="52" t="s">
        <v>1368</v>
      </c>
      <c r="B31" s="52" t="s">
        <v>1374</v>
      </c>
      <c r="C31" s="52" t="s">
        <v>471</v>
      </c>
      <c r="D31" s="198">
        <v>35</v>
      </c>
      <c r="E31" s="52" t="s">
        <v>37</v>
      </c>
      <c r="F31" s="210" t="s">
        <v>1375</v>
      </c>
      <c r="G31" s="210" t="s">
        <v>1376</v>
      </c>
      <c r="H31" s="54" t="str">
        <f>HYPERLINK("http://www.striderite.com/en/h","http://www.striderite.com/en/h")</f>
        <v>http://www.striderite.com/en/h</v>
      </c>
      <c r="I31" s="2"/>
      <c r="J31" s="2"/>
      <c r="K31" s="2"/>
      <c r="L31" s="2"/>
      <c r="M31" s="2"/>
      <c r="N31" s="2"/>
      <c r="O31" s="2"/>
      <c r="P31" s="2"/>
      <c r="Q31" s="2"/>
      <c r="R31" s="2"/>
      <c r="S31" s="2"/>
      <c r="T31" s="2"/>
      <c r="U31" s="2"/>
      <c r="V31" s="2"/>
      <c r="W31" s="2"/>
      <c r="X31" s="2"/>
      <c r="Y31" s="2"/>
      <c r="Z31" s="2"/>
    </row>
    <row r="32" customHeight="1" spans="1:26">
      <c r="A32" s="52" t="s">
        <v>1368</v>
      </c>
      <c r="B32" s="52" t="s">
        <v>1377</v>
      </c>
      <c r="C32" s="52" t="s">
        <v>1370</v>
      </c>
      <c r="D32" s="198">
        <v>40</v>
      </c>
      <c r="E32" s="52" t="s">
        <v>37</v>
      </c>
      <c r="F32" s="210" t="s">
        <v>1378</v>
      </c>
      <c r="G32" s="210" t="s">
        <v>1379</v>
      </c>
      <c r="H32" s="52" t="s">
        <v>1380</v>
      </c>
      <c r="I32" s="2"/>
      <c r="J32" s="2"/>
      <c r="K32" s="2"/>
      <c r="L32" s="2"/>
      <c r="M32" s="2"/>
      <c r="N32" s="2"/>
      <c r="O32" s="2"/>
      <c r="P32" s="2"/>
      <c r="Q32" s="2"/>
      <c r="R32" s="2"/>
      <c r="S32" s="2"/>
      <c r="T32" s="2"/>
      <c r="U32" s="2"/>
      <c r="V32" s="2"/>
      <c r="W32" s="2"/>
      <c r="X32" s="2"/>
      <c r="Y32" s="2"/>
      <c r="Z32" s="2"/>
    </row>
    <row r="33" customHeight="1" spans="1:26">
      <c r="A33" s="52" t="s">
        <v>871</v>
      </c>
      <c r="B33" s="52" t="s">
        <v>1381</v>
      </c>
      <c r="C33" s="52" t="s">
        <v>1370</v>
      </c>
      <c r="D33" s="198">
        <v>100</v>
      </c>
      <c r="E33" s="52" t="s">
        <v>37</v>
      </c>
      <c r="F33" s="210" t="s">
        <v>1382</v>
      </c>
      <c r="G33" s="210" t="s">
        <v>1383</v>
      </c>
      <c r="H33" s="52" t="s">
        <v>1384</v>
      </c>
      <c r="I33" s="2"/>
      <c r="J33" s="2"/>
      <c r="K33" s="2"/>
      <c r="L33" s="2"/>
      <c r="M33" s="2"/>
      <c r="N33" s="2"/>
      <c r="O33" s="2"/>
      <c r="P33" s="2"/>
      <c r="Q33" s="2"/>
      <c r="R33" s="2"/>
      <c r="S33" s="2"/>
      <c r="T33" s="2"/>
      <c r="U33" s="2"/>
      <c r="V33" s="2"/>
      <c r="W33" s="2"/>
      <c r="X33" s="2"/>
      <c r="Y33" s="2"/>
      <c r="Z33" s="2"/>
    </row>
    <row r="34" customHeight="1" spans="1:26">
      <c r="A34" s="52" t="s">
        <v>871</v>
      </c>
      <c r="B34" s="52" t="s">
        <v>1385</v>
      </c>
      <c r="C34" s="52" t="s">
        <v>1370</v>
      </c>
      <c r="D34" s="198">
        <v>150</v>
      </c>
      <c r="E34" s="52" t="s">
        <v>37</v>
      </c>
      <c r="F34" s="210" t="s">
        <v>1386</v>
      </c>
      <c r="G34" s="210" t="s">
        <v>1387</v>
      </c>
      <c r="H34" s="52" t="s">
        <v>1388</v>
      </c>
      <c r="I34" s="2"/>
      <c r="J34" s="2"/>
      <c r="K34" s="2"/>
      <c r="L34" s="2"/>
      <c r="M34" s="2"/>
      <c r="N34" s="2"/>
      <c r="O34" s="2"/>
      <c r="P34" s="2"/>
      <c r="Q34" s="2"/>
      <c r="R34" s="2"/>
      <c r="S34" s="2"/>
      <c r="T34" s="2"/>
      <c r="U34" s="2"/>
      <c r="V34" s="2"/>
      <c r="W34" s="2"/>
      <c r="X34" s="2"/>
      <c r="Y34" s="2"/>
      <c r="Z34" s="2"/>
    </row>
    <row r="35" customHeight="1" spans="1:26">
      <c r="A35" s="52" t="s">
        <v>871</v>
      </c>
      <c r="B35" s="52" t="s">
        <v>1389</v>
      </c>
      <c r="C35" s="52" t="s">
        <v>1370</v>
      </c>
      <c r="D35" s="198">
        <v>250</v>
      </c>
      <c r="E35" s="52" t="s">
        <v>37</v>
      </c>
      <c r="F35" s="210" t="s">
        <v>1390</v>
      </c>
      <c r="G35" s="210" t="s">
        <v>1391</v>
      </c>
      <c r="H35" s="52" t="s">
        <v>1392</v>
      </c>
      <c r="I35" s="2"/>
      <c r="J35" s="2"/>
      <c r="K35" s="2"/>
      <c r="L35" s="2"/>
      <c r="M35" s="2"/>
      <c r="N35" s="2"/>
      <c r="O35" s="2"/>
      <c r="P35" s="2"/>
      <c r="Q35" s="2"/>
      <c r="R35" s="2"/>
      <c r="S35" s="2"/>
      <c r="T35" s="2"/>
      <c r="U35" s="2"/>
      <c r="V35" s="2"/>
      <c r="W35" s="2"/>
      <c r="X35" s="2"/>
      <c r="Y35" s="2"/>
      <c r="Z35" s="2"/>
    </row>
    <row r="36" customHeight="1" spans="1:26">
      <c r="A36" s="52" t="s">
        <v>713</v>
      </c>
      <c r="B36" s="52" t="s">
        <v>1393</v>
      </c>
      <c r="C36" s="52" t="s">
        <v>1394</v>
      </c>
      <c r="D36" s="198">
        <v>200</v>
      </c>
      <c r="E36" s="52" t="s">
        <v>37</v>
      </c>
      <c r="F36" s="210" t="s">
        <v>1395</v>
      </c>
      <c r="G36" s="210" t="s">
        <v>1396</v>
      </c>
      <c r="H36" s="52" t="s">
        <v>1397</v>
      </c>
      <c r="I36" s="2"/>
      <c r="J36" s="2"/>
      <c r="K36" s="2"/>
      <c r="L36" s="2"/>
      <c r="M36" s="2"/>
      <c r="N36" s="2"/>
      <c r="O36" s="2"/>
      <c r="P36" s="2"/>
      <c r="Q36" s="2"/>
      <c r="R36" s="2"/>
      <c r="S36" s="2"/>
      <c r="T36" s="2"/>
      <c r="U36" s="2"/>
      <c r="V36" s="2"/>
      <c r="W36" s="2"/>
      <c r="X36" s="2"/>
      <c r="Y36" s="2"/>
      <c r="Z36" s="2"/>
    </row>
    <row r="37" customHeight="1" spans="1:26">
      <c r="A37" s="52" t="s">
        <v>713</v>
      </c>
      <c r="B37" s="52" t="s">
        <v>1398</v>
      </c>
      <c r="C37" s="52" t="s">
        <v>1399</v>
      </c>
      <c r="D37" s="198">
        <v>35</v>
      </c>
      <c r="E37" s="52" t="s">
        <v>21</v>
      </c>
      <c r="F37" s="210" t="s">
        <v>1400</v>
      </c>
      <c r="G37" s="210" t="s">
        <v>1401</v>
      </c>
      <c r="H37" s="54" t="str">
        <f>HYPERLINK("http://designmuseum.org/","http://designmuseum.org/")</f>
        <v>http://designmuseum.org/</v>
      </c>
      <c r="I37" s="2"/>
      <c r="J37" s="2"/>
      <c r="K37" s="2"/>
      <c r="L37" s="2"/>
      <c r="M37" s="2"/>
      <c r="N37" s="2"/>
      <c r="O37" s="2"/>
      <c r="P37" s="2"/>
      <c r="Q37" s="2"/>
      <c r="R37" s="2"/>
      <c r="S37" s="2"/>
      <c r="T37" s="2"/>
      <c r="U37" s="2"/>
      <c r="V37" s="2"/>
      <c r="W37" s="2"/>
      <c r="X37" s="2"/>
      <c r="Y37" s="2"/>
      <c r="Z37" s="2"/>
    </row>
    <row r="38" customHeight="1" spans="1:26">
      <c r="A38" s="52" t="s">
        <v>713</v>
      </c>
      <c r="B38" s="52" t="s">
        <v>1402</v>
      </c>
      <c r="C38" s="52" t="s">
        <v>1394</v>
      </c>
      <c r="D38" s="198">
        <v>200</v>
      </c>
      <c r="E38" s="52" t="s">
        <v>37</v>
      </c>
      <c r="F38" s="211" t="s">
        <v>1403</v>
      </c>
      <c r="G38" s="210" t="s">
        <v>1404</v>
      </c>
      <c r="H38" s="54" t="str">
        <f>HYPERLINK("http://www.carnegiehall.org/","http://www.carnegiehall.org/")</f>
        <v>http://www.carnegiehall.org/</v>
      </c>
      <c r="I38" s="2"/>
      <c r="J38" s="2"/>
      <c r="K38" s="2"/>
      <c r="L38" s="2"/>
      <c r="M38" s="2"/>
      <c r="N38" s="2"/>
      <c r="O38" s="2"/>
      <c r="P38" s="2"/>
      <c r="Q38" s="2"/>
      <c r="R38" s="2"/>
      <c r="S38" s="2"/>
      <c r="T38" s="2"/>
      <c r="U38" s="2"/>
      <c r="V38" s="2"/>
      <c r="W38" s="2"/>
      <c r="X38" s="2"/>
      <c r="Y38" s="2"/>
      <c r="Z38" s="2"/>
    </row>
    <row r="39" customHeight="1" spans="1:26">
      <c r="A39" s="52" t="s">
        <v>728</v>
      </c>
      <c r="B39" s="52" t="s">
        <v>1405</v>
      </c>
      <c r="C39" s="52" t="s">
        <v>1406</v>
      </c>
      <c r="D39" s="198">
        <v>900</v>
      </c>
      <c r="E39" s="52" t="s">
        <v>21</v>
      </c>
      <c r="F39" s="210" t="s">
        <v>1407</v>
      </c>
      <c r="G39" s="210" t="s">
        <v>1408</v>
      </c>
      <c r="H39" s="52" t="s">
        <v>1409</v>
      </c>
      <c r="I39" s="2"/>
      <c r="J39" s="2"/>
      <c r="K39" s="2"/>
      <c r="L39" s="2"/>
      <c r="M39" s="2"/>
      <c r="N39" s="2"/>
      <c r="O39" s="2"/>
      <c r="P39" s="2"/>
      <c r="Q39" s="2"/>
      <c r="R39" s="2"/>
      <c r="S39" s="2"/>
      <c r="T39" s="2"/>
      <c r="U39" s="2"/>
      <c r="V39" s="2"/>
      <c r="W39" s="2"/>
      <c r="X39" s="2"/>
      <c r="Y39" s="2"/>
      <c r="Z39" s="2"/>
    </row>
    <row r="40" customHeight="1" spans="1:26">
      <c r="A40" s="52" t="s">
        <v>728</v>
      </c>
      <c r="B40" s="52" t="s">
        <v>1410</v>
      </c>
      <c r="C40" s="52" t="s">
        <v>1411</v>
      </c>
      <c r="D40" s="198">
        <v>3000</v>
      </c>
      <c r="E40" s="52" t="s">
        <v>21</v>
      </c>
      <c r="F40" s="210" t="s">
        <v>1412</v>
      </c>
      <c r="G40" s="210" t="s">
        <v>1413</v>
      </c>
      <c r="H40" s="52" t="s">
        <v>1414</v>
      </c>
      <c r="I40" s="2"/>
      <c r="J40" s="2"/>
      <c r="K40" s="2"/>
      <c r="L40" s="2"/>
      <c r="M40" s="2"/>
      <c r="N40" s="2"/>
      <c r="O40" s="2"/>
      <c r="P40" s="2"/>
      <c r="Q40" s="2"/>
      <c r="R40" s="2"/>
      <c r="S40" s="2"/>
      <c r="T40" s="2"/>
      <c r="U40" s="2"/>
      <c r="V40" s="2"/>
      <c r="W40" s="2"/>
      <c r="X40" s="2"/>
      <c r="Y40" s="2"/>
      <c r="Z40" s="2"/>
    </row>
    <row r="41" customHeight="1" spans="1:26">
      <c r="A41" s="52" t="s">
        <v>728</v>
      </c>
      <c r="B41" s="52" t="s">
        <v>1415</v>
      </c>
      <c r="C41" s="52" t="s">
        <v>1416</v>
      </c>
      <c r="D41" s="198">
        <v>700</v>
      </c>
      <c r="E41" s="52" t="s">
        <v>21</v>
      </c>
      <c r="F41" s="210" t="s">
        <v>1417</v>
      </c>
      <c r="G41" s="210" t="s">
        <v>1418</v>
      </c>
      <c r="H41" s="52" t="s">
        <v>1419</v>
      </c>
      <c r="I41" s="2"/>
      <c r="J41" s="2"/>
      <c r="K41" s="2"/>
      <c r="L41" s="2"/>
      <c r="M41" s="2"/>
      <c r="N41" s="2"/>
      <c r="O41" s="2"/>
      <c r="P41" s="2"/>
      <c r="Q41" s="2"/>
      <c r="R41" s="2"/>
      <c r="S41" s="2"/>
      <c r="T41" s="2"/>
      <c r="U41" s="2"/>
      <c r="V41" s="2"/>
      <c r="W41" s="2"/>
      <c r="X41" s="2"/>
      <c r="Y41" s="2"/>
      <c r="Z41" s="2"/>
    </row>
    <row r="42" customHeight="1" spans="1:26">
      <c r="A42" s="52" t="s">
        <v>728</v>
      </c>
      <c r="B42" s="52" t="s">
        <v>1420</v>
      </c>
      <c r="C42" s="52" t="s">
        <v>1421</v>
      </c>
      <c r="D42" s="198">
        <v>25</v>
      </c>
      <c r="E42" s="52" t="s">
        <v>37</v>
      </c>
      <c r="F42" s="210" t="s">
        <v>1422</v>
      </c>
      <c r="G42" s="210" t="s">
        <v>1423</v>
      </c>
      <c r="H42" s="52" t="s">
        <v>1424</v>
      </c>
      <c r="I42" s="2"/>
      <c r="J42" s="2"/>
      <c r="K42" s="2"/>
      <c r="L42" s="2"/>
      <c r="M42" s="2"/>
      <c r="N42" s="2"/>
      <c r="O42" s="2"/>
      <c r="P42" s="2"/>
      <c r="Q42" s="2"/>
      <c r="R42" s="2"/>
      <c r="S42" s="2"/>
      <c r="T42" s="2"/>
      <c r="U42" s="2"/>
      <c r="V42" s="2"/>
      <c r="W42" s="2"/>
      <c r="X42" s="2"/>
      <c r="Y42" s="2"/>
      <c r="Z42" s="2"/>
    </row>
    <row r="43" customHeight="1" spans="1:26">
      <c r="A43" s="52" t="s">
        <v>701</v>
      </c>
      <c r="B43" s="52" t="s">
        <v>1425</v>
      </c>
      <c r="C43" s="52" t="s">
        <v>1426</v>
      </c>
      <c r="D43" s="198">
        <v>250</v>
      </c>
      <c r="E43" s="52" t="s">
        <v>37</v>
      </c>
      <c r="F43" s="210" t="s">
        <v>1427</v>
      </c>
      <c r="G43" s="210" t="s">
        <v>1428</v>
      </c>
      <c r="H43" s="52" t="s">
        <v>1429</v>
      </c>
      <c r="I43" s="2"/>
      <c r="J43" s="2"/>
      <c r="K43" s="2"/>
      <c r="L43" s="2"/>
      <c r="M43" s="2"/>
      <c r="N43" s="2"/>
      <c r="O43" s="2"/>
      <c r="P43" s="2"/>
      <c r="Q43" s="2"/>
      <c r="R43" s="2"/>
      <c r="S43" s="2"/>
      <c r="T43" s="2"/>
      <c r="U43" s="2"/>
      <c r="V43" s="2"/>
      <c r="W43" s="2"/>
      <c r="X43" s="2"/>
      <c r="Y43" s="2"/>
      <c r="Z43" s="2"/>
    </row>
    <row r="44" customHeight="1" spans="1:26">
      <c r="A44" s="52" t="s">
        <v>701</v>
      </c>
      <c r="B44" s="52" t="s">
        <v>1430</v>
      </c>
      <c r="C44" s="52" t="s">
        <v>214</v>
      </c>
      <c r="D44" s="198">
        <v>35</v>
      </c>
      <c r="E44" s="52" t="s">
        <v>245</v>
      </c>
      <c r="F44" s="199" t="str">
        <f>HYPERLINK("http://www.brandprofiles.com/cvs-logo","http://www.brandprofiles.com/cvs-logo")</f>
        <v>http://www.brandprofiles.com/cvs-logo</v>
      </c>
      <c r="G44" s="210" t="s">
        <v>1431</v>
      </c>
      <c r="H44" s="52" t="s">
        <v>1432</v>
      </c>
      <c r="I44" s="2"/>
      <c r="J44" s="2"/>
      <c r="K44" s="2"/>
      <c r="L44" s="2"/>
      <c r="M44" s="2"/>
      <c r="N44" s="2"/>
      <c r="O44" s="2"/>
      <c r="P44" s="2"/>
      <c r="Q44" s="2"/>
      <c r="R44" s="2"/>
      <c r="S44" s="2"/>
      <c r="T44" s="2"/>
      <c r="U44" s="2"/>
      <c r="V44" s="2"/>
      <c r="W44" s="2"/>
      <c r="X44" s="2"/>
      <c r="Y44" s="2"/>
      <c r="Z44" s="2"/>
    </row>
    <row r="45" customHeight="1" spans="1:26">
      <c r="A45" s="52" t="s">
        <v>701</v>
      </c>
      <c r="B45" s="52" t="s">
        <v>1433</v>
      </c>
      <c r="C45" s="52" t="s">
        <v>1434</v>
      </c>
      <c r="D45" s="198">
        <v>2000</v>
      </c>
      <c r="E45" s="52" t="s">
        <v>21</v>
      </c>
      <c r="F45" s="210" t="s">
        <v>1435</v>
      </c>
      <c r="G45" s="210" t="s">
        <v>1436</v>
      </c>
      <c r="H45" s="52" t="s">
        <v>1437</v>
      </c>
      <c r="I45" s="2"/>
      <c r="J45" s="2"/>
      <c r="K45" s="2"/>
      <c r="L45" s="2"/>
      <c r="M45" s="2"/>
      <c r="N45" s="2"/>
      <c r="O45" s="2"/>
      <c r="P45" s="2"/>
      <c r="Q45" s="2"/>
      <c r="R45" s="2"/>
      <c r="S45" s="2"/>
      <c r="T45" s="2"/>
      <c r="U45" s="2"/>
      <c r="V45" s="2"/>
      <c r="W45" s="2"/>
      <c r="X45" s="2"/>
      <c r="Y45" s="2"/>
      <c r="Z45" s="2"/>
    </row>
    <row r="46" customHeight="1" spans="1:26">
      <c r="A46" s="52" t="s">
        <v>742</v>
      </c>
      <c r="B46" s="52" t="s">
        <v>1438</v>
      </c>
      <c r="C46" s="52" t="s">
        <v>1439</v>
      </c>
      <c r="D46" s="198">
        <v>200</v>
      </c>
      <c r="E46" s="52" t="s">
        <v>37</v>
      </c>
      <c r="F46" s="210" t="s">
        <v>1440</v>
      </c>
      <c r="G46" s="54" t="str">
        <f>HYPERLINK("http://img1.wikia.nocookie.net/__cb20131010141024/logopedia/images/e/ed/San_francisco_giants_alternate_logo.gif","http://img1.wikia.nocookie.net/__cb20131010141024/logopedia/images/e/ed/San_francisco_giants_alternate_logo.gif")</f>
        <v>http://img1.wikia.nocookie.net/__cb20131010141024/logopedia/images/e/ed/San_francisco_giants_alternate_logo.gif</v>
      </c>
      <c r="H46" s="54" t="str">
        <f>HYPERLINK("http://sanfrancisco.giants.mlb.com/index.jsp?c_id=sf","http://sanfrancisco.giants.mlb.com/index.jsp?c_id=sf")</f>
        <v>http://sanfrancisco.giants.mlb.com/index.jsp?c_id=sf</v>
      </c>
      <c r="I46" s="2"/>
      <c r="J46" s="2"/>
      <c r="K46" s="2"/>
      <c r="L46" s="2"/>
      <c r="M46" s="2"/>
      <c r="N46" s="2"/>
      <c r="O46" s="2"/>
      <c r="P46" s="2"/>
      <c r="Q46" s="2"/>
      <c r="R46" s="2"/>
      <c r="S46" s="2"/>
      <c r="T46" s="2"/>
      <c r="U46" s="2"/>
      <c r="V46" s="2"/>
      <c r="W46" s="2"/>
      <c r="X46" s="2"/>
      <c r="Y46" s="2"/>
      <c r="Z46" s="2"/>
    </row>
    <row r="47" customHeight="1" spans="1:26">
      <c r="A47" s="52" t="s">
        <v>742</v>
      </c>
      <c r="B47" s="52" t="s">
        <v>1441</v>
      </c>
      <c r="C47" s="52" t="s">
        <v>1442</v>
      </c>
      <c r="D47" s="198">
        <v>30</v>
      </c>
      <c r="E47" s="52" t="s">
        <v>245</v>
      </c>
      <c r="F47" s="210" t="s">
        <v>1443</v>
      </c>
      <c r="G47" s="210" t="s">
        <v>1444</v>
      </c>
      <c r="H47" s="52" t="s">
        <v>1445</v>
      </c>
      <c r="I47" s="2"/>
      <c r="J47" s="2"/>
      <c r="K47" s="2"/>
      <c r="L47" s="2"/>
      <c r="M47" s="2"/>
      <c r="N47" s="2"/>
      <c r="O47" s="2"/>
      <c r="P47" s="2"/>
      <c r="Q47" s="2"/>
      <c r="R47" s="2"/>
      <c r="S47" s="2"/>
      <c r="T47" s="2"/>
      <c r="U47" s="2"/>
      <c r="V47" s="2"/>
      <c r="W47" s="2"/>
      <c r="X47" s="2"/>
      <c r="Y47" s="2"/>
      <c r="Z47" s="2"/>
    </row>
    <row r="48" customHeight="1" spans="1:26">
      <c r="A48" s="52" t="s">
        <v>742</v>
      </c>
      <c r="B48" s="52" t="s">
        <v>1446</v>
      </c>
      <c r="C48" s="52" t="s">
        <v>1447</v>
      </c>
      <c r="D48" s="198">
        <v>500</v>
      </c>
      <c r="E48" s="52" t="s">
        <v>21</v>
      </c>
      <c r="F48" s="210" t="s">
        <v>1448</v>
      </c>
      <c r="G48" s="210" t="s">
        <v>1449</v>
      </c>
      <c r="H48" s="52" t="s">
        <v>1450</v>
      </c>
      <c r="I48" s="2"/>
      <c r="J48" s="2"/>
      <c r="K48" s="2"/>
      <c r="L48" s="2"/>
      <c r="M48" s="2"/>
      <c r="N48" s="2"/>
      <c r="O48" s="2"/>
      <c r="P48" s="2"/>
      <c r="Q48" s="2"/>
      <c r="R48" s="2"/>
      <c r="S48" s="2"/>
      <c r="T48" s="2"/>
      <c r="U48" s="2"/>
      <c r="V48" s="2"/>
      <c r="W48" s="2"/>
      <c r="X48" s="2"/>
      <c r="Y48" s="2"/>
      <c r="Z48" s="2"/>
    </row>
    <row r="49" customHeight="1" spans="1:26">
      <c r="A49" s="52" t="s">
        <v>825</v>
      </c>
      <c r="B49" s="52" t="s">
        <v>1451</v>
      </c>
      <c r="C49" s="52" t="s">
        <v>1452</v>
      </c>
      <c r="D49" s="198">
        <v>6</v>
      </c>
      <c r="E49" s="52" t="s">
        <v>1295</v>
      </c>
      <c r="F49" s="210" t="s">
        <v>1453</v>
      </c>
      <c r="G49" s="210" t="s">
        <v>1454</v>
      </c>
      <c r="H49" s="52" t="s">
        <v>1455</v>
      </c>
      <c r="I49" s="2"/>
      <c r="J49" s="2"/>
      <c r="K49" s="2"/>
      <c r="L49" s="2"/>
      <c r="M49" s="2"/>
      <c r="N49" s="2"/>
      <c r="O49" s="2"/>
      <c r="P49" s="2"/>
      <c r="Q49" s="2"/>
      <c r="R49" s="2"/>
      <c r="S49" s="2"/>
      <c r="T49" s="2"/>
      <c r="U49" s="2"/>
      <c r="V49" s="2"/>
      <c r="W49" s="2"/>
      <c r="X49" s="2"/>
      <c r="Y49" s="2"/>
      <c r="Z49" s="2"/>
    </row>
    <row r="50" customHeight="1" spans="1:26">
      <c r="A50" s="52" t="s">
        <v>825</v>
      </c>
      <c r="B50" s="52" t="s">
        <v>1456</v>
      </c>
      <c r="C50" s="52" t="s">
        <v>1457</v>
      </c>
      <c r="D50" s="198">
        <v>500</v>
      </c>
      <c r="E50" s="52" t="s">
        <v>1284</v>
      </c>
      <c r="F50" s="199" t="str">
        <f>HYPERLINK("http://www.brandprofiles.com/american-airlines-logo-1","http://www.brandprofiles.com/american-airlines-logo-1")</f>
        <v>http://www.brandprofiles.com/american-airlines-logo-1</v>
      </c>
      <c r="G50" s="210" t="s">
        <v>1458</v>
      </c>
      <c r="H50" s="52" t="s">
        <v>1459</v>
      </c>
      <c r="I50" s="2"/>
      <c r="J50" s="2"/>
      <c r="K50" s="2"/>
      <c r="L50" s="2"/>
      <c r="M50" s="2"/>
      <c r="N50" s="2"/>
      <c r="O50" s="2"/>
      <c r="P50" s="2"/>
      <c r="Q50" s="2"/>
      <c r="R50" s="2"/>
      <c r="S50" s="2"/>
      <c r="T50" s="2"/>
      <c r="U50" s="2"/>
      <c r="V50" s="2"/>
      <c r="W50" s="2"/>
      <c r="X50" s="2"/>
      <c r="Y50" s="2"/>
      <c r="Z50" s="2"/>
    </row>
    <row r="51" customHeight="1" spans="1:26">
      <c r="A51" s="52" t="s">
        <v>825</v>
      </c>
      <c r="B51" s="52" t="s">
        <v>1460</v>
      </c>
      <c r="C51" s="52" t="s">
        <v>1457</v>
      </c>
      <c r="D51" s="198">
        <v>275</v>
      </c>
      <c r="E51" s="52" t="s">
        <v>37</v>
      </c>
      <c r="F51" s="210" t="s">
        <v>1461</v>
      </c>
      <c r="G51" s="210" t="s">
        <v>1462</v>
      </c>
      <c r="H51" s="52" t="s">
        <v>1463</v>
      </c>
      <c r="I51" s="2"/>
      <c r="J51" s="2"/>
      <c r="K51" s="2"/>
      <c r="L51" s="2"/>
      <c r="M51" s="2"/>
      <c r="N51" s="2"/>
      <c r="O51" s="2"/>
      <c r="P51" s="2"/>
      <c r="Q51" s="2"/>
      <c r="R51" s="2"/>
      <c r="S51" s="2"/>
      <c r="T51" s="2"/>
      <c r="U51" s="2"/>
      <c r="V51" s="2"/>
      <c r="W51" s="2"/>
      <c r="X51" s="2"/>
      <c r="Y51" s="2"/>
      <c r="Z51" s="2"/>
    </row>
    <row r="52" customHeight="1" spans="1:26">
      <c r="A52" s="52" t="s">
        <v>785</v>
      </c>
      <c r="B52" s="52" t="s">
        <v>682</v>
      </c>
      <c r="C52" s="52" t="s">
        <v>1464</v>
      </c>
      <c r="D52" s="198">
        <v>750</v>
      </c>
      <c r="E52" s="52" t="s">
        <v>21</v>
      </c>
      <c r="F52" s="210" t="s">
        <v>1465</v>
      </c>
      <c r="G52" s="210" t="s">
        <v>685</v>
      </c>
      <c r="H52" s="52" t="s">
        <v>1466</v>
      </c>
      <c r="I52" s="2"/>
      <c r="J52" s="2"/>
      <c r="K52" s="2"/>
      <c r="L52" s="2"/>
      <c r="M52" s="2"/>
      <c r="N52" s="2"/>
      <c r="O52" s="2"/>
      <c r="P52" s="2"/>
      <c r="Q52" s="2"/>
      <c r="R52" s="2"/>
      <c r="S52" s="2"/>
      <c r="T52" s="2"/>
      <c r="U52" s="2"/>
      <c r="V52" s="2"/>
      <c r="W52" s="2"/>
      <c r="X52" s="2"/>
      <c r="Y52" s="2"/>
      <c r="Z52" s="2"/>
    </row>
    <row r="53" customHeight="1" spans="1:26">
      <c r="A53" s="52" t="s">
        <v>785</v>
      </c>
      <c r="B53" s="52" t="s">
        <v>1467</v>
      </c>
      <c r="C53" s="52" t="s">
        <v>1468</v>
      </c>
      <c r="D53" s="198">
        <v>110</v>
      </c>
      <c r="E53" s="52" t="s">
        <v>21</v>
      </c>
      <c r="F53" s="210" t="s">
        <v>1469</v>
      </c>
      <c r="G53" s="210" t="s">
        <v>1470</v>
      </c>
      <c r="H53" s="52" t="s">
        <v>1471</v>
      </c>
      <c r="I53" s="2"/>
      <c r="J53" s="2"/>
      <c r="K53" s="2"/>
      <c r="L53" s="2"/>
      <c r="M53" s="2"/>
      <c r="N53" s="2"/>
      <c r="O53" s="2"/>
      <c r="P53" s="2"/>
      <c r="Q53" s="2"/>
      <c r="R53" s="2"/>
      <c r="S53" s="2"/>
      <c r="T53" s="2"/>
      <c r="U53" s="2"/>
      <c r="V53" s="2"/>
      <c r="W53" s="2"/>
      <c r="X53" s="2"/>
      <c r="Y53" s="2"/>
      <c r="Z53" s="2"/>
    </row>
    <row r="54" customHeight="1" spans="1:26">
      <c r="A54" s="52" t="s">
        <v>785</v>
      </c>
      <c r="B54" s="52" t="s">
        <v>1472</v>
      </c>
      <c r="C54" s="52" t="s">
        <v>1464</v>
      </c>
      <c r="D54" s="198">
        <v>2200</v>
      </c>
      <c r="E54" s="52" t="s">
        <v>21</v>
      </c>
      <c r="F54" s="210" t="s">
        <v>1473</v>
      </c>
      <c r="G54" s="210" t="s">
        <v>1474</v>
      </c>
      <c r="H54" s="52" t="s">
        <v>1475</v>
      </c>
      <c r="I54" s="2"/>
      <c r="J54" s="2"/>
      <c r="K54" s="2"/>
      <c r="L54" s="2"/>
      <c r="M54" s="2"/>
      <c r="N54" s="2"/>
      <c r="O54" s="2"/>
      <c r="P54" s="2"/>
      <c r="Q54" s="2"/>
      <c r="R54" s="2"/>
      <c r="S54" s="2"/>
      <c r="T54" s="2"/>
      <c r="U54" s="2"/>
      <c r="V54" s="2"/>
      <c r="W54" s="2"/>
      <c r="X54" s="2"/>
      <c r="Y54" s="2"/>
      <c r="Z54" s="2"/>
    </row>
    <row r="55" customHeight="1" spans="1:26">
      <c r="A55" s="52" t="s">
        <v>785</v>
      </c>
      <c r="B55" s="52" t="s">
        <v>1476</v>
      </c>
      <c r="C55" s="52" t="s">
        <v>1340</v>
      </c>
      <c r="D55" s="198">
        <v>250</v>
      </c>
      <c r="E55" s="52" t="s">
        <v>21</v>
      </c>
      <c r="F55" s="210" t="s">
        <v>1477</v>
      </c>
      <c r="G55" s="210" t="s">
        <v>1478</v>
      </c>
      <c r="H55" s="52" t="s">
        <v>1479</v>
      </c>
      <c r="I55" s="2"/>
      <c r="J55" s="2"/>
      <c r="K55" s="2"/>
      <c r="L55" s="2"/>
      <c r="M55" s="2"/>
      <c r="N55" s="2"/>
      <c r="O55" s="2"/>
      <c r="P55" s="2"/>
      <c r="Q55" s="2"/>
      <c r="R55" s="2"/>
      <c r="S55" s="2"/>
      <c r="T55" s="2"/>
      <c r="U55" s="2"/>
      <c r="V55" s="2"/>
      <c r="W55" s="2"/>
      <c r="X55" s="2"/>
      <c r="Y55" s="2"/>
      <c r="Z55" s="2"/>
    </row>
    <row r="56" customHeight="1" spans="1:26">
      <c r="A56" s="52" t="s">
        <v>840</v>
      </c>
      <c r="B56" s="52" t="s">
        <v>1480</v>
      </c>
      <c r="C56" s="52" t="s">
        <v>1481</v>
      </c>
      <c r="D56" s="198">
        <v>6000</v>
      </c>
      <c r="E56" s="52" t="s">
        <v>1284</v>
      </c>
      <c r="F56" s="199" t="str">
        <f>HYPERLINK("http://www.brandprofiles.com/the-cruise-logo","http://www.brandprofiles.com/the-cruise-logo")</f>
        <v>http://www.brandprofiles.com/the-cruise-logo</v>
      </c>
      <c r="G56" s="210" t="s">
        <v>1482</v>
      </c>
      <c r="H56" s="52" t="s">
        <v>1483</v>
      </c>
      <c r="I56" s="2"/>
      <c r="J56" s="2"/>
      <c r="K56" s="2"/>
      <c r="L56" s="2"/>
      <c r="M56" s="2"/>
      <c r="N56" s="2"/>
      <c r="O56" s="2"/>
      <c r="P56" s="2"/>
      <c r="Q56" s="2"/>
      <c r="R56" s="2"/>
      <c r="S56" s="2"/>
      <c r="T56" s="2"/>
      <c r="U56" s="2"/>
      <c r="V56" s="2"/>
      <c r="W56" s="2"/>
      <c r="X56" s="2"/>
      <c r="Y56" s="2"/>
      <c r="Z56" s="2"/>
    </row>
    <row r="57" customHeight="1" spans="1:26">
      <c r="A57" s="52" t="s">
        <v>840</v>
      </c>
      <c r="B57" s="52" t="s">
        <v>1484</v>
      </c>
      <c r="C57" s="52" t="s">
        <v>1485</v>
      </c>
      <c r="D57" s="198">
        <v>500</v>
      </c>
      <c r="E57" s="52" t="s">
        <v>21</v>
      </c>
      <c r="F57" s="210" t="s">
        <v>1486</v>
      </c>
      <c r="G57" s="210" t="s">
        <v>1487</v>
      </c>
      <c r="H57" s="52" t="s">
        <v>1488</v>
      </c>
      <c r="I57" s="2"/>
      <c r="J57" s="2"/>
      <c r="K57" s="2"/>
      <c r="L57" s="2"/>
      <c r="M57" s="2"/>
      <c r="N57" s="2"/>
      <c r="O57" s="2"/>
      <c r="P57" s="2"/>
      <c r="Q57" s="2"/>
      <c r="R57" s="2"/>
      <c r="S57" s="2"/>
      <c r="T57" s="2"/>
      <c r="U57" s="2"/>
      <c r="V57" s="2"/>
      <c r="W57" s="2"/>
      <c r="X57" s="2"/>
      <c r="Y57" s="2"/>
      <c r="Z57" s="2"/>
    </row>
    <row r="58" customHeight="1" spans="1:26">
      <c r="A58" s="52" t="s">
        <v>840</v>
      </c>
      <c r="B58" s="52" t="s">
        <v>1489</v>
      </c>
      <c r="C58" s="52" t="s">
        <v>1490</v>
      </c>
      <c r="D58" s="198">
        <v>2500</v>
      </c>
      <c r="E58" s="52" t="s">
        <v>21</v>
      </c>
      <c r="F58" s="199" t="str">
        <f>HYPERLINK("http://www.brandprofiles.com/fairmont-logo","http://www.brandprofiles.com/fairmont-logo")</f>
        <v>http://www.brandprofiles.com/fairmont-logo</v>
      </c>
      <c r="G58" s="210" t="s">
        <v>1491</v>
      </c>
      <c r="H58" s="52" t="s">
        <v>1492</v>
      </c>
      <c r="I58" s="2"/>
      <c r="J58" s="2"/>
      <c r="K58" s="2"/>
      <c r="L58" s="2"/>
      <c r="M58" s="2"/>
      <c r="N58" s="2"/>
      <c r="O58" s="2"/>
      <c r="P58" s="2"/>
      <c r="Q58" s="2"/>
      <c r="R58" s="2"/>
      <c r="S58" s="2"/>
      <c r="T58" s="2"/>
      <c r="U58" s="2"/>
      <c r="V58" s="2"/>
      <c r="W58" s="2"/>
      <c r="X58" s="2"/>
      <c r="Y58" s="2"/>
      <c r="Z58" s="2"/>
    </row>
    <row r="59" customHeight="1" spans="1:26">
      <c r="A59" s="52" t="s">
        <v>840</v>
      </c>
      <c r="B59" s="52" t="s">
        <v>1493</v>
      </c>
      <c r="C59" s="52" t="s">
        <v>1494</v>
      </c>
      <c r="D59" s="198">
        <v>5000</v>
      </c>
      <c r="E59" s="52" t="s">
        <v>21</v>
      </c>
      <c r="F59" s="210" t="s">
        <v>1495</v>
      </c>
      <c r="G59" s="210" t="s">
        <v>1496</v>
      </c>
      <c r="H59" s="52" t="s">
        <v>1497</v>
      </c>
      <c r="I59" s="2"/>
      <c r="J59" s="2"/>
      <c r="K59" s="2"/>
      <c r="L59" s="2"/>
      <c r="M59" s="2"/>
      <c r="N59" s="2"/>
      <c r="O59" s="2"/>
      <c r="P59" s="2"/>
      <c r="Q59" s="2"/>
      <c r="R59" s="2"/>
      <c r="S59" s="2"/>
      <c r="T59" s="2"/>
      <c r="U59" s="2"/>
      <c r="V59" s="2"/>
      <c r="W59" s="2"/>
      <c r="X59" s="2"/>
      <c r="Y59" s="2"/>
      <c r="Z59" s="2"/>
    </row>
    <row r="60" customHeight="1" spans="1:26">
      <c r="A60" s="52" t="s">
        <v>867</v>
      </c>
      <c r="B60" s="52" t="s">
        <v>1498</v>
      </c>
      <c r="C60" s="52" t="s">
        <v>1499</v>
      </c>
      <c r="D60" s="198">
        <v>500</v>
      </c>
      <c r="E60" s="52" t="s">
        <v>37</v>
      </c>
      <c r="F60" s="210" t="s">
        <v>1500</v>
      </c>
      <c r="G60" s="210" t="s">
        <v>1501</v>
      </c>
      <c r="H60" s="52" t="s">
        <v>1502</v>
      </c>
      <c r="I60" s="2"/>
      <c r="J60" s="2"/>
      <c r="K60" s="2"/>
      <c r="L60" s="2"/>
      <c r="M60" s="2"/>
      <c r="N60" s="2"/>
      <c r="O60" s="2"/>
      <c r="P60" s="2"/>
      <c r="Q60" s="2"/>
      <c r="R60" s="2"/>
      <c r="S60" s="2"/>
      <c r="T60" s="2"/>
      <c r="U60" s="2"/>
      <c r="V60" s="2"/>
      <c r="W60" s="2"/>
      <c r="X60" s="2"/>
      <c r="Y60" s="2"/>
      <c r="Z60" s="2"/>
    </row>
    <row r="61" customHeight="1" spans="1:26">
      <c r="A61" s="52" t="s">
        <v>867</v>
      </c>
      <c r="B61" s="52" t="s">
        <v>1503</v>
      </c>
      <c r="C61" s="52" t="s">
        <v>96</v>
      </c>
      <c r="D61" s="198">
        <v>50</v>
      </c>
      <c r="E61" s="52" t="s">
        <v>245</v>
      </c>
      <c r="F61" s="210" t="s">
        <v>1504</v>
      </c>
      <c r="G61" s="210" t="s">
        <v>1505</v>
      </c>
      <c r="H61" s="52" t="s">
        <v>1506</v>
      </c>
      <c r="I61" s="2"/>
      <c r="J61" s="2"/>
      <c r="K61" s="2"/>
      <c r="L61" s="2"/>
      <c r="M61" s="2"/>
      <c r="N61" s="2"/>
      <c r="O61" s="2"/>
      <c r="P61" s="2"/>
      <c r="Q61" s="2"/>
      <c r="R61" s="2"/>
      <c r="S61" s="2"/>
      <c r="T61" s="2"/>
      <c r="U61" s="2"/>
      <c r="V61" s="2"/>
      <c r="W61" s="2"/>
      <c r="X61" s="2"/>
      <c r="Y61" s="2"/>
      <c r="Z61" s="2"/>
    </row>
    <row r="62" customHeight="1" spans="1:26">
      <c r="A62" s="52" t="s">
        <v>867</v>
      </c>
      <c r="B62" s="52" t="s">
        <v>1507</v>
      </c>
      <c r="C62" s="52" t="s">
        <v>1508</v>
      </c>
      <c r="D62" s="198">
        <v>100</v>
      </c>
      <c r="E62" s="52" t="s">
        <v>37</v>
      </c>
      <c r="F62" s="210" t="s">
        <v>1509</v>
      </c>
      <c r="G62" s="210" t="s">
        <v>1510</v>
      </c>
      <c r="H62" s="52" t="s">
        <v>1511</v>
      </c>
      <c r="I62" s="2"/>
      <c r="J62" s="2"/>
      <c r="K62" s="2"/>
      <c r="L62" s="2"/>
      <c r="M62" s="2"/>
      <c r="N62" s="2"/>
      <c r="O62" s="2"/>
      <c r="P62" s="2"/>
      <c r="Q62" s="2"/>
      <c r="R62" s="2"/>
      <c r="S62" s="2"/>
      <c r="T62" s="2"/>
      <c r="U62" s="2"/>
      <c r="V62" s="2"/>
      <c r="W62" s="2"/>
      <c r="X62" s="2"/>
      <c r="Y62" s="2"/>
      <c r="Z62" s="2"/>
    </row>
    <row r="63" customHeight="1" spans="1:26">
      <c r="A63" s="52" t="s">
        <v>867</v>
      </c>
      <c r="B63" s="52" t="s">
        <v>1512</v>
      </c>
      <c r="C63" s="52" t="s">
        <v>1513</v>
      </c>
      <c r="D63" s="198">
        <v>45</v>
      </c>
      <c r="E63" s="52" t="s">
        <v>1514</v>
      </c>
      <c r="F63" s="210" t="s">
        <v>1515</v>
      </c>
      <c r="G63" s="210" t="s">
        <v>1516</v>
      </c>
      <c r="H63" s="52" t="s">
        <v>1517</v>
      </c>
      <c r="I63" s="2"/>
      <c r="J63" s="2"/>
      <c r="K63" s="2"/>
      <c r="L63" s="2"/>
      <c r="M63" s="2"/>
      <c r="N63" s="2"/>
      <c r="O63" s="2"/>
      <c r="P63" s="2"/>
      <c r="Q63" s="2"/>
      <c r="R63" s="2"/>
      <c r="S63" s="2"/>
      <c r="T63" s="2"/>
      <c r="U63" s="2"/>
      <c r="V63" s="2"/>
      <c r="W63" s="2"/>
      <c r="X63" s="2"/>
      <c r="Y63" s="2"/>
      <c r="Z63" s="2"/>
    </row>
    <row r="64" ht="13.5" customHeight="1"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ht="14.8"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ht="14.8"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ht="14.8"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ht="14.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ht="14.8"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ht="14.8"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ht="14.8"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ht="14.8"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ht="14.8"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ht="14.8"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ht="14.8"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ht="14.8"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ht="14.8"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ht="14.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ht="14.8"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ht="14.8"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ht="14.8"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ht="14.8"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ht="14.8"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ht="14.8"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ht="14.8"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ht="14.8"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ht="14.8"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ht="14.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ht="14.8"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ht="14.8"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ht="14.8"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ht="14.8"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ht="14.8"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ht="14.8"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ht="14.8"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ht="14.8"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ht="14.8"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ht="14.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ht="14.8"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ht="14.8"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8"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8"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8"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8"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8"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8"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8"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8"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8"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8"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8"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8"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8"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8"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8"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8"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8"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8"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8"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8"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8"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8"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8"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8"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8"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8"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8"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7" width="22.6607142857143" customWidth="1"/>
    <col min="8" max="17" width="8.6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1518</v>
      </c>
      <c r="B2" s="49"/>
      <c r="C2" s="49"/>
      <c r="D2" s="59" t="s">
        <v>2</v>
      </c>
      <c r="E2" s="49"/>
      <c r="F2" s="49"/>
      <c r="G2" s="49"/>
      <c r="H2" s="2"/>
      <c r="I2" s="2"/>
      <c r="J2" s="2"/>
      <c r="K2" s="2"/>
      <c r="L2" s="2"/>
      <c r="M2" s="2"/>
      <c r="N2" s="2"/>
      <c r="O2" s="2"/>
      <c r="P2" s="2"/>
      <c r="Q2" s="2"/>
      <c r="R2" s="2"/>
      <c r="S2" s="2"/>
      <c r="T2" s="2"/>
      <c r="U2" s="2"/>
      <c r="V2" s="2"/>
      <c r="W2" s="2"/>
      <c r="X2" s="2"/>
      <c r="Y2" s="2"/>
      <c r="Z2" s="2"/>
    </row>
    <row r="3" ht="27.75" customHeight="1" spans="1:26">
      <c r="A3" s="50" t="s">
        <v>1244</v>
      </c>
      <c r="B3" s="51" t="s">
        <v>1245</v>
      </c>
      <c r="C3" s="51" t="s">
        <v>1246</v>
      </c>
      <c r="D3" s="51" t="s">
        <v>1247</v>
      </c>
      <c r="E3" s="51" t="s">
        <v>7</v>
      </c>
      <c r="F3" s="51" t="s">
        <v>1248</v>
      </c>
      <c r="G3" s="51" t="s">
        <v>1249</v>
      </c>
      <c r="H3" s="2"/>
      <c r="I3" s="2"/>
      <c r="J3" s="2"/>
      <c r="K3" s="2"/>
      <c r="L3" s="2"/>
      <c r="M3" s="2"/>
      <c r="N3" s="2"/>
      <c r="O3" s="2"/>
      <c r="P3" s="2"/>
      <c r="Q3" s="2"/>
      <c r="R3" s="2"/>
      <c r="S3" s="2"/>
      <c r="T3" s="2"/>
      <c r="U3" s="2"/>
      <c r="V3" s="2"/>
      <c r="W3" s="2"/>
      <c r="X3" s="2"/>
      <c r="Y3" s="2"/>
      <c r="Z3" s="2"/>
    </row>
    <row r="4" customHeight="1" spans="1:26">
      <c r="A4" s="52" t="s">
        <v>1519</v>
      </c>
      <c r="B4" s="52" t="s">
        <v>1520</v>
      </c>
      <c r="C4" s="52" t="s">
        <v>1521</v>
      </c>
      <c r="D4" s="184">
        <v>35</v>
      </c>
      <c r="E4" s="52" t="s">
        <v>245</v>
      </c>
      <c r="F4" s="52" t="s">
        <v>1522</v>
      </c>
      <c r="G4" s="52" t="s">
        <v>1523</v>
      </c>
      <c r="H4" s="2"/>
      <c r="I4" s="2"/>
      <c r="J4" s="2"/>
      <c r="K4" s="2"/>
      <c r="L4" s="2"/>
      <c r="M4" s="2"/>
      <c r="N4" s="2"/>
      <c r="O4" s="2"/>
      <c r="P4" s="2"/>
      <c r="Q4" s="2"/>
      <c r="R4" s="2"/>
      <c r="S4" s="2"/>
      <c r="T4" s="2"/>
      <c r="U4" s="2"/>
      <c r="V4" s="2"/>
      <c r="W4" s="2"/>
      <c r="X4" s="2"/>
      <c r="Y4" s="2"/>
      <c r="Z4" s="2"/>
    </row>
    <row r="5" customHeight="1" spans="1:26">
      <c r="A5" s="52" t="s">
        <v>1519</v>
      </c>
      <c r="B5" s="52" t="s">
        <v>1524</v>
      </c>
      <c r="C5" s="52" t="s">
        <v>1525</v>
      </c>
      <c r="D5" s="184">
        <v>25</v>
      </c>
      <c r="E5" s="52" t="s">
        <v>1295</v>
      </c>
      <c r="F5" s="52" t="s">
        <v>1526</v>
      </c>
      <c r="G5" s="52" t="s">
        <v>1527</v>
      </c>
      <c r="H5" s="2"/>
      <c r="I5" s="2"/>
      <c r="J5" s="2"/>
      <c r="K5" s="2"/>
      <c r="L5" s="2"/>
      <c r="M5" s="2"/>
      <c r="N5" s="2"/>
      <c r="O5" s="2"/>
      <c r="P5" s="2"/>
      <c r="Q5" s="2"/>
      <c r="R5" s="2"/>
      <c r="S5" s="2"/>
      <c r="T5" s="2"/>
      <c r="U5" s="2"/>
      <c r="V5" s="2"/>
      <c r="W5" s="2"/>
      <c r="X5" s="2"/>
      <c r="Y5" s="2"/>
      <c r="Z5" s="2"/>
    </row>
    <row r="6" customHeight="1" spans="1:26">
      <c r="A6" s="52" t="s">
        <v>1519</v>
      </c>
      <c r="B6" s="52" t="s">
        <v>1528</v>
      </c>
      <c r="C6" s="52" t="s">
        <v>1525</v>
      </c>
      <c r="D6" s="184">
        <v>18</v>
      </c>
      <c r="E6" s="52" t="s">
        <v>1295</v>
      </c>
      <c r="F6" s="54" t="str">
        <f>HYPERLINK("http://www.happycenter.com.tr/_img/happylogoSON3.png","http://www.happycenter.com.tr/_img/happylogoSON3.png")</f>
        <v>http://www.happycenter.com.tr/_img/happylogoSON3.png</v>
      </c>
      <c r="G6" s="52" t="s">
        <v>1529</v>
      </c>
      <c r="H6" s="2"/>
      <c r="I6" s="2"/>
      <c r="J6" s="2"/>
      <c r="K6" s="2"/>
      <c r="L6" s="2"/>
      <c r="M6" s="2"/>
      <c r="N6" s="2"/>
      <c r="O6" s="2"/>
      <c r="P6" s="2"/>
      <c r="Q6" s="2"/>
      <c r="R6" s="2"/>
      <c r="S6" s="2"/>
      <c r="T6" s="2"/>
      <c r="U6" s="2"/>
      <c r="V6" s="2"/>
      <c r="W6" s="2"/>
      <c r="X6" s="2"/>
      <c r="Y6" s="2"/>
      <c r="Z6" s="2"/>
    </row>
    <row r="7" customHeight="1" spans="1:26">
      <c r="A7" s="52" t="s">
        <v>1519</v>
      </c>
      <c r="B7" s="52" t="s">
        <v>1530</v>
      </c>
      <c r="C7" s="52" t="s">
        <v>1525</v>
      </c>
      <c r="D7" s="184">
        <v>40</v>
      </c>
      <c r="E7" s="52" t="s">
        <v>1295</v>
      </c>
      <c r="F7" s="52" t="s">
        <v>1531</v>
      </c>
      <c r="G7" s="52" t="s">
        <v>1532</v>
      </c>
      <c r="H7" s="2"/>
      <c r="I7" s="2"/>
      <c r="J7" s="2"/>
      <c r="K7" s="2"/>
      <c r="L7" s="2"/>
      <c r="M7" s="2"/>
      <c r="N7" s="2"/>
      <c r="O7" s="2"/>
      <c r="P7" s="2"/>
      <c r="Q7" s="2"/>
      <c r="R7" s="2"/>
      <c r="S7" s="2"/>
      <c r="T7" s="2"/>
      <c r="U7" s="2"/>
      <c r="V7" s="2"/>
      <c r="W7" s="2"/>
      <c r="X7" s="2"/>
      <c r="Y7" s="2"/>
      <c r="Z7" s="2"/>
    </row>
    <row r="8" customHeight="1" spans="1:26">
      <c r="A8" s="52" t="s">
        <v>753</v>
      </c>
      <c r="B8" s="52" t="s">
        <v>1533</v>
      </c>
      <c r="C8" s="52" t="s">
        <v>1534</v>
      </c>
      <c r="D8" s="184">
        <v>24</v>
      </c>
      <c r="E8" s="52" t="s">
        <v>245</v>
      </c>
      <c r="F8" s="52" t="s">
        <v>1535</v>
      </c>
      <c r="G8" s="54" t="str">
        <f>HYPERLINK("http://acibadempet.com/","http://acibadempet.com")</f>
        <v>http://acibadempet.com</v>
      </c>
      <c r="H8" s="2"/>
      <c r="I8" s="2"/>
      <c r="J8" s="2"/>
      <c r="K8" s="2"/>
      <c r="L8" s="2"/>
      <c r="M8" s="2"/>
      <c r="N8" s="2"/>
      <c r="O8" s="2"/>
      <c r="P8" s="2"/>
      <c r="Q8" s="2"/>
      <c r="R8" s="2"/>
      <c r="S8" s="2"/>
      <c r="T8" s="2"/>
      <c r="U8" s="2"/>
      <c r="V8" s="2"/>
      <c r="W8" s="2"/>
      <c r="X8" s="2"/>
      <c r="Y8" s="2"/>
      <c r="Z8" s="2"/>
    </row>
    <row r="9" customHeight="1" spans="1:26">
      <c r="A9" s="52" t="s">
        <v>1536</v>
      </c>
      <c r="B9" s="52" t="s">
        <v>1537</v>
      </c>
      <c r="C9" s="52" t="s">
        <v>1538</v>
      </c>
      <c r="D9" s="184">
        <v>67</v>
      </c>
      <c r="E9" s="52" t="s">
        <v>37</v>
      </c>
      <c r="F9" s="52" t="s">
        <v>1539</v>
      </c>
      <c r="G9" s="54" t="str">
        <f>HYPERLINK("http://www.aligur.com.tr/","http://www.aligur.com.tr")</f>
        <v>http://www.aligur.com.tr</v>
      </c>
      <c r="H9" s="2"/>
      <c r="I9" s="2"/>
      <c r="J9" s="2"/>
      <c r="K9" s="2"/>
      <c r="L9" s="2"/>
      <c r="M9" s="2"/>
      <c r="N9" s="2"/>
      <c r="O9" s="2"/>
      <c r="P9" s="2"/>
      <c r="Q9" s="2"/>
      <c r="R9" s="2"/>
      <c r="S9" s="2"/>
      <c r="T9" s="2"/>
      <c r="U9" s="2"/>
      <c r="V9" s="2"/>
      <c r="W9" s="2"/>
      <c r="X9" s="2"/>
      <c r="Y9" s="2"/>
      <c r="Z9" s="2"/>
    </row>
    <row r="10" customHeight="1" spans="1:26">
      <c r="A10" s="52" t="s">
        <v>1536</v>
      </c>
      <c r="B10" s="52" t="s">
        <v>1540</v>
      </c>
      <c r="C10" s="52" t="s">
        <v>1538</v>
      </c>
      <c r="D10" s="184">
        <v>350</v>
      </c>
      <c r="E10" s="52" t="s">
        <v>684</v>
      </c>
      <c r="F10" s="52" t="s">
        <v>1541</v>
      </c>
      <c r="G10" s="52" t="s">
        <v>1542</v>
      </c>
      <c r="H10" s="2"/>
      <c r="I10" s="2"/>
      <c r="J10" s="2"/>
      <c r="K10" s="2"/>
      <c r="L10" s="2"/>
      <c r="M10" s="2"/>
      <c r="N10" s="2"/>
      <c r="O10" s="2"/>
      <c r="P10" s="2"/>
      <c r="Q10" s="2"/>
      <c r="R10" s="2"/>
      <c r="S10" s="2"/>
      <c r="T10" s="2"/>
      <c r="U10" s="2"/>
      <c r="V10" s="2"/>
      <c r="W10" s="2"/>
      <c r="X10" s="2"/>
      <c r="Y10" s="2"/>
      <c r="Z10" s="2"/>
    </row>
    <row r="11" customHeight="1" spans="1:26">
      <c r="A11" s="52" t="s">
        <v>1543</v>
      </c>
      <c r="B11" s="52" t="s">
        <v>1544</v>
      </c>
      <c r="C11" s="52" t="s">
        <v>1545</v>
      </c>
      <c r="D11" s="184">
        <v>225</v>
      </c>
      <c r="E11" s="52" t="s">
        <v>21</v>
      </c>
      <c r="F11" s="52" t="s">
        <v>1546</v>
      </c>
      <c r="G11" s="52" t="s">
        <v>1547</v>
      </c>
      <c r="H11" s="2"/>
      <c r="I11" s="2"/>
      <c r="J11" s="2"/>
      <c r="K11" s="2"/>
      <c r="L11" s="2"/>
      <c r="M11" s="2"/>
      <c r="N11" s="2"/>
      <c r="O11" s="2"/>
      <c r="P11" s="2"/>
      <c r="Q11" s="2"/>
      <c r="R11" s="2"/>
      <c r="S11" s="2"/>
      <c r="T11" s="2"/>
      <c r="U11" s="2"/>
      <c r="V11" s="2"/>
      <c r="W11" s="2"/>
      <c r="X11" s="2"/>
      <c r="Y11" s="2"/>
      <c r="Z11" s="2"/>
    </row>
    <row r="12" customHeight="1" spans="1:26">
      <c r="A12" s="52" t="s">
        <v>1543</v>
      </c>
      <c r="B12" s="52" t="s">
        <v>1548</v>
      </c>
      <c r="C12" s="52" t="s">
        <v>1545</v>
      </c>
      <c r="D12" s="184">
        <v>385</v>
      </c>
      <c r="E12" s="52" t="s">
        <v>21</v>
      </c>
      <c r="F12" s="52" t="s">
        <v>1549</v>
      </c>
      <c r="G12" s="52" t="s">
        <v>1550</v>
      </c>
      <c r="H12" s="2"/>
      <c r="I12" s="2"/>
      <c r="J12" s="2"/>
      <c r="K12" s="2"/>
      <c r="L12" s="2"/>
      <c r="M12" s="2"/>
      <c r="N12" s="2"/>
      <c r="O12" s="2"/>
      <c r="P12" s="2"/>
      <c r="Q12" s="2"/>
      <c r="R12" s="2"/>
      <c r="S12" s="2"/>
      <c r="T12" s="2"/>
      <c r="U12" s="2"/>
      <c r="V12" s="2"/>
      <c r="W12" s="2"/>
      <c r="X12" s="2"/>
      <c r="Y12" s="2"/>
      <c r="Z12" s="2"/>
    </row>
    <row r="13" customHeight="1" spans="1:26">
      <c r="A13" s="52" t="s">
        <v>1543</v>
      </c>
      <c r="B13" s="52" t="s">
        <v>1551</v>
      </c>
      <c r="C13" s="52" t="s">
        <v>1545</v>
      </c>
      <c r="D13" s="184">
        <v>383</v>
      </c>
      <c r="E13" s="52" t="s">
        <v>21</v>
      </c>
      <c r="F13" s="52" t="s">
        <v>1552</v>
      </c>
      <c r="G13" s="52" t="s">
        <v>1553</v>
      </c>
      <c r="H13" s="2"/>
      <c r="I13" s="2"/>
      <c r="J13" s="2"/>
      <c r="K13" s="2"/>
      <c r="L13" s="2"/>
      <c r="M13" s="2"/>
      <c r="N13" s="2"/>
      <c r="O13" s="2"/>
      <c r="P13" s="2"/>
      <c r="Q13" s="2"/>
      <c r="R13" s="2"/>
      <c r="S13" s="2"/>
      <c r="T13" s="2"/>
      <c r="U13" s="2"/>
      <c r="V13" s="2"/>
      <c r="W13" s="2"/>
      <c r="X13" s="2"/>
      <c r="Y13" s="2"/>
      <c r="Z13" s="2"/>
    </row>
    <row r="14" customHeight="1" spans="1:26">
      <c r="A14" s="52" t="s">
        <v>1543</v>
      </c>
      <c r="B14" s="52" t="s">
        <v>1554</v>
      </c>
      <c r="C14" s="52" t="s">
        <v>1545</v>
      </c>
      <c r="D14" s="184">
        <v>175</v>
      </c>
      <c r="E14" s="52" t="s">
        <v>21</v>
      </c>
      <c r="F14" s="52" t="s">
        <v>1555</v>
      </c>
      <c r="G14" s="52" t="s">
        <v>1556</v>
      </c>
      <c r="H14" s="2"/>
      <c r="I14" s="2"/>
      <c r="J14" s="2"/>
      <c r="K14" s="2"/>
      <c r="L14" s="2"/>
      <c r="M14" s="2"/>
      <c r="N14" s="2"/>
      <c r="O14" s="2"/>
      <c r="P14" s="2"/>
      <c r="Q14" s="2"/>
      <c r="R14" s="2"/>
      <c r="S14" s="2"/>
      <c r="T14" s="2"/>
      <c r="U14" s="2"/>
      <c r="V14" s="2"/>
      <c r="W14" s="2"/>
      <c r="X14" s="2"/>
      <c r="Y14" s="2"/>
      <c r="Z14" s="2"/>
    </row>
    <row r="15" customHeight="1" spans="1:26">
      <c r="A15" s="52" t="s">
        <v>1557</v>
      </c>
      <c r="B15" s="52" t="s">
        <v>1558</v>
      </c>
      <c r="C15" s="52" t="s">
        <v>1559</v>
      </c>
      <c r="D15" s="184">
        <v>50</v>
      </c>
      <c r="E15" s="52" t="s">
        <v>37</v>
      </c>
      <c r="F15" s="54" t="str">
        <f>HYPERLINK("http://www.civil.com.tr/images/civil_logo.png","http://www.civil.com.tr/images/civil_logo.png")</f>
        <v>http://www.civil.com.tr/images/civil_logo.png</v>
      </c>
      <c r="G15" s="54" t="str">
        <f>HYPERLINK("http://www.civil.com.tr/","http://www.civil.com.tr")</f>
        <v>http://www.civil.com.tr</v>
      </c>
      <c r="H15" s="2"/>
      <c r="I15" s="2"/>
      <c r="J15" s="2"/>
      <c r="K15" s="2"/>
      <c r="L15" s="2"/>
      <c r="M15" s="2"/>
      <c r="N15" s="2"/>
      <c r="O15" s="2"/>
      <c r="P15" s="2"/>
      <c r="Q15" s="2"/>
      <c r="R15" s="2"/>
      <c r="S15" s="2"/>
      <c r="T15" s="2"/>
      <c r="U15" s="2"/>
      <c r="V15" s="2"/>
      <c r="W15" s="2"/>
      <c r="X15" s="2"/>
      <c r="Y15" s="2"/>
      <c r="Z15" s="2"/>
    </row>
    <row r="16" customHeight="1" spans="1:26">
      <c r="A16" s="52" t="s">
        <v>1557</v>
      </c>
      <c r="B16" s="52" t="s">
        <v>1560</v>
      </c>
      <c r="C16" s="52" t="s">
        <v>1561</v>
      </c>
      <c r="D16" s="184">
        <v>54</v>
      </c>
      <c r="E16" s="52" t="s">
        <v>37</v>
      </c>
      <c r="F16" s="52" t="s">
        <v>1562</v>
      </c>
      <c r="G16" s="54" t="str">
        <f>HYPERLINK("http://www.e-minico.com/","http://www.e-minico.com")</f>
        <v>http://www.e-minico.com</v>
      </c>
      <c r="H16" s="2"/>
      <c r="I16" s="2"/>
      <c r="J16" s="2"/>
      <c r="K16" s="2"/>
      <c r="L16" s="2"/>
      <c r="M16" s="2"/>
      <c r="N16" s="2"/>
      <c r="O16" s="2"/>
      <c r="P16" s="2"/>
      <c r="Q16" s="2"/>
      <c r="R16" s="2"/>
      <c r="S16" s="2"/>
      <c r="T16" s="2"/>
      <c r="U16" s="2"/>
      <c r="V16" s="2"/>
      <c r="W16" s="2"/>
      <c r="X16" s="2"/>
      <c r="Y16" s="2"/>
      <c r="Z16" s="2"/>
    </row>
    <row r="17" customHeight="1" spans="1:26">
      <c r="A17" s="52" t="s">
        <v>1563</v>
      </c>
      <c r="B17" s="52" t="s">
        <v>1564</v>
      </c>
      <c r="C17" s="52" t="s">
        <v>1565</v>
      </c>
      <c r="D17" s="184">
        <v>655</v>
      </c>
      <c r="E17" s="52" t="s">
        <v>37</v>
      </c>
      <c r="F17" s="52" t="s">
        <v>1566</v>
      </c>
      <c r="G17" s="54" t="str">
        <f>HYPERLINK("http://www.beykent.k12.tr/","http://www.beykent.k12.tr")</f>
        <v>http://www.beykent.k12.tr</v>
      </c>
      <c r="H17" s="2"/>
      <c r="I17" s="2"/>
      <c r="J17" s="2"/>
      <c r="K17" s="2"/>
      <c r="L17" s="2"/>
      <c r="M17" s="2"/>
      <c r="N17" s="2"/>
      <c r="O17" s="2"/>
      <c r="P17" s="2"/>
      <c r="Q17" s="2"/>
      <c r="R17" s="2"/>
      <c r="S17" s="2"/>
      <c r="T17" s="2"/>
      <c r="U17" s="2"/>
      <c r="V17" s="2"/>
      <c r="W17" s="2"/>
      <c r="X17" s="2"/>
      <c r="Y17" s="2"/>
      <c r="Z17" s="2"/>
    </row>
    <row r="18" customHeight="1" spans="1:26">
      <c r="A18" s="52" t="s">
        <v>1567</v>
      </c>
      <c r="B18" s="52" t="s">
        <v>1568</v>
      </c>
      <c r="C18" s="52" t="s">
        <v>1569</v>
      </c>
      <c r="D18" s="184">
        <v>28</v>
      </c>
      <c r="E18" s="52" t="s">
        <v>37</v>
      </c>
      <c r="F18" s="52" t="s">
        <v>1570</v>
      </c>
      <c r="G18" s="52" t="s">
        <v>1571</v>
      </c>
      <c r="H18" s="2"/>
      <c r="I18" s="2"/>
      <c r="J18" s="2"/>
      <c r="K18" s="2"/>
      <c r="L18" s="2"/>
      <c r="M18" s="2"/>
      <c r="N18" s="2"/>
      <c r="O18" s="2"/>
      <c r="P18" s="2"/>
      <c r="Q18" s="2"/>
      <c r="R18" s="2"/>
      <c r="S18" s="2"/>
      <c r="T18" s="2"/>
      <c r="U18" s="2"/>
      <c r="V18" s="2"/>
      <c r="W18" s="2"/>
      <c r="X18" s="2"/>
      <c r="Y18" s="2"/>
      <c r="Z18" s="2"/>
    </row>
    <row r="19" customHeight="1" spans="1:26">
      <c r="A19" s="52" t="s">
        <v>1567</v>
      </c>
      <c r="B19" s="52" t="s">
        <v>1572</v>
      </c>
      <c r="C19" s="52" t="s">
        <v>1573</v>
      </c>
      <c r="D19" s="184">
        <v>75</v>
      </c>
      <c r="E19" s="52" t="s">
        <v>37</v>
      </c>
      <c r="F19" s="52" t="s">
        <v>1574</v>
      </c>
      <c r="G19" s="52" t="s">
        <v>1575</v>
      </c>
      <c r="H19" s="2"/>
      <c r="I19" s="2"/>
      <c r="J19" s="2"/>
      <c r="K19" s="2"/>
      <c r="L19" s="2"/>
      <c r="M19" s="2"/>
      <c r="N19" s="2"/>
      <c r="O19" s="2"/>
      <c r="P19" s="2"/>
      <c r="Q19" s="2"/>
      <c r="R19" s="2"/>
      <c r="S19" s="2"/>
      <c r="T19" s="2"/>
      <c r="U19" s="2"/>
      <c r="V19" s="2"/>
      <c r="W19" s="2"/>
      <c r="X19" s="2"/>
      <c r="Y19" s="2"/>
      <c r="Z19" s="2"/>
    </row>
    <row r="20" customHeight="1" spans="1:26">
      <c r="A20" s="52" t="s">
        <v>1567</v>
      </c>
      <c r="B20" s="52" t="s">
        <v>1576</v>
      </c>
      <c r="C20" s="52" t="s">
        <v>1573</v>
      </c>
      <c r="D20" s="184">
        <v>44</v>
      </c>
      <c r="E20" s="52" t="s">
        <v>37</v>
      </c>
      <c r="F20" s="52" t="s">
        <v>1577</v>
      </c>
      <c r="G20" s="54" t="str">
        <f>HYPERLINK("http://www.defacto.com.tr/","http://www.defacto.com.tr")</f>
        <v>http://www.defacto.com.tr</v>
      </c>
      <c r="H20" s="2"/>
      <c r="I20" s="2"/>
      <c r="J20" s="2"/>
      <c r="K20" s="2"/>
      <c r="L20" s="2"/>
      <c r="M20" s="2"/>
      <c r="N20" s="2"/>
      <c r="O20" s="2"/>
      <c r="P20" s="2"/>
      <c r="Q20" s="2"/>
      <c r="R20" s="2"/>
      <c r="S20" s="2"/>
      <c r="T20" s="2"/>
      <c r="U20" s="2"/>
      <c r="V20" s="2"/>
      <c r="W20" s="2"/>
      <c r="X20" s="2"/>
      <c r="Y20" s="2"/>
      <c r="Z20" s="2"/>
    </row>
    <row r="21" customHeight="1" spans="1:26">
      <c r="A21" s="52" t="s">
        <v>1567</v>
      </c>
      <c r="B21" s="52" t="s">
        <v>1578</v>
      </c>
      <c r="C21" s="52" t="s">
        <v>1579</v>
      </c>
      <c r="D21" s="184">
        <v>102</v>
      </c>
      <c r="E21" s="52" t="s">
        <v>21</v>
      </c>
      <c r="F21" s="52" t="s">
        <v>1580</v>
      </c>
      <c r="G21" s="54" t="str">
        <f>HYPERLINK("http://www.yesil.com.tr/","http://www.yesil.com.tr")</f>
        <v>http://www.yesil.com.tr</v>
      </c>
      <c r="H21" s="2"/>
      <c r="I21" s="2"/>
      <c r="J21" s="2"/>
      <c r="K21" s="2"/>
      <c r="L21" s="2"/>
      <c r="M21" s="2"/>
      <c r="N21" s="2"/>
      <c r="O21" s="2"/>
      <c r="P21" s="2"/>
      <c r="Q21" s="2"/>
      <c r="R21" s="2"/>
      <c r="S21" s="2"/>
      <c r="T21" s="2"/>
      <c r="U21" s="2"/>
      <c r="V21" s="2"/>
      <c r="W21" s="2"/>
      <c r="X21" s="2"/>
      <c r="Y21" s="2"/>
      <c r="Z21" s="2"/>
    </row>
    <row r="22" customHeight="1" spans="1:26">
      <c r="A22" s="52" t="s">
        <v>1567</v>
      </c>
      <c r="B22" s="52" t="s">
        <v>1581</v>
      </c>
      <c r="C22" s="52" t="s">
        <v>1573</v>
      </c>
      <c r="D22" s="184">
        <v>102</v>
      </c>
      <c r="E22" s="52" t="s">
        <v>37</v>
      </c>
      <c r="F22" s="52" t="s">
        <v>1582</v>
      </c>
      <c r="G22" s="52" t="s">
        <v>1583</v>
      </c>
      <c r="H22" s="2"/>
      <c r="I22" s="2"/>
      <c r="J22" s="2"/>
      <c r="K22" s="2"/>
      <c r="L22" s="2"/>
      <c r="M22" s="2"/>
      <c r="N22" s="2"/>
      <c r="O22" s="2"/>
      <c r="P22" s="2"/>
      <c r="Q22" s="2"/>
      <c r="R22" s="2"/>
      <c r="S22" s="2"/>
      <c r="T22" s="2"/>
      <c r="U22" s="2"/>
      <c r="V22" s="2"/>
      <c r="W22" s="2"/>
      <c r="X22" s="2"/>
      <c r="Y22" s="2"/>
      <c r="Z22" s="2"/>
    </row>
    <row r="23" customHeight="1" spans="1:26">
      <c r="A23" s="52" t="s">
        <v>1584</v>
      </c>
      <c r="B23" s="52" t="s">
        <v>1585</v>
      </c>
      <c r="C23" s="52" t="s">
        <v>61</v>
      </c>
      <c r="D23" s="184">
        <v>40</v>
      </c>
      <c r="E23" s="52" t="s">
        <v>37</v>
      </c>
      <c r="F23" s="52" t="s">
        <v>1586</v>
      </c>
      <c r="G23" s="52" t="s">
        <v>1587</v>
      </c>
      <c r="H23" s="2"/>
      <c r="I23" s="2"/>
      <c r="J23" s="2"/>
      <c r="K23" s="2"/>
      <c r="L23" s="2"/>
      <c r="M23" s="2"/>
      <c r="N23" s="2"/>
      <c r="O23" s="2"/>
      <c r="P23" s="2"/>
      <c r="Q23" s="2"/>
      <c r="R23" s="2"/>
      <c r="S23" s="2"/>
      <c r="T23" s="2"/>
      <c r="U23" s="2"/>
      <c r="V23" s="2"/>
      <c r="W23" s="2"/>
      <c r="X23" s="2"/>
      <c r="Y23" s="2"/>
      <c r="Z23" s="2"/>
    </row>
    <row r="24" customHeight="1" spans="1:26">
      <c r="A24" s="52" t="s">
        <v>728</v>
      </c>
      <c r="B24" s="52" t="s">
        <v>1588</v>
      </c>
      <c r="C24" s="52" t="s">
        <v>1589</v>
      </c>
      <c r="D24" s="184">
        <v>619</v>
      </c>
      <c r="E24" s="52" t="s">
        <v>684</v>
      </c>
      <c r="F24" s="52" t="s">
        <v>1590</v>
      </c>
      <c r="G24" s="52" t="s">
        <v>1591</v>
      </c>
      <c r="H24" s="2"/>
      <c r="I24" s="2"/>
      <c r="J24" s="2"/>
      <c r="K24" s="2"/>
      <c r="L24" s="2"/>
      <c r="M24" s="2"/>
      <c r="N24" s="2"/>
      <c r="O24" s="2"/>
      <c r="P24" s="2"/>
      <c r="Q24" s="2"/>
      <c r="R24" s="2"/>
      <c r="S24" s="2"/>
      <c r="T24" s="2"/>
      <c r="U24" s="2"/>
      <c r="V24" s="2"/>
      <c r="W24" s="2"/>
      <c r="X24" s="2"/>
      <c r="Y24" s="2"/>
      <c r="Z24" s="2"/>
    </row>
    <row r="25" customHeight="1" spans="1:26">
      <c r="A25" s="52" t="s">
        <v>1592</v>
      </c>
      <c r="B25" s="52" t="s">
        <v>1593</v>
      </c>
      <c r="C25" s="52" t="s">
        <v>1594</v>
      </c>
      <c r="D25" s="184">
        <v>93</v>
      </c>
      <c r="E25" s="52" t="s">
        <v>21</v>
      </c>
      <c r="F25" s="54" t="str">
        <f>HYPERLINK("http://www.tekdenhastaneleri.com/wp-content/themes/tekden/images/tekden-logo.png","http://www.tekdenhastaneleri.com/wp-content/themes/tekden/images/tekden-logo.png")</f>
        <v>http://www.tekdenhastaneleri.com/wp-content/themes/tekden/images/tekden-logo.png</v>
      </c>
      <c r="G25" s="52" t="s">
        <v>1595</v>
      </c>
      <c r="H25" s="2"/>
      <c r="I25" s="2"/>
      <c r="J25" s="2"/>
      <c r="K25" s="2"/>
      <c r="L25" s="2"/>
      <c r="M25" s="2"/>
      <c r="N25" s="2"/>
      <c r="O25" s="2"/>
      <c r="P25" s="2"/>
      <c r="Q25" s="2"/>
      <c r="R25" s="2"/>
      <c r="S25" s="2"/>
      <c r="T25" s="2"/>
      <c r="U25" s="2"/>
      <c r="V25" s="2"/>
      <c r="W25" s="2"/>
      <c r="X25" s="2"/>
      <c r="Y25" s="2"/>
      <c r="Z25" s="2"/>
    </row>
    <row r="26" customHeight="1" spans="1:26">
      <c r="A26" s="52" t="s">
        <v>1592</v>
      </c>
      <c r="B26" s="52" t="s">
        <v>1596</v>
      </c>
      <c r="C26" s="52" t="s">
        <v>1594</v>
      </c>
      <c r="D26" s="184">
        <v>57</v>
      </c>
      <c r="E26" s="52" t="s">
        <v>21</v>
      </c>
      <c r="F26" s="52" t="s">
        <v>1597</v>
      </c>
      <c r="G26" s="54" t="str">
        <f>HYPERLINK("http://www.remedyhospital.com.tr/","http://www.remedyhospital.com.tr")</f>
        <v>http://www.remedyhospital.com.tr</v>
      </c>
      <c r="H26" s="2"/>
      <c r="I26" s="2"/>
      <c r="J26" s="2"/>
      <c r="K26" s="2"/>
      <c r="L26" s="2"/>
      <c r="M26" s="2"/>
      <c r="N26" s="2"/>
      <c r="O26" s="2"/>
      <c r="P26" s="2"/>
      <c r="Q26" s="2"/>
      <c r="R26" s="2"/>
      <c r="S26" s="2"/>
      <c r="T26" s="2"/>
      <c r="U26" s="2"/>
      <c r="V26" s="2"/>
      <c r="W26" s="2"/>
      <c r="X26" s="2"/>
      <c r="Y26" s="2"/>
      <c r="Z26" s="2"/>
    </row>
    <row r="27" customHeight="1" spans="1:26">
      <c r="A27" s="52" t="s">
        <v>1592</v>
      </c>
      <c r="B27" s="52" t="s">
        <v>1598</v>
      </c>
      <c r="C27" s="52" t="s">
        <v>1594</v>
      </c>
      <c r="D27" s="184">
        <v>83</v>
      </c>
      <c r="E27" s="52" t="s">
        <v>21</v>
      </c>
      <c r="F27" s="52" t="s">
        <v>1599</v>
      </c>
      <c r="G27" s="54" t="str">
        <f>HYPERLINK("http://www.bayrampasa.com.tr/","http://www.bayrampasa.com.tr")</f>
        <v>http://www.bayrampasa.com.tr</v>
      </c>
      <c r="H27" s="2"/>
      <c r="I27" s="2"/>
      <c r="J27" s="2"/>
      <c r="K27" s="2"/>
      <c r="L27" s="2"/>
      <c r="M27" s="2"/>
      <c r="N27" s="2"/>
      <c r="O27" s="2"/>
      <c r="P27" s="2"/>
      <c r="Q27" s="2"/>
      <c r="R27" s="2"/>
      <c r="S27" s="2"/>
      <c r="T27" s="2"/>
      <c r="U27" s="2"/>
      <c r="V27" s="2"/>
      <c r="W27" s="2"/>
      <c r="X27" s="2"/>
      <c r="Y27" s="2"/>
      <c r="Z27" s="2"/>
    </row>
    <row r="28" customHeight="1" spans="1:26">
      <c r="A28" s="52" t="s">
        <v>1592</v>
      </c>
      <c r="B28" s="52" t="s">
        <v>1600</v>
      </c>
      <c r="C28" s="52" t="s">
        <v>1594</v>
      </c>
      <c r="D28" s="184">
        <v>129</v>
      </c>
      <c r="E28" s="52" t="s">
        <v>21</v>
      </c>
      <c r="F28" s="52" t="s">
        <v>1601</v>
      </c>
      <c r="G28" s="52" t="s">
        <v>1602</v>
      </c>
      <c r="H28" s="2"/>
      <c r="I28" s="2"/>
      <c r="J28" s="2"/>
      <c r="K28" s="2"/>
      <c r="L28" s="2"/>
      <c r="M28" s="2"/>
      <c r="N28" s="2"/>
      <c r="O28" s="2"/>
      <c r="P28" s="2"/>
      <c r="Q28" s="2"/>
      <c r="R28" s="2"/>
      <c r="S28" s="2"/>
      <c r="T28" s="2"/>
      <c r="U28" s="2"/>
      <c r="V28" s="2"/>
      <c r="W28" s="2"/>
      <c r="X28" s="2"/>
      <c r="Y28" s="2"/>
      <c r="Z28" s="2"/>
    </row>
    <row r="29" customHeight="1" spans="1:26">
      <c r="A29" s="52" t="s">
        <v>1592</v>
      </c>
      <c r="B29" s="52" t="s">
        <v>1603</v>
      </c>
      <c r="C29" s="52" t="s">
        <v>1594</v>
      </c>
      <c r="D29" s="184">
        <v>93</v>
      </c>
      <c r="E29" s="52" t="s">
        <v>21</v>
      </c>
      <c r="F29" s="52" t="s">
        <v>1604</v>
      </c>
      <c r="G29" s="52" t="s">
        <v>1605</v>
      </c>
      <c r="H29" s="2"/>
      <c r="I29" s="2"/>
      <c r="J29" s="2"/>
      <c r="K29" s="2"/>
      <c r="L29" s="2"/>
      <c r="M29" s="2"/>
      <c r="N29" s="2"/>
      <c r="O29" s="2"/>
      <c r="P29" s="2"/>
      <c r="Q29" s="2"/>
      <c r="R29" s="2"/>
      <c r="S29" s="2"/>
      <c r="T29" s="2"/>
      <c r="U29" s="2"/>
      <c r="V29" s="2"/>
      <c r="W29" s="2"/>
      <c r="X29" s="2"/>
      <c r="Y29" s="2"/>
      <c r="Z29" s="2"/>
    </row>
    <row r="30" customHeight="1" spans="1:26">
      <c r="A30" s="52" t="s">
        <v>1606</v>
      </c>
      <c r="B30" s="52" t="s">
        <v>1607</v>
      </c>
      <c r="C30" s="52" t="s">
        <v>1608</v>
      </c>
      <c r="D30" s="184">
        <v>425</v>
      </c>
      <c r="E30" s="52" t="s">
        <v>21</v>
      </c>
      <c r="F30" s="52" t="s">
        <v>1609</v>
      </c>
      <c r="G30" s="54" t="str">
        <f>HYPERLINK("http://www.sixt.com.tr/","http://www.sixt.com.tr")</f>
        <v>http://www.sixt.com.tr</v>
      </c>
      <c r="H30" s="2"/>
      <c r="I30" s="2"/>
      <c r="J30" s="2"/>
      <c r="K30" s="2"/>
      <c r="L30" s="2"/>
      <c r="M30" s="2"/>
      <c r="N30" s="2"/>
      <c r="O30" s="2"/>
      <c r="P30" s="2"/>
      <c r="Q30" s="2"/>
      <c r="R30" s="2"/>
      <c r="S30" s="2"/>
      <c r="T30" s="2"/>
      <c r="U30" s="2"/>
      <c r="V30" s="2"/>
      <c r="W30" s="2"/>
      <c r="X30" s="2"/>
      <c r="Y30" s="2"/>
      <c r="Z30" s="2"/>
    </row>
    <row r="31" customHeight="1" spans="1:26">
      <c r="A31" s="52" t="s">
        <v>1606</v>
      </c>
      <c r="B31" s="52" t="s">
        <v>1610</v>
      </c>
      <c r="C31" s="52" t="s">
        <v>1608</v>
      </c>
      <c r="D31" s="184">
        <v>143</v>
      </c>
      <c r="E31" s="52" t="s">
        <v>37</v>
      </c>
      <c r="F31" s="52" t="s">
        <v>1611</v>
      </c>
      <c r="G31" s="52" t="s">
        <v>1612</v>
      </c>
      <c r="H31" s="2"/>
      <c r="I31" s="2"/>
      <c r="J31" s="2"/>
      <c r="K31" s="2"/>
      <c r="L31" s="2"/>
      <c r="M31" s="2"/>
      <c r="N31" s="2"/>
      <c r="O31" s="2"/>
      <c r="P31" s="2"/>
      <c r="Q31" s="2"/>
      <c r="R31" s="2"/>
      <c r="S31" s="2"/>
      <c r="T31" s="2"/>
      <c r="U31" s="2"/>
      <c r="V31" s="2"/>
      <c r="W31" s="2"/>
      <c r="X31" s="2"/>
      <c r="Y31" s="2"/>
      <c r="Z31" s="2"/>
    </row>
    <row r="32" customHeight="1" spans="1:26">
      <c r="A32" s="52" t="s">
        <v>1606</v>
      </c>
      <c r="B32" s="52" t="s">
        <v>1613</v>
      </c>
      <c r="C32" s="52" t="s">
        <v>1608</v>
      </c>
      <c r="D32" s="184">
        <v>20</v>
      </c>
      <c r="E32" s="52" t="s">
        <v>37</v>
      </c>
      <c r="F32" s="52" t="s">
        <v>1614</v>
      </c>
      <c r="G32" s="54" t="str">
        <f>HYPERLINK("http://www.speedy.com.tr/","http://www.speedy.com.tr")</f>
        <v>http://www.speedy.com.tr</v>
      </c>
      <c r="H32" s="2"/>
      <c r="I32" s="2"/>
      <c r="J32" s="2"/>
      <c r="K32" s="2"/>
      <c r="L32" s="2"/>
      <c r="M32" s="2"/>
      <c r="N32" s="2"/>
      <c r="O32" s="2"/>
      <c r="P32" s="2"/>
      <c r="Q32" s="2"/>
      <c r="R32" s="2"/>
      <c r="S32" s="2"/>
      <c r="T32" s="2"/>
      <c r="U32" s="2"/>
      <c r="V32" s="2"/>
      <c r="W32" s="2"/>
      <c r="X32" s="2"/>
      <c r="Y32" s="2"/>
      <c r="Z32" s="2"/>
    </row>
    <row r="33" customHeight="1" spans="1:26">
      <c r="A33" s="52" t="s">
        <v>1615</v>
      </c>
      <c r="B33" s="52" t="s">
        <v>95</v>
      </c>
      <c r="C33" s="52" t="s">
        <v>1608</v>
      </c>
      <c r="D33" s="184">
        <v>160</v>
      </c>
      <c r="E33" s="52" t="s">
        <v>245</v>
      </c>
      <c r="F33" s="52" t="s">
        <v>1616</v>
      </c>
      <c r="G33" s="54" t="str">
        <f>HYPERLINK("http://www.total.com.tr/","http://www.total.com.tr")</f>
        <v>http://www.total.com.tr</v>
      </c>
      <c r="H33" s="2"/>
      <c r="I33" s="2"/>
      <c r="J33" s="2"/>
      <c r="K33" s="2"/>
      <c r="L33" s="2"/>
      <c r="M33" s="2"/>
      <c r="N33" s="2"/>
      <c r="O33" s="2"/>
      <c r="P33" s="2"/>
      <c r="Q33" s="2"/>
      <c r="R33" s="2"/>
      <c r="S33" s="2"/>
      <c r="T33" s="2"/>
      <c r="U33" s="2"/>
      <c r="V33" s="2"/>
      <c r="W33" s="2"/>
      <c r="X33" s="2"/>
      <c r="Y33" s="2"/>
      <c r="Z33" s="2"/>
    </row>
    <row r="34" customHeight="1" spans="1:26">
      <c r="A34" s="52" t="s">
        <v>1615</v>
      </c>
      <c r="B34" s="52" t="s">
        <v>100</v>
      </c>
      <c r="C34" s="52" t="s">
        <v>1608</v>
      </c>
      <c r="D34" s="184">
        <v>250</v>
      </c>
      <c r="E34" s="52" t="s">
        <v>245</v>
      </c>
      <c r="F34" s="52" t="s">
        <v>1617</v>
      </c>
      <c r="G34" s="52" t="s">
        <v>1618</v>
      </c>
      <c r="H34" s="2"/>
      <c r="I34" s="2"/>
      <c r="J34" s="2"/>
      <c r="K34" s="2"/>
      <c r="L34" s="2"/>
      <c r="M34" s="2"/>
      <c r="N34" s="2"/>
      <c r="O34" s="2"/>
      <c r="P34" s="2"/>
      <c r="Q34" s="2"/>
      <c r="R34" s="2"/>
      <c r="S34" s="2"/>
      <c r="T34" s="2"/>
      <c r="U34" s="2"/>
      <c r="V34" s="2"/>
      <c r="W34" s="2"/>
      <c r="X34" s="2"/>
      <c r="Y34" s="2"/>
      <c r="Z34" s="2"/>
    </row>
    <row r="35" customHeight="1" spans="1:26">
      <c r="A35" s="52" t="s">
        <v>1619</v>
      </c>
      <c r="B35" s="52" t="s">
        <v>1620</v>
      </c>
      <c r="C35" s="52" t="s">
        <v>1621</v>
      </c>
      <c r="D35" s="184">
        <v>600</v>
      </c>
      <c r="E35" s="52" t="s">
        <v>21</v>
      </c>
      <c r="F35" s="52" t="s">
        <v>1622</v>
      </c>
      <c r="G35" s="52" t="s">
        <v>1622</v>
      </c>
      <c r="H35" s="2"/>
      <c r="I35" s="2"/>
      <c r="J35" s="2"/>
      <c r="K35" s="2"/>
      <c r="L35" s="2"/>
      <c r="M35" s="2"/>
      <c r="N35" s="2"/>
      <c r="O35" s="2"/>
      <c r="P35" s="2"/>
      <c r="Q35" s="2"/>
      <c r="R35" s="2"/>
      <c r="S35" s="2"/>
      <c r="T35" s="2"/>
      <c r="U35" s="2"/>
      <c r="V35" s="2"/>
      <c r="W35" s="2"/>
      <c r="X35" s="2"/>
      <c r="Y35" s="2"/>
      <c r="Z35" s="2"/>
    </row>
    <row r="36" customHeight="1" spans="1:26">
      <c r="A36" s="52" t="s">
        <v>1619</v>
      </c>
      <c r="B36" s="52" t="s">
        <v>1623</v>
      </c>
      <c r="C36" s="52" t="s">
        <v>1621</v>
      </c>
      <c r="D36" s="184">
        <v>700</v>
      </c>
      <c r="E36" s="52" t="s">
        <v>21</v>
      </c>
      <c r="F36" s="52" t="s">
        <v>1624</v>
      </c>
      <c r="G36" s="54" t="str">
        <f>HYPERLINK("http://www.jollytur.com/","http://www.jollytur.com")</f>
        <v>http://www.jollytur.com</v>
      </c>
      <c r="H36" s="2"/>
      <c r="I36" s="2"/>
      <c r="J36" s="2"/>
      <c r="K36" s="2"/>
      <c r="L36" s="2"/>
      <c r="M36" s="2"/>
      <c r="N36" s="2"/>
      <c r="O36" s="2"/>
      <c r="P36" s="2"/>
      <c r="Q36" s="2"/>
      <c r="R36" s="2"/>
      <c r="S36" s="2"/>
      <c r="T36" s="2"/>
      <c r="U36" s="2"/>
      <c r="V36" s="2"/>
      <c r="W36" s="2"/>
      <c r="X36" s="2"/>
      <c r="Y36" s="2"/>
      <c r="Z36" s="2"/>
    </row>
    <row r="37" customHeight="1" spans="1:26">
      <c r="A37" s="52" t="s">
        <v>1619</v>
      </c>
      <c r="B37" s="52" t="s">
        <v>1625</v>
      </c>
      <c r="C37" s="52" t="s">
        <v>1626</v>
      </c>
      <c r="D37" s="184">
        <v>9000</v>
      </c>
      <c r="E37" s="52" t="s">
        <v>21</v>
      </c>
      <c r="F37" s="52" t="s">
        <v>1627</v>
      </c>
      <c r="G37" s="54" t="str">
        <f>HYPERLINK("http://www.touristica.com.tr/","http://www.touristica.com.tr")</f>
        <v>http://www.touristica.com.tr</v>
      </c>
      <c r="H37" s="2"/>
      <c r="I37" s="2"/>
      <c r="J37" s="2"/>
      <c r="K37" s="2"/>
      <c r="L37" s="2"/>
      <c r="M37" s="2"/>
      <c r="N37" s="2"/>
      <c r="O37" s="2"/>
      <c r="P37" s="2"/>
      <c r="Q37" s="2"/>
      <c r="R37" s="2"/>
      <c r="S37" s="2"/>
      <c r="T37" s="2"/>
      <c r="U37" s="2"/>
      <c r="V37" s="2"/>
      <c r="W37" s="2"/>
      <c r="X37" s="2"/>
      <c r="Y37" s="2"/>
      <c r="Z37" s="2"/>
    </row>
    <row r="38" customHeight="1" spans="1:26">
      <c r="A38" s="52" t="s">
        <v>1619</v>
      </c>
      <c r="B38" s="52" t="s">
        <v>1628</v>
      </c>
      <c r="C38" s="52" t="s">
        <v>1626</v>
      </c>
      <c r="D38" s="184">
        <v>1200</v>
      </c>
      <c r="E38" s="52" t="s">
        <v>21</v>
      </c>
      <c r="F38" s="52" t="s">
        <v>1629</v>
      </c>
      <c r="G38" s="52" t="s">
        <v>1630</v>
      </c>
      <c r="H38" s="2"/>
      <c r="I38" s="2"/>
      <c r="J38" s="2"/>
      <c r="K38" s="2"/>
      <c r="L38" s="2"/>
      <c r="M38" s="2"/>
      <c r="N38" s="2"/>
      <c r="O38" s="2"/>
      <c r="P38" s="2"/>
      <c r="Q38" s="2"/>
      <c r="R38" s="2"/>
      <c r="S38" s="2"/>
      <c r="T38" s="2"/>
      <c r="U38" s="2"/>
      <c r="V38" s="2"/>
      <c r="W38" s="2"/>
      <c r="X38" s="2"/>
      <c r="Y38" s="2"/>
      <c r="Z38" s="2"/>
    </row>
    <row r="39" customHeight="1" spans="1:26">
      <c r="A39" s="52" t="s">
        <v>1631</v>
      </c>
      <c r="B39" s="52" t="s">
        <v>1632</v>
      </c>
      <c r="C39" s="52" t="s">
        <v>1633</v>
      </c>
      <c r="D39" s="184">
        <v>15</v>
      </c>
      <c r="E39" s="52" t="s">
        <v>1295</v>
      </c>
      <c r="F39" s="52" t="s">
        <v>1634</v>
      </c>
      <c r="G39" s="54" t="str">
        <f>HYPERLINK("http://www.donerciibrahimusta.com.tr/","http://www.donerciibrahimusta.com.tr")</f>
        <v>http://www.donerciibrahimusta.com.tr</v>
      </c>
      <c r="H39" s="2"/>
      <c r="I39" s="2"/>
      <c r="J39" s="2"/>
      <c r="K39" s="2"/>
      <c r="L39" s="2"/>
      <c r="M39" s="2"/>
      <c r="N39" s="2"/>
      <c r="O39" s="2"/>
      <c r="P39" s="2"/>
      <c r="Q39" s="2"/>
      <c r="R39" s="2"/>
      <c r="S39" s="2"/>
      <c r="T39" s="2"/>
      <c r="U39" s="2"/>
      <c r="V39" s="2"/>
      <c r="W39" s="2"/>
      <c r="X39" s="2"/>
      <c r="Y39" s="2"/>
      <c r="Z39" s="2"/>
    </row>
    <row r="40" customHeight="1" spans="1:26">
      <c r="A40" s="52" t="s">
        <v>1631</v>
      </c>
      <c r="B40" s="52" t="s">
        <v>1635</v>
      </c>
      <c r="C40" s="52" t="s">
        <v>1633</v>
      </c>
      <c r="D40" s="184">
        <v>32</v>
      </c>
      <c r="E40" s="52" t="s">
        <v>1295</v>
      </c>
      <c r="F40" s="52" t="s">
        <v>1636</v>
      </c>
      <c r="G40" s="52" t="s">
        <v>1637</v>
      </c>
      <c r="H40" s="2"/>
      <c r="I40" s="2"/>
      <c r="J40" s="2"/>
      <c r="K40" s="2"/>
      <c r="L40" s="2"/>
      <c r="M40" s="2"/>
      <c r="N40" s="2"/>
      <c r="O40" s="2"/>
      <c r="P40" s="2"/>
      <c r="Q40" s="2"/>
      <c r="R40" s="2"/>
      <c r="S40" s="2"/>
      <c r="T40" s="2"/>
      <c r="U40" s="2"/>
      <c r="V40" s="2"/>
      <c r="W40" s="2"/>
      <c r="X40" s="2"/>
      <c r="Y40" s="2"/>
      <c r="Z40" s="2"/>
    </row>
    <row r="41" customHeight="1" spans="1:26">
      <c r="A41" s="52" t="s">
        <v>1631</v>
      </c>
      <c r="B41" s="52" t="s">
        <v>1638</v>
      </c>
      <c r="C41" s="52" t="s">
        <v>1633</v>
      </c>
      <c r="D41" s="184">
        <v>90</v>
      </c>
      <c r="E41" s="52" t="s">
        <v>1295</v>
      </c>
      <c r="F41" s="52" t="s">
        <v>1639</v>
      </c>
      <c r="G41" s="54" t="str">
        <f>HYPERLINK("http://www.julietistanbul.com/","http://www.julietistanbul.com")</f>
        <v>http://www.julietistanbul.com</v>
      </c>
      <c r="H41" s="2"/>
      <c r="I41" s="2"/>
      <c r="J41" s="2"/>
      <c r="K41" s="2"/>
      <c r="L41" s="2"/>
      <c r="M41" s="2"/>
      <c r="N41" s="2"/>
      <c r="O41" s="2"/>
      <c r="P41" s="2"/>
      <c r="Q41" s="2"/>
      <c r="R41" s="2"/>
      <c r="S41" s="2"/>
      <c r="T41" s="2"/>
      <c r="U41" s="2"/>
      <c r="V41" s="2"/>
      <c r="W41" s="2"/>
      <c r="X41" s="2"/>
      <c r="Y41" s="2"/>
      <c r="Z41" s="2"/>
    </row>
    <row r="42" customHeight="1" spans="1:26">
      <c r="A42" s="52" t="s">
        <v>1631</v>
      </c>
      <c r="B42" s="52" t="s">
        <v>1640</v>
      </c>
      <c r="C42" s="52" t="s">
        <v>1633</v>
      </c>
      <c r="D42" s="184">
        <v>26</v>
      </c>
      <c r="E42" s="52" t="s">
        <v>1295</v>
      </c>
      <c r="F42" s="52" t="s">
        <v>1641</v>
      </c>
      <c r="G42" s="54" t="str">
        <f>HYPERLINK("http://www.kofteciramiz.com/","http://www.kofteciramiz.com")</f>
        <v>http://www.kofteciramiz.com</v>
      </c>
      <c r="H42" s="2"/>
      <c r="I42" s="2"/>
      <c r="J42" s="2"/>
      <c r="K42" s="2"/>
      <c r="L42" s="2"/>
      <c r="M42" s="2"/>
      <c r="N42" s="2"/>
      <c r="O42" s="2"/>
      <c r="P42" s="2"/>
      <c r="Q42" s="2"/>
      <c r="R42" s="2"/>
      <c r="S42" s="2"/>
      <c r="T42" s="2"/>
      <c r="U42" s="2"/>
      <c r="V42" s="2"/>
      <c r="W42" s="2"/>
      <c r="X42" s="2"/>
      <c r="Y42" s="2"/>
      <c r="Z42" s="2"/>
    </row>
    <row r="43" ht="13.5" customHeight="1" spans="1:26">
      <c r="A43" s="2"/>
      <c r="B43" s="2"/>
      <c r="C43" s="2"/>
      <c r="D43" s="2"/>
      <c r="E43" s="2"/>
      <c r="F43" s="2"/>
      <c r="G43" s="2"/>
      <c r="H43" s="2"/>
      <c r="I43" s="2"/>
      <c r="J43" s="2"/>
      <c r="K43" s="2"/>
      <c r="L43" s="2"/>
      <c r="M43" s="2"/>
      <c r="N43" s="2"/>
      <c r="O43" s="2"/>
      <c r="P43" s="2"/>
      <c r="Q43" s="2"/>
      <c r="R43" s="2"/>
      <c r="S43" s="2"/>
      <c r="T43" s="2"/>
      <c r="U43" s="2"/>
      <c r="V43" s="2"/>
      <c r="W43" s="2"/>
      <c r="X43" s="2"/>
      <c r="Y43" s="2"/>
      <c r="Z43" s="2"/>
    </row>
    <row r="44" ht="14.8"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ht="14.8"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ht="14.8"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ht="14.8" spans="1:26">
      <c r="A47" s="2"/>
      <c r="B47" s="2"/>
      <c r="C47" s="2"/>
      <c r="D47" s="2"/>
      <c r="E47" s="2"/>
      <c r="F47" s="2"/>
      <c r="G47" s="2"/>
      <c r="H47" s="2"/>
      <c r="I47" s="2"/>
      <c r="J47" s="2"/>
      <c r="K47" s="2"/>
      <c r="L47" s="2"/>
      <c r="M47" s="2"/>
      <c r="N47" s="2"/>
      <c r="O47" s="2"/>
      <c r="P47" s="2"/>
      <c r="Q47" s="2"/>
      <c r="R47" s="2"/>
      <c r="S47" s="2"/>
      <c r="T47" s="2"/>
      <c r="U47" s="2"/>
      <c r="V47" s="2"/>
      <c r="W47" s="2"/>
      <c r="X47" s="2"/>
      <c r="Y47" s="2"/>
      <c r="Z47" s="2"/>
    </row>
    <row r="48" ht="14.8"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ht="14.8"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ht="14.8"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ht="14.8"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ht="14.8"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ht="14.8"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ht="14.8"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ht="14.8"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ht="14.8"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ht="14.8"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ht="14.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ht="14.8"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ht="14.8"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ht="14.8"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ht="14.8"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ht="14.8"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ht="14.8"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ht="14.8"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ht="14.8"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ht="14.8"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ht="14.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ht="14.8"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ht="14.8"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ht="14.8"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ht="14.8"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ht="14.8"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ht="14.8"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ht="14.8"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ht="14.8"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ht="14.8"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ht="14.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ht="14.8"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ht="14.8"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ht="14.8"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ht="14.8"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ht="14.8"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ht="14.8"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ht="14.8"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ht="14.8"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ht="14.8"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ht="14.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ht="14.8"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ht="14.8"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ht="14.8"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ht="14.8"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ht="14.8"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ht="14.8"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ht="14.8"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ht="14.8"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ht="14.8"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ht="14.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ht="14.8"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ht="14.8"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8"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8"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8"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8"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8"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8"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8"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8"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8"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8"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8"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8"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8"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8"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8"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8"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8"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8"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8"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8"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8"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8"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8"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8"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8"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8"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8"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2" sqref="A2"/>
    </sheetView>
  </sheetViews>
  <sheetFormatPr defaultColWidth="12.6607142857143" defaultRowHeight="15" customHeight="1"/>
  <cols>
    <col min="1" max="7" width="22.6607142857143" customWidth="1"/>
    <col min="8" max="17" width="8.6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1642</v>
      </c>
      <c r="B2" s="49"/>
      <c r="C2" s="49"/>
      <c r="D2" s="59" t="s">
        <v>2</v>
      </c>
      <c r="E2" s="49"/>
      <c r="F2" s="49"/>
      <c r="G2" s="49"/>
      <c r="H2" s="2"/>
      <c r="I2" s="2"/>
      <c r="J2" s="2"/>
      <c r="K2" s="2"/>
      <c r="L2" s="2"/>
      <c r="M2" s="2"/>
      <c r="N2" s="2"/>
      <c r="O2" s="2"/>
      <c r="P2" s="2"/>
      <c r="Q2" s="2"/>
      <c r="R2" s="2"/>
      <c r="S2" s="2"/>
      <c r="T2" s="2"/>
      <c r="U2" s="2"/>
      <c r="V2" s="2"/>
      <c r="W2" s="2"/>
      <c r="X2" s="2"/>
      <c r="Y2" s="2"/>
      <c r="Z2" s="2"/>
    </row>
    <row r="3" ht="27" customHeight="1" spans="1:26">
      <c r="A3" s="60" t="s">
        <v>1643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52" t="s">
        <v>10</v>
      </c>
      <c r="B4" s="62" t="s">
        <v>1644</v>
      </c>
      <c r="C4" s="13" t="s">
        <v>12</v>
      </c>
      <c r="D4" s="57"/>
      <c r="E4" s="57"/>
      <c r="F4" s="13" t="s">
        <v>1645</v>
      </c>
      <c r="G4" s="13" t="s">
        <v>1646</v>
      </c>
      <c r="H4" s="2"/>
      <c r="I4" s="2"/>
      <c r="J4" s="2"/>
      <c r="K4" s="2"/>
      <c r="L4" s="2"/>
      <c r="M4" s="2"/>
      <c r="N4" s="2"/>
      <c r="O4" s="2"/>
      <c r="P4" s="2"/>
      <c r="Q4" s="2"/>
      <c r="R4" s="2"/>
      <c r="S4" s="2"/>
      <c r="T4" s="2"/>
      <c r="U4" s="2"/>
      <c r="V4" s="2"/>
      <c r="W4" s="2"/>
      <c r="X4" s="2"/>
      <c r="Y4" s="2"/>
      <c r="Z4" s="2"/>
    </row>
    <row r="5" customHeight="1" spans="1:26">
      <c r="A5" s="63" t="s">
        <v>15</v>
      </c>
      <c r="B5" s="13" t="s">
        <v>1647</v>
      </c>
      <c r="C5" s="13" t="s">
        <v>12</v>
      </c>
      <c r="D5" s="57"/>
      <c r="E5" s="57"/>
      <c r="F5" s="13" t="s">
        <v>1648</v>
      </c>
      <c r="G5" s="13" t="s">
        <v>1649</v>
      </c>
      <c r="H5" s="2"/>
      <c r="I5" s="2"/>
      <c r="J5" s="2"/>
      <c r="K5" s="2"/>
      <c r="L5" s="2"/>
      <c r="M5" s="2"/>
      <c r="N5" s="2"/>
      <c r="O5" s="2"/>
      <c r="P5" s="2"/>
      <c r="Q5" s="2"/>
      <c r="R5" s="2"/>
      <c r="S5" s="2"/>
      <c r="T5" s="2"/>
      <c r="U5" s="2"/>
      <c r="V5" s="2"/>
      <c r="W5" s="2"/>
      <c r="X5" s="2"/>
      <c r="Y5" s="2"/>
      <c r="Z5" s="2"/>
    </row>
    <row r="6" customHeight="1" spans="1:26">
      <c r="A6" s="13" t="s">
        <v>18</v>
      </c>
      <c r="B6" s="13" t="s">
        <v>1650</v>
      </c>
      <c r="C6" s="13" t="s">
        <v>20</v>
      </c>
      <c r="D6" s="14">
        <v>340</v>
      </c>
      <c r="E6" s="13" t="s">
        <v>21</v>
      </c>
      <c r="F6" s="13" t="s">
        <v>1651</v>
      </c>
      <c r="G6" s="13" t="s">
        <v>1652</v>
      </c>
      <c r="H6" s="2"/>
      <c r="I6" s="2"/>
      <c r="J6" s="2"/>
      <c r="K6" s="2"/>
      <c r="L6" s="2"/>
      <c r="M6" s="2"/>
      <c r="N6" s="2"/>
      <c r="O6" s="2"/>
      <c r="P6" s="2"/>
      <c r="Q6" s="2"/>
      <c r="R6" s="2"/>
      <c r="S6" s="2"/>
      <c r="T6" s="2"/>
      <c r="U6" s="2"/>
      <c r="V6" s="2"/>
      <c r="W6" s="2"/>
      <c r="X6" s="2"/>
      <c r="Y6" s="2"/>
      <c r="Z6" s="2"/>
    </row>
    <row r="7" customHeight="1" spans="1:26">
      <c r="A7" s="13" t="s">
        <v>24</v>
      </c>
      <c r="B7" s="2" t="s">
        <v>1653</v>
      </c>
      <c r="C7" s="13" t="s">
        <v>1654</v>
      </c>
      <c r="D7" s="14">
        <v>85</v>
      </c>
      <c r="E7" s="13" t="s">
        <v>21</v>
      </c>
      <c r="F7" s="13" t="s">
        <v>1655</v>
      </c>
      <c r="G7" s="13" t="s">
        <v>1656</v>
      </c>
      <c r="H7" s="2"/>
      <c r="I7" s="2"/>
      <c r="J7" s="2"/>
      <c r="K7" s="2"/>
      <c r="L7" s="2"/>
      <c r="M7" s="2"/>
      <c r="N7" s="2"/>
      <c r="O7" s="2"/>
      <c r="P7" s="2"/>
      <c r="Q7" s="2"/>
      <c r="R7" s="2"/>
      <c r="S7" s="2"/>
      <c r="T7" s="2"/>
      <c r="U7" s="2"/>
      <c r="V7" s="2"/>
      <c r="W7" s="2"/>
      <c r="X7" s="2"/>
      <c r="Y7" s="2"/>
      <c r="Z7" s="2"/>
    </row>
    <row r="8" customHeight="1" spans="1:26">
      <c r="A8" s="64" t="s">
        <v>29</v>
      </c>
      <c r="B8" s="13" t="s">
        <v>1657</v>
      </c>
      <c r="C8" s="13" t="s">
        <v>31</v>
      </c>
      <c r="D8" s="65">
        <v>30</v>
      </c>
      <c r="E8" s="13" t="s">
        <v>32</v>
      </c>
      <c r="F8" s="13" t="s">
        <v>1658</v>
      </c>
      <c r="G8" s="13" t="s">
        <v>1659</v>
      </c>
      <c r="H8" s="2"/>
      <c r="I8" s="2"/>
      <c r="J8" s="2"/>
      <c r="K8" s="2"/>
      <c r="L8" s="2"/>
      <c r="M8" s="2"/>
      <c r="N8" s="2"/>
      <c r="O8" s="2"/>
      <c r="P8" s="2"/>
      <c r="Q8" s="2"/>
      <c r="R8" s="2"/>
      <c r="S8" s="2"/>
      <c r="T8" s="2"/>
      <c r="U8" s="2"/>
      <c r="V8" s="2"/>
      <c r="W8" s="2"/>
      <c r="X8" s="2"/>
      <c r="Y8" s="2"/>
      <c r="Z8" s="2"/>
    </row>
    <row r="9" customHeight="1" spans="1:26">
      <c r="A9" s="64" t="s">
        <v>35</v>
      </c>
      <c r="B9" s="13" t="s">
        <v>1660</v>
      </c>
      <c r="C9" s="13" t="s">
        <v>31</v>
      </c>
      <c r="D9" s="65">
        <v>30</v>
      </c>
      <c r="E9" s="13" t="s">
        <v>37</v>
      </c>
      <c r="F9" s="13" t="s">
        <v>1661</v>
      </c>
      <c r="G9" s="13" t="s">
        <v>1662</v>
      </c>
      <c r="H9" s="2"/>
      <c r="I9" s="2"/>
      <c r="J9" s="2"/>
      <c r="K9" s="2"/>
      <c r="L9" s="2"/>
      <c r="M9" s="2"/>
      <c r="N9" s="2"/>
      <c r="O9" s="2"/>
      <c r="P9" s="2"/>
      <c r="Q9" s="2"/>
      <c r="R9" s="2"/>
      <c r="S9" s="2"/>
      <c r="T9" s="2"/>
      <c r="U9" s="2"/>
      <c r="V9" s="2"/>
      <c r="W9" s="2"/>
      <c r="X9" s="2"/>
      <c r="Y9" s="2"/>
      <c r="Z9" s="2"/>
    </row>
    <row r="10" customHeight="1" spans="1:26">
      <c r="A10" s="64" t="s">
        <v>40</v>
      </c>
      <c r="B10" s="13" t="s">
        <v>41</v>
      </c>
      <c r="C10" s="13" t="s">
        <v>41</v>
      </c>
      <c r="D10" s="65">
        <v>106</v>
      </c>
      <c r="E10" s="13" t="s">
        <v>21</v>
      </c>
      <c r="F10" s="13" t="s">
        <v>42</v>
      </c>
      <c r="G10" s="13" t="s">
        <v>43</v>
      </c>
      <c r="H10" s="2"/>
      <c r="I10" s="2"/>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13" t="s">
        <v>1663</v>
      </c>
      <c r="H11" s="2"/>
      <c r="I11" s="2"/>
      <c r="J11" s="2"/>
      <c r="K11" s="2"/>
      <c r="L11" s="2"/>
      <c r="M11" s="2"/>
      <c r="N11" s="2"/>
      <c r="O11" s="2"/>
      <c r="P11" s="2"/>
      <c r="Q11" s="2"/>
      <c r="R11" s="2"/>
      <c r="S11" s="2"/>
      <c r="T11" s="2"/>
      <c r="U11" s="2"/>
      <c r="V11" s="2"/>
      <c r="W11" s="2"/>
      <c r="X11" s="2"/>
      <c r="Y11" s="2"/>
      <c r="Z11" s="2"/>
    </row>
    <row r="12" customHeight="1" spans="1:26">
      <c r="A12" s="13" t="s">
        <v>49</v>
      </c>
      <c r="B12" s="13" t="s">
        <v>1664</v>
      </c>
      <c r="C12" s="13" t="s">
        <v>51</v>
      </c>
      <c r="D12" s="57"/>
      <c r="E12" s="57"/>
      <c r="F12" s="13" t="s">
        <v>1665</v>
      </c>
      <c r="G12" s="13" t="s">
        <v>1666</v>
      </c>
      <c r="H12" s="2"/>
      <c r="I12" s="2"/>
      <c r="J12" s="2"/>
      <c r="K12" s="2"/>
      <c r="L12" s="2"/>
      <c r="M12" s="2"/>
      <c r="N12" s="2"/>
      <c r="O12" s="2"/>
      <c r="P12" s="2"/>
      <c r="Q12" s="2"/>
      <c r="R12" s="2"/>
      <c r="S12" s="2"/>
      <c r="T12" s="2"/>
      <c r="U12" s="2"/>
      <c r="V12" s="2"/>
      <c r="W12" s="2"/>
      <c r="X12" s="2"/>
      <c r="Y12" s="2"/>
      <c r="Z12" s="2"/>
    </row>
    <row r="13" customHeight="1" spans="1:26">
      <c r="A13" s="13" t="s">
        <v>54</v>
      </c>
      <c r="B13" s="13" t="s">
        <v>1667</v>
      </c>
      <c r="C13" s="13" t="s">
        <v>56</v>
      </c>
      <c r="D13" s="57"/>
      <c r="E13" s="57"/>
      <c r="F13" s="13" t="s">
        <v>1668</v>
      </c>
      <c r="G13" s="13" t="s">
        <v>1669</v>
      </c>
      <c r="H13" s="2"/>
      <c r="I13" s="2"/>
      <c r="J13" s="2"/>
      <c r="K13" s="2"/>
      <c r="L13" s="2"/>
      <c r="M13" s="2"/>
      <c r="N13" s="2"/>
      <c r="O13" s="2"/>
      <c r="P13" s="2"/>
      <c r="Q13" s="2"/>
      <c r="R13" s="2"/>
      <c r="S13" s="2"/>
      <c r="T13" s="2"/>
      <c r="U13" s="2"/>
      <c r="V13" s="2"/>
      <c r="W13" s="2"/>
      <c r="X13" s="2"/>
      <c r="Y13" s="2"/>
      <c r="Z13" s="2"/>
    </row>
    <row r="14" customHeight="1" spans="1:26">
      <c r="A14" s="64" t="s">
        <v>59</v>
      </c>
      <c r="B14" s="13" t="s">
        <v>1670</v>
      </c>
      <c r="C14" s="13" t="s">
        <v>61</v>
      </c>
      <c r="D14" s="65">
        <v>13</v>
      </c>
      <c r="E14" s="13" t="s">
        <v>37</v>
      </c>
      <c r="F14" s="13" t="s">
        <v>1671</v>
      </c>
      <c r="G14" s="13" t="s">
        <v>1672</v>
      </c>
      <c r="H14" s="2"/>
      <c r="I14" s="2"/>
      <c r="J14" s="2"/>
      <c r="K14" s="2"/>
      <c r="L14" s="2"/>
      <c r="M14" s="2"/>
      <c r="N14" s="2"/>
      <c r="O14" s="2"/>
      <c r="P14" s="2"/>
      <c r="Q14" s="2"/>
      <c r="R14" s="2"/>
      <c r="S14" s="2"/>
      <c r="T14" s="2"/>
      <c r="U14" s="2"/>
      <c r="V14" s="2"/>
      <c r="W14" s="2"/>
      <c r="X14" s="2"/>
      <c r="Y14" s="2"/>
      <c r="Z14" s="2"/>
    </row>
    <row r="15" customHeight="1" spans="1:26">
      <c r="A15" s="64" t="s">
        <v>64</v>
      </c>
      <c r="B15" s="13" t="s">
        <v>1673</v>
      </c>
      <c r="C15" s="13" t="s">
        <v>66</v>
      </c>
      <c r="D15" s="65">
        <v>13</v>
      </c>
      <c r="E15" s="13" t="s">
        <v>32</v>
      </c>
      <c r="F15" s="13" t="s">
        <v>1674</v>
      </c>
      <c r="G15" s="13" t="s">
        <v>1675</v>
      </c>
      <c r="H15" s="2"/>
      <c r="I15" s="2"/>
      <c r="J15" s="2"/>
      <c r="K15" s="2"/>
      <c r="L15" s="2"/>
      <c r="M15" s="2"/>
      <c r="N15" s="2"/>
      <c r="O15" s="2"/>
      <c r="P15" s="2"/>
      <c r="Q15" s="2"/>
      <c r="R15" s="2"/>
      <c r="S15" s="2"/>
      <c r="T15" s="2"/>
      <c r="U15" s="2"/>
      <c r="V15" s="2"/>
      <c r="W15" s="2"/>
      <c r="X15" s="2"/>
      <c r="Y15" s="2"/>
      <c r="Z15" s="2"/>
    </row>
    <row r="16" customHeight="1" spans="1:26">
      <c r="A16" s="64" t="s">
        <v>69</v>
      </c>
      <c r="B16" s="13" t="s">
        <v>1676</v>
      </c>
      <c r="C16" s="13" t="s">
        <v>66</v>
      </c>
      <c r="D16" s="65">
        <v>12</v>
      </c>
      <c r="E16" s="13" t="s">
        <v>71</v>
      </c>
      <c r="F16" s="13" t="s">
        <v>1677</v>
      </c>
      <c r="G16" s="13" t="s">
        <v>1678</v>
      </c>
      <c r="H16" s="2"/>
      <c r="I16" s="2"/>
      <c r="J16" s="2"/>
      <c r="K16" s="2"/>
      <c r="L16" s="2"/>
      <c r="M16" s="2"/>
      <c r="N16" s="2"/>
      <c r="O16" s="2"/>
      <c r="P16" s="2"/>
      <c r="Q16" s="2"/>
      <c r="R16" s="2"/>
      <c r="S16" s="2"/>
      <c r="T16" s="2"/>
      <c r="U16" s="2"/>
      <c r="V16" s="2"/>
      <c r="W16" s="2"/>
      <c r="X16" s="2"/>
      <c r="Y16" s="2"/>
      <c r="Z16" s="2"/>
    </row>
    <row r="17" customHeight="1" spans="1:26">
      <c r="A17" s="13" t="s">
        <v>74</v>
      </c>
      <c r="B17" s="13" t="s">
        <v>1679</v>
      </c>
      <c r="C17" s="13" t="s">
        <v>76</v>
      </c>
      <c r="D17" s="57"/>
      <c r="E17" s="57"/>
      <c r="F17" s="13" t="s">
        <v>1680</v>
      </c>
      <c r="G17" s="13" t="s">
        <v>1681</v>
      </c>
      <c r="H17" s="2"/>
      <c r="I17" s="2"/>
      <c r="J17" s="2"/>
      <c r="K17" s="2"/>
      <c r="L17" s="2"/>
      <c r="M17" s="2"/>
      <c r="N17" s="2"/>
      <c r="O17" s="2"/>
      <c r="P17" s="2"/>
      <c r="Q17" s="2"/>
      <c r="R17" s="2"/>
      <c r="S17" s="2"/>
      <c r="T17" s="2"/>
      <c r="U17" s="2"/>
      <c r="V17" s="2"/>
      <c r="W17" s="2"/>
      <c r="X17" s="2"/>
      <c r="Y17" s="2"/>
      <c r="Z17" s="2"/>
    </row>
    <row r="18" customHeight="1" spans="1:26">
      <c r="A18" s="64" t="s">
        <v>79</v>
      </c>
      <c r="B18" s="13" t="s">
        <v>1682</v>
      </c>
      <c r="C18" s="13" t="s">
        <v>81</v>
      </c>
      <c r="D18" s="65">
        <v>30</v>
      </c>
      <c r="E18" s="13" t="s">
        <v>37</v>
      </c>
      <c r="F18" s="13" t="s">
        <v>1683</v>
      </c>
      <c r="G18" s="13" t="s">
        <v>1684</v>
      </c>
      <c r="H18" s="2"/>
      <c r="I18" s="2"/>
      <c r="J18" s="2"/>
      <c r="K18" s="2"/>
      <c r="L18" s="2"/>
      <c r="M18" s="2"/>
      <c r="N18" s="2"/>
      <c r="O18" s="2"/>
      <c r="P18" s="2"/>
      <c r="Q18" s="2"/>
      <c r="R18" s="2"/>
      <c r="S18" s="2"/>
      <c r="T18" s="2"/>
      <c r="U18" s="2"/>
      <c r="V18" s="2"/>
      <c r="W18" s="2"/>
      <c r="X18" s="2"/>
      <c r="Y18" s="2"/>
      <c r="Z18" s="2"/>
    </row>
    <row r="19" customHeight="1" spans="1:26">
      <c r="A19" s="13" t="s">
        <v>84</v>
      </c>
      <c r="B19" s="13" t="s">
        <v>1685</v>
      </c>
      <c r="C19" s="13" t="s">
        <v>86</v>
      </c>
      <c r="D19" s="14">
        <v>134</v>
      </c>
      <c r="E19" s="13" t="s">
        <v>21</v>
      </c>
      <c r="F19" s="13" t="s">
        <v>1686</v>
      </c>
      <c r="G19" s="13" t="s">
        <v>1687</v>
      </c>
      <c r="H19" s="2"/>
      <c r="I19" s="2"/>
      <c r="J19" s="2"/>
      <c r="K19" s="2"/>
      <c r="L19" s="2"/>
      <c r="M19" s="2"/>
      <c r="N19" s="2"/>
      <c r="O19" s="2"/>
      <c r="P19" s="2"/>
      <c r="Q19" s="2"/>
      <c r="R19" s="2"/>
      <c r="S19" s="2"/>
      <c r="T19" s="2"/>
      <c r="U19" s="2"/>
      <c r="V19" s="2"/>
      <c r="W19" s="2"/>
      <c r="X19" s="2"/>
      <c r="Y19" s="2"/>
      <c r="Z19" s="2"/>
    </row>
    <row r="20" customHeight="1" spans="1:26">
      <c r="A20" s="13" t="s">
        <v>89</v>
      </c>
      <c r="B20" s="13" t="s">
        <v>1688</v>
      </c>
      <c r="C20" s="13" t="s">
        <v>91</v>
      </c>
      <c r="D20" s="57"/>
      <c r="E20" s="57"/>
      <c r="F20" s="13" t="s">
        <v>1689</v>
      </c>
      <c r="G20" s="13" t="s">
        <v>1690</v>
      </c>
      <c r="H20" s="2"/>
      <c r="I20" s="2"/>
      <c r="J20" s="2"/>
      <c r="K20" s="2"/>
      <c r="L20" s="2"/>
      <c r="M20" s="2"/>
      <c r="N20" s="2"/>
      <c r="O20" s="2"/>
      <c r="P20" s="2"/>
      <c r="Q20" s="2"/>
      <c r="R20" s="2"/>
      <c r="S20" s="2"/>
      <c r="T20" s="2"/>
      <c r="U20" s="2"/>
      <c r="V20" s="2"/>
      <c r="W20" s="2"/>
      <c r="X20" s="2"/>
      <c r="Y20" s="2"/>
      <c r="Z20" s="2"/>
    </row>
    <row r="21" customHeight="1" spans="1:26">
      <c r="A21" s="64" t="s">
        <v>94</v>
      </c>
      <c r="B21" s="13" t="s">
        <v>1691</v>
      </c>
      <c r="C21" s="13" t="s">
        <v>925</v>
      </c>
      <c r="D21" s="65">
        <v>60</v>
      </c>
      <c r="E21" s="13" t="s">
        <v>71</v>
      </c>
      <c r="F21" s="13" t="s">
        <v>1692</v>
      </c>
      <c r="G21" s="13" t="s">
        <v>1693</v>
      </c>
      <c r="H21" s="2"/>
      <c r="I21" s="2"/>
      <c r="J21" s="2"/>
      <c r="K21" s="2"/>
      <c r="L21" s="2"/>
      <c r="M21" s="2"/>
      <c r="N21" s="2"/>
      <c r="O21" s="2"/>
      <c r="P21" s="2"/>
      <c r="Q21" s="2"/>
      <c r="R21" s="2"/>
      <c r="S21" s="2"/>
      <c r="T21" s="2"/>
      <c r="U21" s="2"/>
      <c r="V21" s="2"/>
      <c r="W21" s="2"/>
      <c r="X21" s="2"/>
      <c r="Y21" s="2"/>
      <c r="Z21" s="2"/>
    </row>
    <row r="22" customHeight="1" spans="1:26">
      <c r="A22" s="64" t="s">
        <v>99</v>
      </c>
      <c r="B22" s="13" t="s">
        <v>928</v>
      </c>
      <c r="C22" s="13" t="s">
        <v>925</v>
      </c>
      <c r="D22" s="65">
        <v>70</v>
      </c>
      <c r="E22" s="13" t="s">
        <v>32</v>
      </c>
      <c r="F22" s="13" t="s">
        <v>929</v>
      </c>
      <c r="G22" s="13" t="s">
        <v>1694</v>
      </c>
      <c r="H22" s="2"/>
      <c r="I22" s="2"/>
      <c r="J22" s="2"/>
      <c r="K22" s="2"/>
      <c r="L22" s="2"/>
      <c r="M22" s="2"/>
      <c r="N22" s="2"/>
      <c r="O22" s="2"/>
      <c r="P22" s="2"/>
      <c r="Q22" s="2"/>
      <c r="R22" s="2"/>
      <c r="S22" s="2"/>
      <c r="T22" s="2"/>
      <c r="U22" s="2"/>
      <c r="V22" s="2"/>
      <c r="W22" s="2"/>
      <c r="X22" s="2"/>
      <c r="Y22" s="2"/>
      <c r="Z22" s="2"/>
    </row>
    <row r="23" customHeight="1" spans="1:26">
      <c r="A23" s="64" t="s">
        <v>102</v>
      </c>
      <c r="B23" s="13" t="s">
        <v>16</v>
      </c>
      <c r="C23" s="13" t="s">
        <v>108</v>
      </c>
      <c r="D23" s="65">
        <v>123</v>
      </c>
      <c r="E23" s="13" t="s">
        <v>21</v>
      </c>
      <c r="F23" s="13" t="s">
        <v>109</v>
      </c>
      <c r="G23" s="13" t="s">
        <v>1695</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1696</v>
      </c>
      <c r="H24" s="2"/>
      <c r="I24" s="2"/>
      <c r="J24" s="2"/>
      <c r="K24" s="2"/>
      <c r="L24" s="2"/>
      <c r="M24" s="2"/>
      <c r="N24" s="2"/>
      <c r="O24" s="2"/>
      <c r="P24" s="2"/>
      <c r="Q24" s="2"/>
      <c r="R24" s="2"/>
      <c r="S24" s="2"/>
      <c r="T24" s="2"/>
      <c r="U24" s="2"/>
      <c r="V24" s="2"/>
      <c r="W24" s="2"/>
      <c r="X24" s="2"/>
      <c r="Y24" s="2"/>
      <c r="Z24" s="2"/>
    </row>
    <row r="25" customHeight="1" spans="1:26">
      <c r="A25" s="13" t="s">
        <v>110</v>
      </c>
      <c r="B25" s="13" t="s">
        <v>1697</v>
      </c>
      <c r="C25" s="13" t="s">
        <v>112</v>
      </c>
      <c r="D25" s="57"/>
      <c r="E25" s="57"/>
      <c r="F25" s="13" t="s">
        <v>1698</v>
      </c>
      <c r="G25" s="13" t="s">
        <v>1699</v>
      </c>
      <c r="H25" s="2"/>
      <c r="I25" s="2"/>
      <c r="J25" s="2"/>
      <c r="K25" s="2"/>
      <c r="L25" s="2"/>
      <c r="M25" s="2"/>
      <c r="N25" s="2"/>
      <c r="O25" s="2"/>
      <c r="P25" s="2"/>
      <c r="Q25" s="2"/>
      <c r="R25" s="2"/>
      <c r="S25" s="2"/>
      <c r="T25" s="2"/>
      <c r="U25" s="2"/>
      <c r="V25" s="2"/>
      <c r="W25" s="2"/>
      <c r="X25" s="2"/>
      <c r="Y25" s="2"/>
      <c r="Z25" s="2"/>
    </row>
    <row r="26" customHeight="1" spans="1:26">
      <c r="A26" s="13" t="s">
        <v>115</v>
      </c>
      <c r="B26" s="13" t="s">
        <v>1700</v>
      </c>
      <c r="C26" s="13" t="s">
        <v>117</v>
      </c>
      <c r="D26" s="65">
        <v>90</v>
      </c>
      <c r="E26" s="13" t="s">
        <v>32</v>
      </c>
      <c r="F26" s="13" t="s">
        <v>1701</v>
      </c>
      <c r="G26" s="73" t="s">
        <v>1702</v>
      </c>
      <c r="H26" s="2"/>
      <c r="I26" s="2"/>
      <c r="J26" s="2"/>
      <c r="K26" s="2"/>
      <c r="L26" s="2"/>
      <c r="M26" s="2"/>
      <c r="N26" s="2"/>
      <c r="O26" s="2"/>
      <c r="P26" s="2"/>
      <c r="Q26" s="2"/>
      <c r="R26" s="2"/>
      <c r="S26" s="2"/>
      <c r="T26" s="2"/>
      <c r="U26" s="2"/>
      <c r="V26" s="2"/>
      <c r="W26" s="2"/>
      <c r="X26" s="2"/>
      <c r="Y26" s="2"/>
      <c r="Z26" s="2"/>
    </row>
    <row r="27" customHeight="1" spans="1:26">
      <c r="A27" s="64" t="s">
        <v>120</v>
      </c>
      <c r="B27" s="13" t="s">
        <v>1703</v>
      </c>
      <c r="C27" s="13" t="s">
        <v>117</v>
      </c>
      <c r="D27" s="65">
        <v>60</v>
      </c>
      <c r="E27" s="13" t="s">
        <v>37</v>
      </c>
      <c r="F27" s="13" t="s">
        <v>1704</v>
      </c>
      <c r="G27" s="13" t="s">
        <v>1705</v>
      </c>
      <c r="H27" s="2"/>
      <c r="I27" s="2"/>
      <c r="J27" s="2"/>
      <c r="K27" s="2"/>
      <c r="L27" s="2"/>
      <c r="M27" s="2"/>
      <c r="N27" s="2"/>
      <c r="O27" s="2"/>
      <c r="P27" s="2"/>
      <c r="Q27" s="2"/>
      <c r="R27" s="2"/>
      <c r="S27" s="2"/>
      <c r="T27" s="2"/>
      <c r="U27" s="2"/>
      <c r="V27" s="2"/>
      <c r="W27" s="2"/>
      <c r="X27" s="2"/>
      <c r="Y27" s="2"/>
      <c r="Z27" s="2"/>
    </row>
    <row r="28" customHeight="1" spans="1:26">
      <c r="A28" s="13" t="s">
        <v>123</v>
      </c>
      <c r="B28" s="13" t="s">
        <v>1706</v>
      </c>
      <c r="C28" s="13" t="s">
        <v>117</v>
      </c>
      <c r="D28" s="65">
        <v>80</v>
      </c>
      <c r="E28" s="13" t="s">
        <v>245</v>
      </c>
      <c r="F28" s="13" t="s">
        <v>1707</v>
      </c>
      <c r="G28" s="13" t="s">
        <v>1708</v>
      </c>
      <c r="H28" s="2"/>
      <c r="I28" s="2"/>
      <c r="J28" s="2"/>
      <c r="K28" s="2"/>
      <c r="L28" s="2"/>
      <c r="M28" s="2"/>
      <c r="N28" s="2"/>
      <c r="O28" s="2"/>
      <c r="P28" s="2"/>
      <c r="Q28" s="2"/>
      <c r="R28" s="2"/>
      <c r="S28" s="2"/>
      <c r="T28" s="2"/>
      <c r="U28" s="2"/>
      <c r="V28" s="2"/>
      <c r="W28" s="2"/>
      <c r="X28" s="2"/>
      <c r="Y28" s="2"/>
      <c r="Z28" s="2"/>
    </row>
    <row r="29" customHeight="1" spans="1:26">
      <c r="A29" s="64" t="s">
        <v>127</v>
      </c>
      <c r="B29" s="13" t="s">
        <v>1709</v>
      </c>
      <c r="C29" s="13" t="s">
        <v>117</v>
      </c>
      <c r="D29" s="65">
        <v>50</v>
      </c>
      <c r="E29" s="13" t="s">
        <v>37</v>
      </c>
      <c r="F29" s="13" t="s">
        <v>1710</v>
      </c>
      <c r="G29" s="13" t="s">
        <v>1711</v>
      </c>
      <c r="H29" s="2"/>
      <c r="I29" s="2"/>
      <c r="J29" s="2"/>
      <c r="K29" s="2"/>
      <c r="L29" s="2"/>
      <c r="M29" s="2"/>
      <c r="N29" s="2"/>
      <c r="O29" s="2"/>
      <c r="P29" s="2"/>
      <c r="Q29" s="2"/>
      <c r="R29" s="2"/>
      <c r="S29" s="2"/>
      <c r="T29" s="2"/>
      <c r="U29" s="2"/>
      <c r="V29" s="2"/>
      <c r="W29" s="2"/>
      <c r="X29" s="2"/>
      <c r="Y29" s="2"/>
      <c r="Z29" s="2"/>
    </row>
    <row r="30" customHeight="1" spans="1:26">
      <c r="A30" s="64" t="s">
        <v>131</v>
      </c>
      <c r="B30" s="13" t="s">
        <v>942</v>
      </c>
      <c r="C30" s="13" t="s">
        <v>117</v>
      </c>
      <c r="D30" s="65">
        <v>50</v>
      </c>
      <c r="E30" s="13" t="s">
        <v>32</v>
      </c>
      <c r="F30" s="13" t="s">
        <v>1712</v>
      </c>
      <c r="G30" s="13" t="s">
        <v>1713</v>
      </c>
      <c r="H30" s="2"/>
      <c r="I30" s="2"/>
      <c r="J30" s="2"/>
      <c r="K30" s="2"/>
      <c r="L30" s="2"/>
      <c r="M30" s="2"/>
      <c r="N30" s="2"/>
      <c r="O30" s="2"/>
      <c r="P30" s="2"/>
      <c r="Q30" s="2"/>
      <c r="R30" s="2"/>
      <c r="S30" s="2"/>
      <c r="T30" s="2"/>
      <c r="U30" s="2"/>
      <c r="V30" s="2"/>
      <c r="W30" s="2"/>
      <c r="X30" s="2"/>
      <c r="Y30" s="2"/>
      <c r="Z30" s="2"/>
    </row>
    <row r="31" customHeight="1" spans="1:26">
      <c r="A31" s="64" t="s">
        <v>135</v>
      </c>
      <c r="B31" s="13" t="s">
        <v>1714</v>
      </c>
      <c r="C31" s="13" t="s">
        <v>117</v>
      </c>
      <c r="D31" s="65">
        <v>30</v>
      </c>
      <c r="E31" s="13" t="s">
        <v>32</v>
      </c>
      <c r="F31" s="13" t="s">
        <v>1715</v>
      </c>
      <c r="G31" s="13" t="s">
        <v>1716</v>
      </c>
      <c r="H31" s="2"/>
      <c r="I31" s="2"/>
      <c r="J31" s="2"/>
      <c r="K31" s="2"/>
      <c r="L31" s="2"/>
      <c r="M31" s="2"/>
      <c r="N31" s="2"/>
      <c r="O31" s="2"/>
      <c r="P31" s="2"/>
      <c r="Q31" s="2"/>
      <c r="R31" s="2"/>
      <c r="S31" s="2"/>
      <c r="T31" s="2"/>
      <c r="U31" s="2"/>
      <c r="V31" s="2"/>
      <c r="W31" s="2"/>
      <c r="X31" s="2"/>
      <c r="Y31" s="2"/>
      <c r="Z31" s="2"/>
    </row>
    <row r="32" customHeight="1" spans="1:26">
      <c r="A32" s="13" t="s">
        <v>139</v>
      </c>
      <c r="B32" s="13" t="s">
        <v>1717</v>
      </c>
      <c r="C32" s="13" t="s">
        <v>141</v>
      </c>
      <c r="D32" s="14">
        <v>55</v>
      </c>
      <c r="E32" s="13" t="s">
        <v>37</v>
      </c>
      <c r="F32" s="13" t="s">
        <v>1718</v>
      </c>
      <c r="G32" s="13" t="s">
        <v>1719</v>
      </c>
      <c r="H32" s="2"/>
      <c r="I32" s="2"/>
      <c r="J32" s="2"/>
      <c r="K32" s="2"/>
      <c r="L32" s="2"/>
      <c r="M32" s="2"/>
      <c r="N32" s="2"/>
      <c r="O32" s="2"/>
      <c r="P32" s="2"/>
      <c r="Q32" s="2"/>
      <c r="R32" s="2"/>
      <c r="S32" s="2"/>
      <c r="T32" s="2"/>
      <c r="U32" s="2"/>
      <c r="V32" s="2"/>
      <c r="W32" s="2"/>
      <c r="X32" s="2"/>
      <c r="Y32" s="2"/>
      <c r="Z32" s="2"/>
    </row>
    <row r="33" customHeight="1" spans="1:26">
      <c r="A33" s="13" t="s">
        <v>144</v>
      </c>
      <c r="B33" s="13" t="s">
        <v>1720</v>
      </c>
      <c r="C33" s="13" t="s">
        <v>146</v>
      </c>
      <c r="D33" s="57"/>
      <c r="E33" s="57"/>
      <c r="F33" s="13" t="s">
        <v>1721</v>
      </c>
      <c r="G33" s="13" t="s">
        <v>1722</v>
      </c>
      <c r="H33" s="2"/>
      <c r="I33" s="2"/>
      <c r="J33" s="2"/>
      <c r="K33" s="2"/>
      <c r="L33" s="2"/>
      <c r="M33" s="2"/>
      <c r="N33" s="2"/>
      <c r="O33" s="2"/>
      <c r="P33" s="2"/>
      <c r="Q33" s="2"/>
      <c r="R33" s="2"/>
      <c r="S33" s="2"/>
      <c r="T33" s="2"/>
      <c r="U33" s="2"/>
      <c r="V33" s="2"/>
      <c r="W33" s="2"/>
      <c r="X33" s="2"/>
      <c r="Y33" s="2"/>
      <c r="Z33" s="2"/>
    </row>
    <row r="34" customHeight="1" spans="1:26">
      <c r="A34" s="13" t="s">
        <v>149</v>
      </c>
      <c r="B34" s="13" t="s">
        <v>1723</v>
      </c>
      <c r="C34" s="13" t="s">
        <v>151</v>
      </c>
      <c r="D34" s="57"/>
      <c r="E34" s="57"/>
      <c r="F34" s="13" t="s">
        <v>1724</v>
      </c>
      <c r="G34" s="13" t="s">
        <v>1725</v>
      </c>
      <c r="H34" s="2"/>
      <c r="I34" s="2"/>
      <c r="J34" s="2"/>
      <c r="K34" s="2"/>
      <c r="L34" s="2"/>
      <c r="M34" s="2"/>
      <c r="N34" s="2"/>
      <c r="O34" s="2"/>
      <c r="P34" s="2"/>
      <c r="Q34" s="2"/>
      <c r="R34" s="2"/>
      <c r="S34" s="2"/>
      <c r="T34" s="2"/>
      <c r="U34" s="2"/>
      <c r="V34" s="2"/>
      <c r="W34" s="2"/>
      <c r="X34" s="2"/>
      <c r="Y34" s="2"/>
      <c r="Z34" s="2"/>
    </row>
    <row r="35" customHeight="1" spans="1:26">
      <c r="A35" s="64" t="s">
        <v>154</v>
      </c>
      <c r="B35" s="13" t="s">
        <v>155</v>
      </c>
      <c r="C35" s="13" t="s">
        <v>156</v>
      </c>
      <c r="D35" s="65">
        <v>30</v>
      </c>
      <c r="E35" s="13" t="s">
        <v>37</v>
      </c>
      <c r="F35" s="13" t="s">
        <v>157</v>
      </c>
      <c r="G35" s="13" t="s">
        <v>1726</v>
      </c>
      <c r="H35" s="2"/>
      <c r="I35" s="2"/>
      <c r="J35" s="2"/>
      <c r="K35" s="2"/>
      <c r="L35" s="2"/>
      <c r="M35" s="2"/>
      <c r="N35" s="2"/>
      <c r="O35" s="2"/>
      <c r="P35" s="2"/>
      <c r="Q35" s="2"/>
      <c r="R35" s="2"/>
      <c r="S35" s="2"/>
      <c r="T35" s="2"/>
      <c r="U35" s="2"/>
      <c r="V35" s="2"/>
      <c r="W35" s="2"/>
      <c r="X35" s="2"/>
      <c r="Y35" s="2"/>
      <c r="Z35" s="2"/>
    </row>
    <row r="36" customHeight="1" spans="1:26">
      <c r="A36" s="13" t="s">
        <v>159</v>
      </c>
      <c r="B36" s="13" t="s">
        <v>1727</v>
      </c>
      <c r="C36" s="13" t="s">
        <v>161</v>
      </c>
      <c r="D36" s="57"/>
      <c r="E36" s="57"/>
      <c r="F36" s="13" t="s">
        <v>1728</v>
      </c>
      <c r="G36" s="13" t="s">
        <v>1729</v>
      </c>
      <c r="H36" s="2"/>
      <c r="I36" s="2"/>
      <c r="J36" s="2"/>
      <c r="K36" s="2"/>
      <c r="L36" s="2"/>
      <c r="M36" s="2"/>
      <c r="N36" s="2"/>
      <c r="O36" s="2"/>
      <c r="P36" s="2"/>
      <c r="Q36" s="2"/>
      <c r="R36" s="2"/>
      <c r="S36" s="2"/>
      <c r="T36" s="2"/>
      <c r="U36" s="2"/>
      <c r="V36" s="2"/>
      <c r="W36" s="2"/>
      <c r="X36" s="2"/>
      <c r="Y36" s="2"/>
      <c r="Z36" s="2"/>
    </row>
    <row r="37" customHeight="1" spans="1:26">
      <c r="A37" s="13" t="s">
        <v>164</v>
      </c>
      <c r="B37" s="13" t="s">
        <v>1730</v>
      </c>
      <c r="C37" s="13" t="s">
        <v>166</v>
      </c>
      <c r="D37" s="57"/>
      <c r="E37" s="57"/>
      <c r="F37" s="13" t="s">
        <v>1731</v>
      </c>
      <c r="G37" s="13" t="s">
        <v>1732</v>
      </c>
      <c r="H37" s="2"/>
      <c r="I37" s="2"/>
      <c r="J37" s="2"/>
      <c r="K37" s="2"/>
      <c r="L37" s="2"/>
      <c r="M37" s="2"/>
      <c r="N37" s="2"/>
      <c r="O37" s="2"/>
      <c r="P37" s="2"/>
      <c r="Q37" s="2"/>
      <c r="R37" s="2"/>
      <c r="S37" s="2"/>
      <c r="T37" s="2"/>
      <c r="U37" s="2"/>
      <c r="V37" s="2"/>
      <c r="W37" s="2"/>
      <c r="X37" s="2"/>
      <c r="Y37" s="2"/>
      <c r="Z37" s="2"/>
    </row>
    <row r="38" customHeight="1" spans="1:26">
      <c r="A38" s="64" t="s">
        <v>169</v>
      </c>
      <c r="B38" s="13" t="s">
        <v>170</v>
      </c>
      <c r="C38" s="13" t="s">
        <v>171</v>
      </c>
      <c r="D38" s="65">
        <v>46</v>
      </c>
      <c r="E38" s="13" t="s">
        <v>37</v>
      </c>
      <c r="F38" s="13" t="s">
        <v>1733</v>
      </c>
      <c r="G38" s="13" t="s">
        <v>1734</v>
      </c>
      <c r="H38" s="2"/>
      <c r="I38" s="2"/>
      <c r="J38" s="2"/>
      <c r="K38" s="2"/>
      <c r="L38" s="2"/>
      <c r="M38" s="2"/>
      <c r="N38" s="2"/>
      <c r="O38" s="2"/>
      <c r="P38" s="2"/>
      <c r="Q38" s="2"/>
      <c r="R38" s="2"/>
      <c r="S38" s="2"/>
      <c r="T38" s="2"/>
      <c r="U38" s="2"/>
      <c r="V38" s="2"/>
      <c r="W38" s="2"/>
      <c r="X38" s="2"/>
      <c r="Y38" s="2"/>
      <c r="Z38" s="2"/>
    </row>
    <row r="39" customHeight="1" spans="1:26">
      <c r="A39" s="64" t="s">
        <v>174</v>
      </c>
      <c r="B39" s="13" t="s">
        <v>1735</v>
      </c>
      <c r="C39" s="13" t="s">
        <v>171</v>
      </c>
      <c r="D39" s="65">
        <v>30</v>
      </c>
      <c r="E39" s="13" t="s">
        <v>37</v>
      </c>
      <c r="F39" s="13" t="s">
        <v>1736</v>
      </c>
      <c r="G39" s="13" t="s">
        <v>1737</v>
      </c>
      <c r="H39" s="2"/>
      <c r="I39" s="2"/>
      <c r="J39" s="2"/>
      <c r="K39" s="2"/>
      <c r="L39" s="2"/>
      <c r="M39" s="2"/>
      <c r="N39" s="2"/>
      <c r="O39" s="2"/>
      <c r="P39" s="2"/>
      <c r="Q39" s="2"/>
      <c r="R39" s="2"/>
      <c r="S39" s="2"/>
      <c r="T39" s="2"/>
      <c r="U39" s="2"/>
      <c r="V39" s="2"/>
      <c r="W39" s="2"/>
      <c r="X39" s="2"/>
      <c r="Y39" s="2"/>
      <c r="Z39" s="2"/>
    </row>
    <row r="40" customHeight="1" spans="1:26">
      <c r="A40" s="64" t="s">
        <v>178</v>
      </c>
      <c r="B40" s="13" t="s">
        <v>1738</v>
      </c>
      <c r="C40" s="13" t="s">
        <v>180</v>
      </c>
      <c r="D40" s="65">
        <v>45</v>
      </c>
      <c r="E40" s="13" t="s">
        <v>37</v>
      </c>
      <c r="F40" s="57" t="s">
        <v>1739</v>
      </c>
      <c r="G40" s="13" t="s">
        <v>1740</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customHeight="1" spans="1:26">
      <c r="A42" s="64" t="s">
        <v>188</v>
      </c>
      <c r="B42" s="13" t="s">
        <v>189</v>
      </c>
      <c r="C42" s="13" t="s">
        <v>190</v>
      </c>
      <c r="D42" s="65">
        <v>650</v>
      </c>
      <c r="E42" s="13" t="s">
        <v>37</v>
      </c>
      <c r="F42" s="13" t="s">
        <v>191</v>
      </c>
      <c r="G42" s="13" t="s">
        <v>192</v>
      </c>
      <c r="H42" s="2"/>
      <c r="I42" s="2"/>
      <c r="J42" s="2"/>
      <c r="K42" s="2"/>
      <c r="L42" s="2"/>
      <c r="M42" s="2"/>
      <c r="N42" s="2"/>
      <c r="O42" s="2"/>
      <c r="P42" s="2"/>
      <c r="Q42" s="2"/>
      <c r="R42" s="2"/>
      <c r="S42" s="2"/>
      <c r="T42" s="2"/>
      <c r="U42" s="2"/>
      <c r="V42" s="2"/>
      <c r="W42" s="2"/>
      <c r="X42" s="2"/>
      <c r="Y42" s="2"/>
      <c r="Z42" s="2"/>
    </row>
    <row r="43" customHeight="1" spans="1:26">
      <c r="A43" s="13" t="s">
        <v>193</v>
      </c>
      <c r="B43" s="13" t="s">
        <v>1741</v>
      </c>
      <c r="C43" s="13" t="s">
        <v>195</v>
      </c>
      <c r="D43" s="57"/>
      <c r="E43" s="57"/>
      <c r="F43" s="13" t="s">
        <v>1742</v>
      </c>
      <c r="G43" s="13" t="s">
        <v>1743</v>
      </c>
      <c r="H43" s="2"/>
      <c r="I43" s="2"/>
      <c r="J43" s="2"/>
      <c r="K43" s="2"/>
      <c r="L43" s="2"/>
      <c r="M43" s="2"/>
      <c r="N43" s="2"/>
      <c r="O43" s="2"/>
      <c r="P43" s="2"/>
      <c r="Q43" s="2"/>
      <c r="R43" s="2"/>
      <c r="S43" s="2"/>
      <c r="T43" s="2"/>
      <c r="U43" s="2"/>
      <c r="V43" s="2"/>
      <c r="W43" s="2"/>
      <c r="X43" s="2"/>
      <c r="Y43" s="2"/>
      <c r="Z43" s="2"/>
    </row>
    <row r="44" customHeight="1" spans="1:26">
      <c r="A44" s="64" t="s">
        <v>198</v>
      </c>
      <c r="B44" s="13" t="s">
        <v>1744</v>
      </c>
      <c r="C44" s="13" t="s">
        <v>200</v>
      </c>
      <c r="D44" s="65">
        <v>30</v>
      </c>
      <c r="E44" s="13" t="s">
        <v>21</v>
      </c>
      <c r="F44" s="13" t="s">
        <v>1745</v>
      </c>
      <c r="G44" s="13" t="s">
        <v>1746</v>
      </c>
      <c r="H44" s="2"/>
      <c r="I44" s="2"/>
      <c r="J44" s="2"/>
      <c r="K44" s="2"/>
      <c r="L44" s="2"/>
      <c r="M44" s="2"/>
      <c r="N44" s="2"/>
      <c r="O44" s="2"/>
      <c r="P44" s="2"/>
      <c r="Q44" s="2"/>
      <c r="R44" s="2"/>
      <c r="S44" s="2"/>
      <c r="T44" s="2"/>
      <c r="U44" s="2"/>
      <c r="V44" s="2"/>
      <c r="W44" s="2"/>
      <c r="X44" s="2"/>
      <c r="Y44" s="2"/>
      <c r="Z44" s="2"/>
    </row>
    <row r="45" customHeight="1" spans="1:26">
      <c r="A45" s="13" t="s">
        <v>203</v>
      </c>
      <c r="B45" s="13" t="s">
        <v>1747</v>
      </c>
      <c r="C45" s="13" t="s">
        <v>200</v>
      </c>
      <c r="D45" s="14">
        <v>80</v>
      </c>
      <c r="E45" s="13" t="s">
        <v>21</v>
      </c>
      <c r="F45" s="13" t="s">
        <v>1748</v>
      </c>
      <c r="G45" s="13" t="s">
        <v>1749</v>
      </c>
      <c r="H45" s="2"/>
      <c r="I45" s="2"/>
      <c r="J45" s="2"/>
      <c r="K45" s="2"/>
      <c r="L45" s="2"/>
      <c r="M45" s="2"/>
      <c r="N45" s="2"/>
      <c r="O45" s="2"/>
      <c r="P45" s="2"/>
      <c r="Q45" s="2"/>
      <c r="R45" s="2"/>
      <c r="S45" s="2"/>
      <c r="T45" s="2"/>
      <c r="U45" s="2"/>
      <c r="V45" s="2"/>
      <c r="W45" s="2"/>
      <c r="X45" s="2"/>
      <c r="Y45" s="2"/>
      <c r="Z45" s="2"/>
    </row>
    <row r="46" customHeight="1" spans="1:26">
      <c r="A46" s="64" t="s">
        <v>207</v>
      </c>
      <c r="B46" s="13" t="s">
        <v>1750</v>
      </c>
      <c r="C46" s="13" t="s">
        <v>209</v>
      </c>
      <c r="D46" s="65">
        <v>5</v>
      </c>
      <c r="E46" s="13" t="s">
        <v>37</v>
      </c>
      <c r="F46" s="13" t="s">
        <v>1751</v>
      </c>
      <c r="G46" s="13" t="s">
        <v>1752</v>
      </c>
      <c r="H46" s="2"/>
      <c r="I46" s="2"/>
      <c r="J46" s="2"/>
      <c r="K46" s="2"/>
      <c r="L46" s="2"/>
      <c r="M46" s="2"/>
      <c r="N46" s="2"/>
      <c r="O46" s="2"/>
      <c r="P46" s="2"/>
      <c r="Q46" s="2"/>
      <c r="R46" s="2"/>
      <c r="S46" s="2"/>
      <c r="T46" s="2"/>
      <c r="U46" s="2"/>
      <c r="V46" s="2"/>
      <c r="W46" s="2"/>
      <c r="X46" s="2"/>
      <c r="Y46" s="2"/>
      <c r="Z46" s="2"/>
    </row>
    <row r="47" customHeight="1" spans="1:26">
      <c r="A47" s="13" t="s">
        <v>212</v>
      </c>
      <c r="B47" s="13" t="s">
        <v>1753</v>
      </c>
      <c r="C47" s="13" t="s">
        <v>214</v>
      </c>
      <c r="D47" s="14">
        <v>20</v>
      </c>
      <c r="E47" s="13" t="s">
        <v>37</v>
      </c>
      <c r="F47" s="13" t="s">
        <v>1754</v>
      </c>
      <c r="G47" s="13" t="s">
        <v>1755</v>
      </c>
      <c r="H47" s="2"/>
      <c r="I47" s="2"/>
      <c r="J47" s="2"/>
      <c r="K47" s="2"/>
      <c r="L47" s="2"/>
      <c r="M47" s="2"/>
      <c r="N47" s="2"/>
      <c r="O47" s="2"/>
      <c r="P47" s="2"/>
      <c r="Q47" s="2"/>
      <c r="R47" s="2"/>
      <c r="S47" s="2"/>
      <c r="T47" s="2"/>
      <c r="U47" s="2"/>
      <c r="V47" s="2"/>
      <c r="W47" s="2"/>
      <c r="X47" s="2"/>
      <c r="Y47" s="2"/>
      <c r="Z47" s="2"/>
    </row>
    <row r="48" customHeight="1" spans="1:26">
      <c r="A48" s="13" t="s">
        <v>217</v>
      </c>
      <c r="B48" s="13" t="s">
        <v>1756</v>
      </c>
      <c r="C48" s="13" t="s">
        <v>219</v>
      </c>
      <c r="D48" s="57"/>
      <c r="E48" s="57"/>
      <c r="F48" s="13" t="s">
        <v>1757</v>
      </c>
      <c r="G48" s="13" t="s">
        <v>1758</v>
      </c>
      <c r="H48" s="2"/>
      <c r="I48" s="2"/>
      <c r="J48" s="2"/>
      <c r="K48" s="2"/>
      <c r="L48" s="2"/>
      <c r="M48" s="2"/>
      <c r="N48" s="2"/>
      <c r="O48" s="2"/>
      <c r="P48" s="2"/>
      <c r="Q48" s="2"/>
      <c r="R48" s="2"/>
      <c r="S48" s="2"/>
      <c r="T48" s="2"/>
      <c r="U48" s="2"/>
      <c r="V48" s="2"/>
      <c r="W48" s="2"/>
      <c r="X48" s="2"/>
      <c r="Y48" s="2"/>
      <c r="Z48" s="2"/>
    </row>
    <row r="49" customHeight="1" spans="1:26">
      <c r="A49" s="13" t="s">
        <v>222</v>
      </c>
      <c r="B49" s="13" t="s">
        <v>1759</v>
      </c>
      <c r="C49" s="13" t="s">
        <v>224</v>
      </c>
      <c r="D49" s="14">
        <v>96</v>
      </c>
      <c r="E49" s="13" t="s">
        <v>21</v>
      </c>
      <c r="F49" s="13" t="s">
        <v>1760</v>
      </c>
      <c r="G49" s="13" t="s">
        <v>1761</v>
      </c>
      <c r="H49" s="2"/>
      <c r="I49" s="2"/>
      <c r="J49" s="2"/>
      <c r="K49" s="2"/>
      <c r="L49" s="2"/>
      <c r="M49" s="2"/>
      <c r="N49" s="2"/>
      <c r="O49" s="2"/>
      <c r="P49" s="2"/>
      <c r="Q49" s="2"/>
      <c r="R49" s="2"/>
      <c r="S49" s="2"/>
      <c r="T49" s="2"/>
      <c r="U49" s="2"/>
      <c r="V49" s="2"/>
      <c r="W49" s="2"/>
      <c r="X49" s="2"/>
      <c r="Y49" s="2"/>
      <c r="Z49" s="2"/>
    </row>
    <row r="50" customHeight="1" spans="1:26">
      <c r="A50" s="13" t="s">
        <v>227</v>
      </c>
      <c r="B50" s="13" t="s">
        <v>1762</v>
      </c>
      <c r="C50" s="13" t="s">
        <v>229</v>
      </c>
      <c r="D50" s="14">
        <v>66</v>
      </c>
      <c r="E50" s="13" t="s">
        <v>21</v>
      </c>
      <c r="F50" s="13" t="s">
        <v>1763</v>
      </c>
      <c r="G50" s="13" t="s">
        <v>1764</v>
      </c>
      <c r="H50" s="2"/>
      <c r="I50" s="2"/>
      <c r="J50" s="2"/>
      <c r="K50" s="2"/>
      <c r="L50" s="2"/>
      <c r="M50" s="2"/>
      <c r="N50" s="2"/>
      <c r="O50" s="2"/>
      <c r="P50" s="2"/>
      <c r="Q50" s="2"/>
      <c r="R50" s="2"/>
      <c r="S50" s="2"/>
      <c r="T50" s="2"/>
      <c r="U50" s="2"/>
      <c r="V50" s="2"/>
      <c r="W50" s="2"/>
      <c r="X50" s="2"/>
      <c r="Y50" s="2"/>
      <c r="Z50" s="2"/>
    </row>
    <row r="51" customHeight="1" spans="1:26">
      <c r="A51" s="13" t="s">
        <v>231</v>
      </c>
      <c r="B51" s="13" t="s">
        <v>1765</v>
      </c>
      <c r="C51" s="13" t="s">
        <v>224</v>
      </c>
      <c r="D51" s="14">
        <v>156</v>
      </c>
      <c r="E51" s="13" t="s">
        <v>21</v>
      </c>
      <c r="F51" s="13" t="s">
        <v>1766</v>
      </c>
      <c r="G51" s="13" t="s">
        <v>1767</v>
      </c>
      <c r="H51" s="2"/>
      <c r="I51" s="2"/>
      <c r="J51" s="2"/>
      <c r="K51" s="2"/>
      <c r="L51" s="2"/>
      <c r="M51" s="2"/>
      <c r="N51" s="2"/>
      <c r="O51" s="2"/>
      <c r="P51" s="2"/>
      <c r="Q51" s="2"/>
      <c r="R51" s="2"/>
      <c r="S51" s="2"/>
      <c r="T51" s="2"/>
      <c r="U51" s="2"/>
      <c r="V51" s="2"/>
      <c r="W51" s="2"/>
      <c r="X51" s="2"/>
      <c r="Y51" s="2"/>
      <c r="Z51" s="2"/>
    </row>
    <row r="52" customHeight="1" spans="1:26">
      <c r="A52" s="64" t="s">
        <v>234</v>
      </c>
      <c r="B52" s="13" t="s">
        <v>1768</v>
      </c>
      <c r="C52" s="13" t="s">
        <v>236</v>
      </c>
      <c r="D52" s="65">
        <v>30</v>
      </c>
      <c r="E52" s="13" t="s">
        <v>37</v>
      </c>
      <c r="F52" s="13" t="s">
        <v>1769</v>
      </c>
      <c r="G52" s="57" t="s">
        <v>1770</v>
      </c>
      <c r="H52" s="2"/>
      <c r="I52" s="2"/>
      <c r="J52" s="2"/>
      <c r="K52" s="2"/>
      <c r="L52" s="2"/>
      <c r="M52" s="2"/>
      <c r="N52" s="2"/>
      <c r="O52" s="2"/>
      <c r="P52" s="2"/>
      <c r="Q52" s="2"/>
      <c r="R52" s="2"/>
      <c r="S52" s="2"/>
      <c r="T52" s="2"/>
      <c r="U52" s="2"/>
      <c r="V52" s="2"/>
      <c r="W52" s="2"/>
      <c r="X52" s="2"/>
      <c r="Y52" s="2"/>
      <c r="Z52" s="2"/>
    </row>
    <row r="53" customHeight="1" spans="1:26">
      <c r="A53" s="13" t="s">
        <v>239</v>
      </c>
      <c r="B53" s="13" t="s">
        <v>1771</v>
      </c>
      <c r="C53" s="13" t="s">
        <v>236</v>
      </c>
      <c r="D53" s="14">
        <v>230</v>
      </c>
      <c r="E53" s="13" t="s">
        <v>21</v>
      </c>
      <c r="F53" s="13" t="s">
        <v>1772</v>
      </c>
      <c r="G53" s="13" t="s">
        <v>1773</v>
      </c>
      <c r="H53" s="2"/>
      <c r="I53" s="2"/>
      <c r="J53" s="2"/>
      <c r="K53" s="2"/>
      <c r="L53" s="2"/>
      <c r="M53" s="2"/>
      <c r="N53" s="2"/>
      <c r="O53" s="2"/>
      <c r="P53" s="2"/>
      <c r="Q53" s="2"/>
      <c r="R53" s="2"/>
      <c r="S53" s="2"/>
      <c r="T53" s="2"/>
      <c r="U53" s="2"/>
      <c r="V53" s="2"/>
      <c r="W53" s="2"/>
      <c r="X53" s="2"/>
      <c r="Y53" s="2"/>
      <c r="Z53" s="2"/>
    </row>
    <row r="54" customHeight="1" spans="1:26">
      <c r="A54" s="13" t="s">
        <v>243</v>
      </c>
      <c r="B54" s="13" t="s">
        <v>1774</v>
      </c>
      <c r="C54" s="13" t="s">
        <v>236</v>
      </c>
      <c r="D54" s="14">
        <v>100</v>
      </c>
      <c r="E54" s="13" t="s">
        <v>245</v>
      </c>
      <c r="F54" s="57" t="s">
        <v>1775</v>
      </c>
      <c r="G54" s="57" t="s">
        <v>1776</v>
      </c>
      <c r="H54" s="2"/>
      <c r="I54" s="2"/>
      <c r="J54" s="2"/>
      <c r="K54" s="2"/>
      <c r="L54" s="2"/>
      <c r="M54" s="2"/>
      <c r="N54" s="2"/>
      <c r="O54" s="2"/>
      <c r="P54" s="2"/>
      <c r="Q54" s="2"/>
      <c r="R54" s="2"/>
      <c r="S54" s="2"/>
      <c r="T54" s="2"/>
      <c r="U54" s="2"/>
      <c r="V54" s="2"/>
      <c r="W54" s="2"/>
      <c r="X54" s="2"/>
      <c r="Y54" s="2"/>
      <c r="Z54" s="2"/>
    </row>
    <row r="55" customHeight="1" spans="1:26">
      <c r="A55" s="13" t="s">
        <v>248</v>
      </c>
      <c r="B55" s="13" t="s">
        <v>1777</v>
      </c>
      <c r="C55" s="13" t="s">
        <v>236</v>
      </c>
      <c r="D55" s="14">
        <v>100</v>
      </c>
      <c r="E55" s="13" t="s">
        <v>245</v>
      </c>
      <c r="F55" s="57" t="s">
        <v>1778</v>
      </c>
      <c r="G55" s="57" t="s">
        <v>1779</v>
      </c>
      <c r="H55" s="2"/>
      <c r="I55" s="2"/>
      <c r="J55" s="2"/>
      <c r="K55" s="2"/>
      <c r="L55" s="2"/>
      <c r="M55" s="2"/>
      <c r="N55" s="2"/>
      <c r="O55" s="2"/>
      <c r="P55" s="2"/>
      <c r="Q55" s="2"/>
      <c r="R55" s="2"/>
      <c r="S55" s="2"/>
      <c r="T55" s="2"/>
      <c r="U55" s="2"/>
      <c r="V55" s="2"/>
      <c r="W55" s="2"/>
      <c r="X55" s="2"/>
      <c r="Y55" s="2"/>
      <c r="Z55" s="2"/>
    </row>
    <row r="56" customHeight="1" spans="1:26">
      <c r="A56" s="64" t="s">
        <v>252</v>
      </c>
      <c r="B56" s="13" t="s">
        <v>1780</v>
      </c>
      <c r="C56" s="13" t="s">
        <v>236</v>
      </c>
      <c r="D56" s="65">
        <v>35</v>
      </c>
      <c r="E56" s="13" t="s">
        <v>37</v>
      </c>
      <c r="F56" s="13" t="s">
        <v>1781</v>
      </c>
      <c r="G56" s="13" t="s">
        <v>1782</v>
      </c>
      <c r="H56" s="2"/>
      <c r="I56" s="2"/>
      <c r="J56" s="2"/>
      <c r="K56" s="2"/>
      <c r="L56" s="2"/>
      <c r="M56" s="2"/>
      <c r="N56" s="2"/>
      <c r="O56" s="2"/>
      <c r="P56" s="2"/>
      <c r="Q56" s="2"/>
      <c r="R56" s="2"/>
      <c r="S56" s="2"/>
      <c r="T56" s="2"/>
      <c r="U56" s="2"/>
      <c r="V56" s="2"/>
      <c r="W56" s="2"/>
      <c r="X56" s="2"/>
      <c r="Y56" s="2"/>
      <c r="Z56" s="2"/>
    </row>
    <row r="57" customHeight="1" spans="1:26">
      <c r="A57" s="64" t="s">
        <v>256</v>
      </c>
      <c r="B57" s="13" t="s">
        <v>1783</v>
      </c>
      <c r="C57" s="13" t="s">
        <v>236</v>
      </c>
      <c r="D57" s="65">
        <v>40</v>
      </c>
      <c r="E57" s="13" t="s">
        <v>37</v>
      </c>
      <c r="F57" s="13" t="s">
        <v>1784</v>
      </c>
      <c r="G57" s="13" t="s">
        <v>1784</v>
      </c>
      <c r="H57" s="2"/>
      <c r="I57" s="2"/>
      <c r="J57" s="2"/>
      <c r="K57" s="2"/>
      <c r="L57" s="2"/>
      <c r="M57" s="2"/>
      <c r="N57" s="2"/>
      <c r="O57" s="2"/>
      <c r="P57" s="2"/>
      <c r="Q57" s="2"/>
      <c r="R57" s="2"/>
      <c r="S57" s="2"/>
      <c r="T57" s="2"/>
      <c r="U57" s="2"/>
      <c r="V57" s="2"/>
      <c r="W57" s="2"/>
      <c r="X57" s="2"/>
      <c r="Y57" s="2"/>
      <c r="Z57" s="2"/>
    </row>
    <row r="58" customHeight="1" spans="1:26">
      <c r="A58" s="64" t="s">
        <v>260</v>
      </c>
      <c r="B58" s="13" t="s">
        <v>261</v>
      </c>
      <c r="C58" s="13" t="s">
        <v>236</v>
      </c>
      <c r="D58" s="65">
        <v>8</v>
      </c>
      <c r="E58" s="13" t="s">
        <v>262</v>
      </c>
      <c r="F58" s="13" t="s">
        <v>263</v>
      </c>
      <c r="G58" s="13" t="s">
        <v>1785</v>
      </c>
      <c r="H58" s="2"/>
      <c r="I58" s="2"/>
      <c r="J58" s="2"/>
      <c r="K58" s="2"/>
      <c r="L58" s="2"/>
      <c r="M58" s="2"/>
      <c r="N58" s="2"/>
      <c r="O58" s="2"/>
      <c r="P58" s="2"/>
      <c r="Q58" s="2"/>
      <c r="R58" s="2"/>
      <c r="S58" s="2"/>
      <c r="T58" s="2"/>
      <c r="U58" s="2"/>
      <c r="V58" s="2"/>
      <c r="W58" s="2"/>
      <c r="X58" s="2"/>
      <c r="Y58" s="2"/>
      <c r="Z58" s="2"/>
    </row>
    <row r="59" customHeight="1" spans="1:26">
      <c r="A59" s="64" t="s">
        <v>265</v>
      </c>
      <c r="B59" s="13" t="s">
        <v>1786</v>
      </c>
      <c r="C59" s="13" t="s">
        <v>236</v>
      </c>
      <c r="D59" s="65">
        <v>30</v>
      </c>
      <c r="E59" s="13" t="s">
        <v>37</v>
      </c>
      <c r="F59" s="13" t="s">
        <v>1787</v>
      </c>
      <c r="G59" s="13" t="s">
        <v>1788</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13" t="s">
        <v>1789</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1790</v>
      </c>
      <c r="H61" s="2"/>
      <c r="I61" s="2"/>
      <c r="J61" s="2"/>
      <c r="K61" s="2"/>
      <c r="L61" s="2"/>
      <c r="M61" s="2"/>
      <c r="N61" s="2"/>
      <c r="O61" s="2"/>
      <c r="P61" s="2"/>
      <c r="Q61" s="2"/>
      <c r="R61" s="2"/>
      <c r="S61" s="2"/>
      <c r="T61" s="2"/>
      <c r="U61" s="2"/>
      <c r="V61" s="2"/>
      <c r="W61" s="2"/>
      <c r="X61" s="2"/>
      <c r="Y61" s="2"/>
      <c r="Z61" s="2"/>
    </row>
    <row r="62" ht="16.5" customHeight="1" spans="1:26">
      <c r="A62" s="64" t="s">
        <v>277</v>
      </c>
      <c r="B62" s="13" t="s">
        <v>1791</v>
      </c>
      <c r="C62" s="13" t="s">
        <v>236</v>
      </c>
      <c r="D62" s="65">
        <v>37</v>
      </c>
      <c r="E62" s="13" t="s">
        <v>37</v>
      </c>
      <c r="F62" s="13" t="s">
        <v>1792</v>
      </c>
      <c r="G62" s="13" t="s">
        <v>1793</v>
      </c>
      <c r="H62" s="2"/>
      <c r="I62" s="2"/>
      <c r="J62" s="2"/>
      <c r="K62" s="2"/>
      <c r="L62" s="2"/>
      <c r="M62" s="2"/>
      <c r="N62" s="2"/>
      <c r="O62" s="2"/>
      <c r="P62" s="2"/>
      <c r="Q62" s="2"/>
      <c r="R62" s="2"/>
      <c r="S62" s="2"/>
      <c r="T62" s="2"/>
      <c r="U62" s="2"/>
      <c r="V62" s="2"/>
      <c r="W62" s="2"/>
      <c r="X62" s="2"/>
      <c r="Y62" s="2"/>
      <c r="Z62" s="2"/>
    </row>
    <row r="63" customHeight="1" spans="1:26">
      <c r="A63" s="64" t="s">
        <v>281</v>
      </c>
      <c r="B63" s="13" t="s">
        <v>1794</v>
      </c>
      <c r="C63" s="13" t="s">
        <v>236</v>
      </c>
      <c r="D63" s="65">
        <v>40</v>
      </c>
      <c r="E63" s="13" t="s">
        <v>37</v>
      </c>
      <c r="F63" s="13" t="s">
        <v>1795</v>
      </c>
      <c r="G63" s="13" t="s">
        <v>1796</v>
      </c>
      <c r="H63" s="2"/>
      <c r="I63" s="2"/>
      <c r="J63" s="2"/>
      <c r="K63" s="2"/>
      <c r="L63" s="2"/>
      <c r="M63" s="2"/>
      <c r="N63" s="2"/>
      <c r="O63" s="2"/>
      <c r="P63" s="2"/>
      <c r="Q63" s="2"/>
      <c r="R63" s="2"/>
      <c r="S63" s="2"/>
      <c r="T63" s="2"/>
      <c r="U63" s="2"/>
      <c r="V63" s="2"/>
      <c r="W63" s="2"/>
      <c r="X63" s="2"/>
      <c r="Y63" s="2"/>
      <c r="Z63" s="2"/>
    </row>
    <row r="64" customHeight="1" spans="1:26">
      <c r="A64" s="13" t="s">
        <v>285</v>
      </c>
      <c r="B64" s="13" t="s">
        <v>1797</v>
      </c>
      <c r="C64" s="13" t="s">
        <v>286</v>
      </c>
      <c r="D64" s="14">
        <v>35</v>
      </c>
      <c r="E64" s="13" t="s">
        <v>37</v>
      </c>
      <c r="F64" s="13" t="s">
        <v>1798</v>
      </c>
      <c r="G64" s="13" t="s">
        <v>1799</v>
      </c>
      <c r="H64" s="2"/>
      <c r="I64" s="2"/>
      <c r="J64" s="2"/>
      <c r="K64" s="2"/>
      <c r="L64" s="2"/>
      <c r="M64" s="2"/>
      <c r="N64" s="2"/>
      <c r="O64" s="2"/>
      <c r="P64" s="2"/>
      <c r="Q64" s="2"/>
      <c r="R64" s="2"/>
      <c r="S64" s="2"/>
      <c r="T64" s="2"/>
      <c r="U64" s="2"/>
      <c r="V64" s="2"/>
      <c r="W64" s="2"/>
      <c r="X64" s="2"/>
      <c r="Y64" s="2"/>
      <c r="Z64" s="2"/>
    </row>
    <row r="65" customHeight="1" spans="1:26">
      <c r="A65" s="64" t="s">
        <v>288</v>
      </c>
      <c r="B65" s="13" t="s">
        <v>1800</v>
      </c>
      <c r="C65" s="13" t="s">
        <v>290</v>
      </c>
      <c r="D65" s="65">
        <v>300</v>
      </c>
      <c r="E65" s="13" t="s">
        <v>37</v>
      </c>
      <c r="F65" s="13" t="s">
        <v>1801</v>
      </c>
      <c r="G65" s="13" t="s">
        <v>1802</v>
      </c>
      <c r="H65" s="2"/>
      <c r="I65" s="2"/>
      <c r="J65" s="2"/>
      <c r="K65" s="2"/>
      <c r="L65" s="2"/>
      <c r="M65" s="2"/>
      <c r="N65" s="2"/>
      <c r="O65" s="2"/>
      <c r="P65" s="2"/>
      <c r="Q65" s="2"/>
      <c r="R65" s="2"/>
      <c r="S65" s="2"/>
      <c r="T65" s="2"/>
      <c r="U65" s="2"/>
      <c r="V65" s="2"/>
      <c r="W65" s="2"/>
      <c r="X65" s="2"/>
      <c r="Y65" s="2"/>
      <c r="Z65" s="2"/>
    </row>
    <row r="66" customHeight="1" spans="1:26">
      <c r="A66" s="64" t="s">
        <v>293</v>
      </c>
      <c r="B66" s="13" t="s">
        <v>1803</v>
      </c>
      <c r="C66" s="13" t="s">
        <v>290</v>
      </c>
      <c r="D66" s="65">
        <v>35</v>
      </c>
      <c r="E66" s="13" t="s">
        <v>37</v>
      </c>
      <c r="F66" s="13" t="s">
        <v>1804</v>
      </c>
      <c r="G66" s="13" t="s">
        <v>1805</v>
      </c>
      <c r="H66" s="2"/>
      <c r="I66" s="2"/>
      <c r="J66" s="2"/>
      <c r="K66" s="2"/>
      <c r="L66" s="2"/>
      <c r="M66" s="2"/>
      <c r="N66" s="2"/>
      <c r="O66" s="2"/>
      <c r="P66" s="2"/>
      <c r="Q66" s="2"/>
      <c r="R66" s="2"/>
      <c r="S66" s="2"/>
      <c r="T66" s="2"/>
      <c r="U66" s="2"/>
      <c r="V66" s="2"/>
      <c r="W66" s="2"/>
      <c r="X66" s="2"/>
      <c r="Y66" s="2"/>
      <c r="Z66" s="2"/>
    </row>
    <row r="67" customHeight="1" spans="1:26">
      <c r="A67" s="13" t="s">
        <v>297</v>
      </c>
      <c r="B67" s="13" t="s">
        <v>1806</v>
      </c>
      <c r="C67" s="13" t="s">
        <v>1807</v>
      </c>
      <c r="D67" s="14">
        <v>1000</v>
      </c>
      <c r="E67" s="13" t="s">
        <v>37</v>
      </c>
      <c r="F67" s="13" t="s">
        <v>1808</v>
      </c>
      <c r="G67" s="13" t="s">
        <v>1809</v>
      </c>
      <c r="H67" s="2"/>
      <c r="I67" s="2"/>
      <c r="J67" s="2"/>
      <c r="K67" s="2"/>
      <c r="L67" s="2"/>
      <c r="M67" s="2"/>
      <c r="N67" s="2"/>
      <c r="O67" s="2"/>
      <c r="P67" s="2"/>
      <c r="Q67" s="2"/>
      <c r="R67" s="2"/>
      <c r="S67" s="2"/>
      <c r="T67" s="2"/>
      <c r="U67" s="2"/>
      <c r="V67" s="2"/>
      <c r="W67" s="2"/>
      <c r="X67" s="2"/>
      <c r="Y67" s="2"/>
      <c r="Z67" s="2"/>
    </row>
    <row r="68" customHeight="1" spans="1:26">
      <c r="A68" s="13" t="s">
        <v>302</v>
      </c>
      <c r="B68" s="13" t="s">
        <v>303</v>
      </c>
      <c r="C68" s="13" t="s">
        <v>304</v>
      </c>
      <c r="D68" s="57"/>
      <c r="E68" s="57"/>
      <c r="F68" s="13" t="s">
        <v>305</v>
      </c>
      <c r="G68" s="13" t="s">
        <v>306</v>
      </c>
      <c r="H68" s="2"/>
      <c r="I68" s="2"/>
      <c r="J68" s="2"/>
      <c r="K68" s="2"/>
      <c r="L68" s="2"/>
      <c r="M68" s="2"/>
      <c r="N68" s="2"/>
      <c r="O68" s="2"/>
      <c r="P68" s="2"/>
      <c r="Q68" s="2"/>
      <c r="R68" s="2"/>
      <c r="S68" s="2"/>
      <c r="T68" s="2"/>
      <c r="U68" s="2"/>
      <c r="V68" s="2"/>
      <c r="W68" s="2"/>
      <c r="X68" s="2"/>
      <c r="Y68" s="2"/>
      <c r="Z68" s="2"/>
    </row>
    <row r="69" customHeight="1" spans="1:26">
      <c r="A69" s="70" t="s">
        <v>307</v>
      </c>
      <c r="B69" s="63" t="s">
        <v>1810</v>
      </c>
      <c r="C69" s="63" t="s">
        <v>309</v>
      </c>
      <c r="D69" s="71">
        <v>45</v>
      </c>
      <c r="E69" s="63" t="s">
        <v>310</v>
      </c>
      <c r="F69" s="63" t="s">
        <v>1811</v>
      </c>
      <c r="G69" s="63" t="s">
        <v>1812</v>
      </c>
      <c r="H69" s="2"/>
      <c r="I69" s="2"/>
      <c r="J69" s="2"/>
      <c r="K69" s="2"/>
      <c r="L69" s="2"/>
      <c r="M69" s="2"/>
      <c r="N69" s="2"/>
      <c r="O69" s="2"/>
      <c r="P69" s="2"/>
      <c r="Q69" s="2"/>
      <c r="R69" s="2"/>
      <c r="S69" s="2"/>
      <c r="T69" s="2"/>
      <c r="U69" s="2"/>
      <c r="V69" s="2"/>
      <c r="W69" s="2"/>
      <c r="X69" s="2"/>
      <c r="Y69" s="2"/>
      <c r="Z69" s="2"/>
    </row>
    <row r="70" customHeight="1" spans="1:26">
      <c r="A70" s="13" t="s">
        <v>313</v>
      </c>
      <c r="B70" s="13" t="s">
        <v>314</v>
      </c>
      <c r="C70" s="13" t="s">
        <v>315</v>
      </c>
      <c r="D70" s="65">
        <v>90</v>
      </c>
      <c r="E70" s="13" t="s">
        <v>32</v>
      </c>
      <c r="F70" s="73" t="s">
        <v>316</v>
      </c>
      <c r="G70" s="13" t="s">
        <v>1813</v>
      </c>
      <c r="H70" s="2"/>
      <c r="I70" s="2"/>
      <c r="J70" s="2"/>
      <c r="K70" s="2"/>
      <c r="L70" s="2"/>
      <c r="M70" s="2"/>
      <c r="N70" s="2"/>
      <c r="O70" s="2"/>
      <c r="P70" s="2"/>
      <c r="Q70" s="2"/>
      <c r="R70" s="2"/>
      <c r="S70" s="2"/>
      <c r="T70" s="2"/>
      <c r="U70" s="2"/>
      <c r="V70" s="2"/>
      <c r="W70" s="2"/>
      <c r="X70" s="2"/>
      <c r="Y70" s="2"/>
      <c r="Z70" s="2"/>
    </row>
    <row r="71" customHeight="1" spans="1:26">
      <c r="A71" s="13" t="s">
        <v>317</v>
      </c>
      <c r="B71" s="52" t="s">
        <v>1814</v>
      </c>
      <c r="C71" s="13" t="s">
        <v>319</v>
      </c>
      <c r="D71" s="65">
        <v>400</v>
      </c>
      <c r="E71" s="13" t="s">
        <v>245</v>
      </c>
      <c r="F71" s="13" t="s">
        <v>1815</v>
      </c>
      <c r="G71" s="52" t="s">
        <v>1814</v>
      </c>
      <c r="H71" s="2"/>
      <c r="I71" s="2"/>
      <c r="J71" s="2"/>
      <c r="K71" s="2"/>
      <c r="L71" s="2"/>
      <c r="M71" s="2"/>
      <c r="N71" s="2"/>
      <c r="O71" s="2"/>
      <c r="P71" s="2"/>
      <c r="Q71" s="2"/>
      <c r="R71" s="2"/>
      <c r="S71" s="2"/>
      <c r="T71" s="2"/>
      <c r="U71" s="2"/>
      <c r="V71" s="2"/>
      <c r="W71" s="2"/>
      <c r="X71" s="2"/>
      <c r="Y71" s="2"/>
      <c r="Z71" s="2"/>
    </row>
    <row r="72" customHeight="1" spans="1:26">
      <c r="A72" s="64" t="s">
        <v>321</v>
      </c>
      <c r="B72" s="13" t="s">
        <v>1816</v>
      </c>
      <c r="C72" s="13" t="s">
        <v>315</v>
      </c>
      <c r="D72" s="65">
        <v>13</v>
      </c>
      <c r="E72" s="13" t="s">
        <v>262</v>
      </c>
      <c r="F72" s="13" t="s">
        <v>1817</v>
      </c>
      <c r="G72" s="13" t="s">
        <v>1818</v>
      </c>
      <c r="H72" s="2"/>
      <c r="I72" s="2"/>
      <c r="J72" s="2"/>
      <c r="K72" s="2"/>
      <c r="L72" s="2"/>
      <c r="M72" s="2"/>
      <c r="N72" s="2"/>
      <c r="O72" s="2"/>
      <c r="P72" s="2"/>
      <c r="Q72" s="2"/>
      <c r="R72" s="2"/>
      <c r="S72" s="2"/>
      <c r="T72" s="2"/>
      <c r="U72" s="2"/>
      <c r="V72" s="2"/>
      <c r="W72" s="2"/>
      <c r="X72" s="2"/>
      <c r="Y72" s="2"/>
      <c r="Z72" s="2"/>
    </row>
    <row r="73" customHeight="1" spans="1:26">
      <c r="A73" s="13" t="s">
        <v>325</v>
      </c>
      <c r="B73" s="13" t="s">
        <v>1819</v>
      </c>
      <c r="C73" s="13" t="s">
        <v>327</v>
      </c>
      <c r="D73" s="14">
        <v>25</v>
      </c>
      <c r="E73" s="13" t="s">
        <v>310</v>
      </c>
      <c r="F73" s="13" t="s">
        <v>1820</v>
      </c>
      <c r="G73" s="13" t="s">
        <v>1821</v>
      </c>
      <c r="H73" s="2"/>
      <c r="I73" s="2"/>
      <c r="J73" s="2"/>
      <c r="K73" s="2"/>
      <c r="L73" s="2"/>
      <c r="M73" s="2"/>
      <c r="N73" s="2"/>
      <c r="O73" s="2"/>
      <c r="P73" s="2"/>
      <c r="Q73" s="2"/>
      <c r="R73" s="2"/>
      <c r="S73" s="2"/>
      <c r="T73" s="2"/>
      <c r="U73" s="2"/>
      <c r="V73" s="2"/>
      <c r="W73" s="2"/>
      <c r="X73" s="2"/>
      <c r="Y73" s="2"/>
      <c r="Z73" s="2"/>
    </row>
    <row r="74" customHeight="1" spans="1:26">
      <c r="A74" s="64" t="s">
        <v>330</v>
      </c>
      <c r="B74" s="13" t="s">
        <v>331</v>
      </c>
      <c r="C74" s="13" t="s">
        <v>315</v>
      </c>
      <c r="D74" s="65">
        <v>50</v>
      </c>
      <c r="E74" s="13" t="s">
        <v>37</v>
      </c>
      <c r="F74" s="13" t="s">
        <v>332</v>
      </c>
      <c r="G74" s="13" t="s">
        <v>1822</v>
      </c>
      <c r="H74" s="2"/>
      <c r="I74" s="2"/>
      <c r="J74" s="2"/>
      <c r="K74" s="2"/>
      <c r="L74" s="2"/>
      <c r="M74" s="2"/>
      <c r="N74" s="2"/>
      <c r="O74" s="2"/>
      <c r="P74" s="2"/>
      <c r="Q74" s="2"/>
      <c r="R74" s="2"/>
      <c r="S74" s="2"/>
      <c r="T74" s="2"/>
      <c r="U74" s="2"/>
      <c r="V74" s="2"/>
      <c r="W74" s="2"/>
      <c r="X74" s="2"/>
      <c r="Y74" s="2"/>
      <c r="Z74" s="2"/>
    </row>
    <row r="75" customHeight="1" spans="1:26">
      <c r="A75" s="64" t="s">
        <v>334</v>
      </c>
      <c r="B75" s="13" t="s">
        <v>335</v>
      </c>
      <c r="C75" s="13" t="s">
        <v>315</v>
      </c>
      <c r="D75" s="65">
        <v>50</v>
      </c>
      <c r="E75" s="13" t="s">
        <v>37</v>
      </c>
      <c r="F75" s="13" t="s">
        <v>336</v>
      </c>
      <c r="G75" s="74" t="s">
        <v>1823</v>
      </c>
      <c r="H75" s="2"/>
      <c r="I75" s="2"/>
      <c r="J75" s="2"/>
      <c r="K75" s="2"/>
      <c r="L75" s="2"/>
      <c r="M75" s="2"/>
      <c r="N75" s="2"/>
      <c r="O75" s="2"/>
      <c r="P75" s="2"/>
      <c r="Q75" s="2"/>
      <c r="R75" s="2"/>
      <c r="S75" s="2"/>
      <c r="T75" s="2"/>
      <c r="U75" s="2"/>
      <c r="V75" s="2"/>
      <c r="W75" s="2"/>
      <c r="X75" s="2"/>
      <c r="Y75" s="2"/>
      <c r="Z75" s="2"/>
    </row>
    <row r="76" customHeight="1" spans="1:26">
      <c r="A76" s="64" t="s">
        <v>338</v>
      </c>
      <c r="B76" s="13" t="s">
        <v>339</v>
      </c>
      <c r="C76" s="13" t="s">
        <v>315</v>
      </c>
      <c r="D76" s="65">
        <v>125</v>
      </c>
      <c r="E76" s="13" t="s">
        <v>262</v>
      </c>
      <c r="F76" s="13" t="s">
        <v>340</v>
      </c>
      <c r="G76" s="13" t="s">
        <v>1824</v>
      </c>
      <c r="H76" s="2"/>
      <c r="I76" s="2"/>
      <c r="J76" s="2"/>
      <c r="K76" s="2"/>
      <c r="L76" s="2"/>
      <c r="M76" s="2"/>
      <c r="N76" s="2"/>
      <c r="O76" s="2"/>
      <c r="P76" s="2"/>
      <c r="Q76" s="2"/>
      <c r="R76" s="2"/>
      <c r="S76" s="2"/>
      <c r="T76" s="2"/>
      <c r="U76" s="2"/>
      <c r="V76" s="2"/>
      <c r="W76" s="2"/>
      <c r="X76" s="2"/>
      <c r="Y76" s="2"/>
      <c r="Z76" s="2"/>
    </row>
    <row r="77" customHeight="1" spans="1:26">
      <c r="A77" s="64" t="s">
        <v>342</v>
      </c>
      <c r="B77" s="13" t="s">
        <v>343</v>
      </c>
      <c r="C77" s="13" t="s">
        <v>315</v>
      </c>
      <c r="D77" s="65">
        <v>45</v>
      </c>
      <c r="E77" s="13" t="s">
        <v>262</v>
      </c>
      <c r="F77" s="13" t="s">
        <v>344</v>
      </c>
      <c r="G77" s="13" t="s">
        <v>1825</v>
      </c>
      <c r="H77" s="2"/>
      <c r="I77" s="2"/>
      <c r="J77" s="2"/>
      <c r="K77" s="2"/>
      <c r="L77" s="2"/>
      <c r="M77" s="2"/>
      <c r="N77" s="2"/>
      <c r="O77" s="2"/>
      <c r="P77" s="2"/>
      <c r="Q77" s="2"/>
      <c r="R77" s="2"/>
      <c r="S77" s="2"/>
      <c r="T77" s="2"/>
      <c r="U77" s="2"/>
      <c r="V77" s="2"/>
      <c r="W77" s="2"/>
      <c r="X77" s="2"/>
      <c r="Y77" s="2"/>
      <c r="Z77" s="2"/>
    </row>
    <row r="78" customHeight="1" spans="1:26">
      <c r="A78" s="64" t="s">
        <v>346</v>
      </c>
      <c r="B78" s="13" t="s">
        <v>347</v>
      </c>
      <c r="C78" s="13" t="s">
        <v>315</v>
      </c>
      <c r="D78" s="65">
        <v>55</v>
      </c>
      <c r="E78" s="13" t="s">
        <v>37</v>
      </c>
      <c r="F78" s="13" t="s">
        <v>348</v>
      </c>
      <c r="G78" s="74" t="s">
        <v>1826</v>
      </c>
      <c r="H78" s="2"/>
      <c r="I78" s="2"/>
      <c r="J78" s="2"/>
      <c r="K78" s="2"/>
      <c r="L78" s="2"/>
      <c r="M78" s="2"/>
      <c r="N78" s="2"/>
      <c r="O78" s="2"/>
      <c r="P78" s="2"/>
      <c r="Q78" s="2"/>
      <c r="R78" s="2"/>
      <c r="S78" s="2"/>
      <c r="T78" s="2"/>
      <c r="U78" s="2"/>
      <c r="V78" s="2"/>
      <c r="W78" s="2"/>
      <c r="X78" s="2"/>
      <c r="Y78" s="2"/>
      <c r="Z78" s="2"/>
    </row>
    <row r="79" customHeight="1" spans="1:26">
      <c r="A79" s="64" t="s">
        <v>350</v>
      </c>
      <c r="B79" s="13" t="s">
        <v>351</v>
      </c>
      <c r="C79" s="13" t="s">
        <v>315</v>
      </c>
      <c r="D79" s="65">
        <v>20</v>
      </c>
      <c r="E79" s="13" t="s">
        <v>262</v>
      </c>
      <c r="F79" s="13" t="s">
        <v>352</v>
      </c>
      <c r="G79" s="13" t="s">
        <v>1827</v>
      </c>
      <c r="H79" s="2"/>
      <c r="I79" s="2"/>
      <c r="J79" s="2"/>
      <c r="K79" s="2"/>
      <c r="L79" s="2"/>
      <c r="M79" s="2"/>
      <c r="N79" s="2"/>
      <c r="O79" s="2"/>
      <c r="P79" s="2"/>
      <c r="Q79" s="2"/>
      <c r="R79" s="2"/>
      <c r="S79" s="2"/>
      <c r="T79" s="2"/>
      <c r="U79" s="2"/>
      <c r="V79" s="2"/>
      <c r="W79" s="2"/>
      <c r="X79" s="2"/>
      <c r="Y79" s="2"/>
      <c r="Z79" s="2"/>
    </row>
    <row r="80" customHeight="1" spans="1:26">
      <c r="A80" s="13" t="s">
        <v>354</v>
      </c>
      <c r="B80" s="13" t="s">
        <v>355</v>
      </c>
      <c r="C80" s="13" t="s">
        <v>356</v>
      </c>
      <c r="D80" s="65">
        <v>123</v>
      </c>
      <c r="E80" s="13" t="s">
        <v>310</v>
      </c>
      <c r="F80" s="13" t="s">
        <v>357</v>
      </c>
      <c r="G80" s="13" t="s">
        <v>1828</v>
      </c>
      <c r="H80" s="2"/>
      <c r="I80" s="2"/>
      <c r="J80" s="2"/>
      <c r="K80" s="2"/>
      <c r="L80" s="2"/>
      <c r="M80" s="2"/>
      <c r="N80" s="2"/>
      <c r="O80" s="2"/>
      <c r="P80" s="2"/>
      <c r="Q80" s="2"/>
      <c r="R80" s="2"/>
      <c r="S80" s="2"/>
      <c r="T80" s="2"/>
      <c r="U80" s="2"/>
      <c r="V80" s="2"/>
      <c r="W80" s="2"/>
      <c r="X80" s="2"/>
      <c r="Y80" s="2"/>
      <c r="Z80" s="2"/>
    </row>
    <row r="81" customHeight="1" spans="1:26">
      <c r="A81" s="13" t="s">
        <v>359</v>
      </c>
      <c r="B81" s="13" t="s">
        <v>1829</v>
      </c>
      <c r="C81" s="13" t="s">
        <v>361</v>
      </c>
      <c r="D81" s="65">
        <v>55</v>
      </c>
      <c r="E81" s="13" t="s">
        <v>310</v>
      </c>
      <c r="F81" s="13" t="s">
        <v>1830</v>
      </c>
      <c r="G81" s="13" t="s">
        <v>1831</v>
      </c>
      <c r="H81" s="2"/>
      <c r="I81" s="2"/>
      <c r="J81" s="2"/>
      <c r="K81" s="2"/>
      <c r="L81" s="2"/>
      <c r="M81" s="2"/>
      <c r="N81" s="2"/>
      <c r="O81" s="2"/>
      <c r="P81" s="2"/>
      <c r="Q81" s="2"/>
      <c r="R81" s="2"/>
      <c r="S81" s="2"/>
      <c r="T81" s="2"/>
      <c r="U81" s="2"/>
      <c r="V81" s="2"/>
      <c r="W81" s="2"/>
      <c r="X81" s="2"/>
      <c r="Y81" s="2"/>
      <c r="Z81" s="2"/>
    </row>
    <row r="82" customHeight="1" spans="1:26">
      <c r="A82" s="64" t="s">
        <v>364</v>
      </c>
      <c r="B82" s="13" t="s">
        <v>365</v>
      </c>
      <c r="C82" s="13" t="s">
        <v>366</v>
      </c>
      <c r="D82" s="65">
        <v>35</v>
      </c>
      <c r="E82" s="13" t="s">
        <v>262</v>
      </c>
      <c r="F82" s="13" t="s">
        <v>367</v>
      </c>
      <c r="G82" s="73" t="str">
        <f>HYPERLINK("http://www.ebay.be/","http://www.ebay.be/")</f>
        <v>http://www.ebay.be/</v>
      </c>
      <c r="H82" s="2"/>
      <c r="I82" s="2"/>
      <c r="J82" s="2"/>
      <c r="K82" s="2"/>
      <c r="L82" s="2"/>
      <c r="M82" s="2"/>
      <c r="N82" s="2"/>
      <c r="O82" s="2"/>
      <c r="P82" s="2"/>
      <c r="Q82" s="2"/>
      <c r="R82" s="2"/>
      <c r="S82" s="2"/>
      <c r="T82" s="2"/>
      <c r="U82" s="2"/>
      <c r="V82" s="2"/>
      <c r="W82" s="2"/>
      <c r="X82" s="2"/>
      <c r="Y82" s="2"/>
      <c r="Z82" s="2"/>
    </row>
    <row r="83" customHeight="1" spans="1:26">
      <c r="A83" s="64" t="s">
        <v>368</v>
      </c>
      <c r="B83" s="13" t="s">
        <v>369</v>
      </c>
      <c r="C83" s="13" t="s">
        <v>366</v>
      </c>
      <c r="D83" s="65">
        <v>30</v>
      </c>
      <c r="E83" s="13" t="s">
        <v>262</v>
      </c>
      <c r="F83" s="13" t="s">
        <v>370</v>
      </c>
      <c r="G83" s="73" t="str">
        <f>HYPERLINK("http://www.amazon.be/","http://www.amazon.be/")</f>
        <v>http://www.amazon.be/</v>
      </c>
      <c r="H83" s="2"/>
      <c r="I83" s="2"/>
      <c r="J83" s="2"/>
      <c r="K83" s="2"/>
      <c r="L83" s="2"/>
      <c r="M83" s="2"/>
      <c r="N83" s="2"/>
      <c r="O83" s="2"/>
      <c r="P83" s="2"/>
      <c r="Q83" s="2"/>
      <c r="R83" s="2"/>
      <c r="S83" s="2"/>
      <c r="T83" s="2"/>
      <c r="U83" s="2"/>
      <c r="V83" s="2"/>
      <c r="W83" s="2"/>
      <c r="X83" s="2"/>
      <c r="Y83" s="2"/>
      <c r="Z83" s="2"/>
    </row>
    <row r="84" customHeight="1" spans="1:26">
      <c r="A84" s="64" t="s">
        <v>371</v>
      </c>
      <c r="B84" s="13" t="s">
        <v>372</v>
      </c>
      <c r="C84" s="13" t="s">
        <v>373</v>
      </c>
      <c r="D84" s="65">
        <v>35</v>
      </c>
      <c r="E84" s="13" t="s">
        <v>37</v>
      </c>
      <c r="F84" s="13" t="s">
        <v>374</v>
      </c>
      <c r="G84" s="73" t="str">
        <f>HYPERLINK("http://www.next.be/","http://www.next.be/")</f>
        <v>http://www.next.be/</v>
      </c>
      <c r="H84" s="2"/>
      <c r="I84" s="2"/>
      <c r="J84" s="2"/>
      <c r="K84" s="2"/>
      <c r="L84" s="2"/>
      <c r="M84" s="2"/>
      <c r="N84" s="2"/>
      <c r="O84" s="2"/>
      <c r="P84" s="2"/>
      <c r="Q84" s="2"/>
      <c r="R84" s="2"/>
      <c r="S84" s="2"/>
      <c r="T84" s="2"/>
      <c r="U84" s="2"/>
      <c r="V84" s="2"/>
      <c r="W84" s="2"/>
      <c r="X84" s="2"/>
      <c r="Y84" s="2"/>
      <c r="Z84" s="2"/>
    </row>
    <row r="85" customHeight="1" spans="1:26">
      <c r="A85" s="64" t="s">
        <v>375</v>
      </c>
      <c r="B85" s="13" t="s">
        <v>1832</v>
      </c>
      <c r="C85" s="13" t="s">
        <v>373</v>
      </c>
      <c r="D85" s="65">
        <v>90</v>
      </c>
      <c r="E85" s="13" t="s">
        <v>37</v>
      </c>
      <c r="F85" s="13" t="s">
        <v>1833</v>
      </c>
      <c r="G85" s="13" t="s">
        <v>1834</v>
      </c>
      <c r="H85" s="2"/>
      <c r="I85" s="2"/>
      <c r="J85" s="2"/>
      <c r="K85" s="2"/>
      <c r="L85" s="2"/>
      <c r="M85" s="2"/>
      <c r="N85" s="2"/>
      <c r="O85" s="2"/>
      <c r="P85" s="2"/>
      <c r="Q85" s="2"/>
      <c r="R85" s="2"/>
      <c r="S85" s="2"/>
      <c r="T85" s="2"/>
      <c r="U85" s="2"/>
      <c r="V85" s="2"/>
      <c r="W85" s="2"/>
      <c r="X85" s="2"/>
      <c r="Y85" s="2"/>
      <c r="Z85" s="2"/>
    </row>
    <row r="86" customHeight="1" spans="1:26">
      <c r="A86" s="64" t="s">
        <v>379</v>
      </c>
      <c r="B86" s="13" t="s">
        <v>1835</v>
      </c>
      <c r="C86" s="13" t="s">
        <v>373</v>
      </c>
      <c r="D86" s="65">
        <v>66</v>
      </c>
      <c r="E86" s="13" t="s">
        <v>21</v>
      </c>
      <c r="F86" s="13" t="s">
        <v>1836</v>
      </c>
      <c r="G86" s="13" t="s">
        <v>1837</v>
      </c>
      <c r="H86" s="2"/>
      <c r="I86" s="2"/>
      <c r="J86" s="2"/>
      <c r="K86" s="2"/>
      <c r="L86" s="2"/>
      <c r="M86" s="2"/>
      <c r="N86" s="2"/>
      <c r="O86" s="2"/>
      <c r="P86" s="2"/>
      <c r="Q86" s="2"/>
      <c r="R86" s="2"/>
      <c r="S86" s="2"/>
      <c r="T86" s="2"/>
      <c r="U86" s="2"/>
      <c r="V86" s="2"/>
      <c r="W86" s="2"/>
      <c r="X86" s="2"/>
      <c r="Y86" s="2"/>
      <c r="Z86" s="2"/>
    </row>
    <row r="87" customHeight="1" spans="1:26">
      <c r="A87" s="13" t="s">
        <v>383</v>
      </c>
      <c r="B87" s="13" t="s">
        <v>1838</v>
      </c>
      <c r="C87" s="13" t="s">
        <v>373</v>
      </c>
      <c r="D87" s="65">
        <v>150</v>
      </c>
      <c r="E87" s="13" t="s">
        <v>310</v>
      </c>
      <c r="F87" s="13" t="s">
        <v>1839</v>
      </c>
      <c r="G87" s="13" t="s">
        <v>1840</v>
      </c>
      <c r="H87" s="2"/>
      <c r="I87" s="2"/>
      <c r="J87" s="2"/>
      <c r="K87" s="2"/>
      <c r="L87" s="2"/>
      <c r="M87" s="2"/>
      <c r="N87" s="2"/>
      <c r="O87" s="2"/>
      <c r="P87" s="2"/>
      <c r="Q87" s="2"/>
      <c r="R87" s="2"/>
      <c r="S87" s="2"/>
      <c r="T87" s="2"/>
      <c r="U87" s="2"/>
      <c r="V87" s="2"/>
      <c r="W87" s="2"/>
      <c r="X87" s="2"/>
      <c r="Y87" s="2"/>
      <c r="Z87" s="2"/>
    </row>
    <row r="88" customHeight="1" spans="1:26">
      <c r="A88" s="13" t="s">
        <v>387</v>
      </c>
      <c r="B88" s="13" t="s">
        <v>388</v>
      </c>
      <c r="C88" s="13" t="s">
        <v>373</v>
      </c>
      <c r="D88" s="65">
        <v>76</v>
      </c>
      <c r="E88" s="13" t="s">
        <v>37</v>
      </c>
      <c r="F88" s="13" t="s">
        <v>389</v>
      </c>
      <c r="G88" s="13" t="s">
        <v>1841</v>
      </c>
      <c r="H88" s="2"/>
      <c r="I88" s="2"/>
      <c r="J88" s="2"/>
      <c r="K88" s="2"/>
      <c r="L88" s="2"/>
      <c r="M88" s="2"/>
      <c r="N88" s="2"/>
      <c r="O88" s="2"/>
      <c r="P88" s="2"/>
      <c r="Q88" s="2"/>
      <c r="R88" s="2"/>
      <c r="S88" s="2"/>
      <c r="T88" s="2"/>
      <c r="U88" s="2"/>
      <c r="V88" s="2"/>
      <c r="W88" s="2"/>
      <c r="X88" s="2"/>
      <c r="Y88" s="2"/>
      <c r="Z88" s="2"/>
    </row>
    <row r="89" customHeight="1" spans="1:26">
      <c r="A89" s="13" t="s">
        <v>391</v>
      </c>
      <c r="B89" s="13" t="s">
        <v>392</v>
      </c>
      <c r="C89" s="13" t="s">
        <v>393</v>
      </c>
      <c r="D89" s="14">
        <v>3500</v>
      </c>
      <c r="E89" s="13" t="s">
        <v>21</v>
      </c>
      <c r="F89" s="13" t="s">
        <v>394</v>
      </c>
      <c r="G89" s="13" t="s">
        <v>1842</v>
      </c>
      <c r="H89" s="2"/>
      <c r="I89" s="2"/>
      <c r="J89" s="2"/>
      <c r="K89" s="2"/>
      <c r="L89" s="2"/>
      <c r="M89" s="2"/>
      <c r="N89" s="2"/>
      <c r="O89" s="2"/>
      <c r="P89" s="2"/>
      <c r="Q89" s="2"/>
      <c r="R89" s="2"/>
      <c r="S89" s="2"/>
      <c r="T89" s="2"/>
      <c r="U89" s="2"/>
      <c r="V89" s="2"/>
      <c r="W89" s="2"/>
      <c r="X89" s="2"/>
      <c r="Y89" s="2"/>
      <c r="Z89" s="2"/>
    </row>
    <row r="90" customHeight="1" spans="1:26">
      <c r="A90" s="13" t="s">
        <v>395</v>
      </c>
      <c r="B90" s="13" t="s">
        <v>396</v>
      </c>
      <c r="C90" s="13" t="s">
        <v>393</v>
      </c>
      <c r="D90" s="14">
        <v>1230</v>
      </c>
      <c r="E90" s="13" t="s">
        <v>21</v>
      </c>
      <c r="F90" s="13" t="s">
        <v>397</v>
      </c>
      <c r="G90" s="13" t="s">
        <v>398</v>
      </c>
      <c r="H90" s="2"/>
      <c r="I90" s="2"/>
      <c r="J90" s="2"/>
      <c r="K90" s="2"/>
      <c r="L90" s="2"/>
      <c r="M90" s="2"/>
      <c r="N90" s="2"/>
      <c r="O90" s="2"/>
      <c r="P90" s="2"/>
      <c r="Q90" s="2"/>
      <c r="R90" s="2"/>
      <c r="S90" s="2"/>
      <c r="T90" s="2"/>
      <c r="U90" s="2"/>
      <c r="V90" s="2"/>
      <c r="W90" s="2"/>
      <c r="X90" s="2"/>
      <c r="Y90" s="2"/>
      <c r="Z90" s="2"/>
    </row>
    <row r="91" customHeight="1" spans="1:26">
      <c r="A91" s="13" t="s">
        <v>399</v>
      </c>
      <c r="B91" s="13" t="s">
        <v>1843</v>
      </c>
      <c r="C91" s="13" t="s">
        <v>224</v>
      </c>
      <c r="D91" s="65">
        <v>130</v>
      </c>
      <c r="E91" s="13" t="s">
        <v>262</v>
      </c>
      <c r="F91" s="13" t="s">
        <v>1844</v>
      </c>
      <c r="G91" s="13" t="s">
        <v>1845</v>
      </c>
      <c r="H91" s="2"/>
      <c r="I91" s="2"/>
      <c r="J91" s="2"/>
      <c r="K91" s="2"/>
      <c r="L91" s="2"/>
      <c r="M91" s="2"/>
      <c r="N91" s="2"/>
      <c r="O91" s="2"/>
      <c r="P91" s="2"/>
      <c r="Q91" s="2"/>
      <c r="R91" s="2"/>
      <c r="S91" s="2"/>
      <c r="T91" s="2"/>
      <c r="U91" s="2"/>
      <c r="V91" s="2"/>
      <c r="W91" s="2"/>
      <c r="X91" s="2"/>
      <c r="Y91" s="2"/>
      <c r="Z91" s="2"/>
    </row>
    <row r="92" customHeight="1" spans="1:26">
      <c r="A92" s="13" t="s">
        <v>403</v>
      </c>
      <c r="B92" s="13" t="s">
        <v>1846</v>
      </c>
      <c r="C92" s="13" t="s">
        <v>229</v>
      </c>
      <c r="D92" s="65">
        <v>500</v>
      </c>
      <c r="E92" s="13" t="s">
        <v>21</v>
      </c>
      <c r="F92" s="13" t="s">
        <v>1847</v>
      </c>
      <c r="G92" s="13" t="s">
        <v>1848</v>
      </c>
      <c r="H92" s="2"/>
      <c r="I92" s="2"/>
      <c r="J92" s="2"/>
      <c r="K92" s="2"/>
      <c r="L92" s="2"/>
      <c r="M92" s="2"/>
      <c r="N92" s="2"/>
      <c r="O92" s="2"/>
      <c r="P92" s="2"/>
      <c r="Q92" s="2"/>
      <c r="R92" s="2"/>
      <c r="S92" s="2"/>
      <c r="T92" s="2"/>
      <c r="U92" s="2"/>
      <c r="V92" s="2"/>
      <c r="W92" s="2"/>
      <c r="X92" s="2"/>
      <c r="Y92" s="2"/>
      <c r="Z92" s="2"/>
    </row>
    <row r="93" customHeight="1" spans="1:26">
      <c r="A93" s="13" t="s">
        <v>407</v>
      </c>
      <c r="B93" s="13" t="s">
        <v>1103</v>
      </c>
      <c r="C93" s="13" t="s">
        <v>229</v>
      </c>
      <c r="D93" s="65">
        <v>350</v>
      </c>
      <c r="E93" s="13" t="s">
        <v>21</v>
      </c>
      <c r="F93" s="13" t="s">
        <v>1104</v>
      </c>
      <c r="G93" s="13" t="s">
        <v>1849</v>
      </c>
      <c r="H93" s="2"/>
      <c r="I93" s="2"/>
      <c r="J93" s="2"/>
      <c r="K93" s="2"/>
      <c r="L93" s="2"/>
      <c r="M93" s="2"/>
      <c r="N93" s="2"/>
      <c r="O93" s="2"/>
      <c r="P93" s="2"/>
      <c r="Q93" s="2"/>
      <c r="R93" s="2"/>
      <c r="S93" s="2"/>
      <c r="T93" s="2"/>
      <c r="U93" s="2"/>
      <c r="V93" s="2"/>
      <c r="W93" s="2"/>
      <c r="X93" s="2"/>
      <c r="Y93" s="2"/>
      <c r="Z93" s="2"/>
    </row>
    <row r="94" customHeight="1" spans="1:26">
      <c r="A94" s="13" t="s">
        <v>411</v>
      </c>
      <c r="B94" s="13" t="s">
        <v>1850</v>
      </c>
      <c r="C94" s="13" t="s">
        <v>413</v>
      </c>
      <c r="D94" s="14">
        <v>50</v>
      </c>
      <c r="E94" s="13" t="s">
        <v>310</v>
      </c>
      <c r="F94" s="13" t="s">
        <v>1851</v>
      </c>
      <c r="G94" s="13" t="s">
        <v>1852</v>
      </c>
      <c r="H94" s="2"/>
      <c r="I94" s="2"/>
      <c r="J94" s="2"/>
      <c r="K94" s="2"/>
      <c r="L94" s="2"/>
      <c r="M94" s="2"/>
      <c r="N94" s="2"/>
      <c r="O94" s="2"/>
      <c r="P94" s="2"/>
      <c r="Q94" s="2"/>
      <c r="R94" s="2"/>
      <c r="S94" s="2"/>
      <c r="T94" s="2"/>
      <c r="U94" s="2"/>
      <c r="V94" s="2"/>
      <c r="W94" s="2"/>
      <c r="X94" s="2"/>
      <c r="Y94" s="2"/>
      <c r="Z94" s="2"/>
    </row>
    <row r="95" customHeight="1" spans="1:26">
      <c r="A95" s="13" t="s">
        <v>416</v>
      </c>
      <c r="B95" s="13" t="s">
        <v>1853</v>
      </c>
      <c r="C95" s="13" t="s">
        <v>418</v>
      </c>
      <c r="D95" s="14">
        <v>35</v>
      </c>
      <c r="E95" s="13" t="s">
        <v>310</v>
      </c>
      <c r="F95" s="13" t="s">
        <v>1854</v>
      </c>
      <c r="G95" s="13" t="s">
        <v>1855</v>
      </c>
      <c r="H95" s="2"/>
      <c r="I95" s="2"/>
      <c r="J95" s="2"/>
      <c r="K95" s="2"/>
      <c r="L95" s="2"/>
      <c r="M95" s="2"/>
      <c r="N95" s="2"/>
      <c r="O95" s="2"/>
      <c r="P95" s="2"/>
      <c r="Q95" s="2"/>
      <c r="R95" s="2"/>
      <c r="S95" s="2"/>
      <c r="T95" s="2"/>
      <c r="U95" s="2"/>
      <c r="V95" s="2"/>
      <c r="W95" s="2"/>
      <c r="X95" s="2"/>
      <c r="Y95" s="2"/>
      <c r="Z95" s="2"/>
    </row>
    <row r="96" customHeight="1" spans="1:26">
      <c r="A96" s="13" t="s">
        <v>421</v>
      </c>
      <c r="B96" s="13" t="s">
        <v>1856</v>
      </c>
      <c r="C96" s="13" t="s">
        <v>423</v>
      </c>
      <c r="D96" s="14">
        <v>67</v>
      </c>
      <c r="E96" s="13" t="s">
        <v>310</v>
      </c>
      <c r="F96" s="13" t="s">
        <v>1857</v>
      </c>
      <c r="G96" s="13" t="s">
        <v>1858</v>
      </c>
      <c r="H96" s="2"/>
      <c r="I96" s="2"/>
      <c r="J96" s="2"/>
      <c r="K96" s="2"/>
      <c r="L96" s="2"/>
      <c r="M96" s="2"/>
      <c r="N96" s="2"/>
      <c r="O96" s="2"/>
      <c r="P96" s="2"/>
      <c r="Q96" s="2"/>
      <c r="R96" s="2"/>
      <c r="S96" s="2"/>
      <c r="T96" s="2"/>
      <c r="U96" s="2"/>
      <c r="V96" s="2"/>
      <c r="W96" s="2"/>
      <c r="X96" s="2"/>
      <c r="Y96" s="2"/>
      <c r="Z96" s="2"/>
    </row>
    <row r="97" customHeight="1" spans="1:26">
      <c r="A97" s="13" t="s">
        <v>426</v>
      </c>
      <c r="B97" s="13" t="s">
        <v>1859</v>
      </c>
      <c r="C97" s="13" t="s">
        <v>428</v>
      </c>
      <c r="D97" s="65">
        <v>13</v>
      </c>
      <c r="E97" s="13" t="s">
        <v>262</v>
      </c>
      <c r="F97" s="13" t="s">
        <v>1860</v>
      </c>
      <c r="G97" s="13" t="s">
        <v>1861</v>
      </c>
      <c r="H97" s="2"/>
      <c r="I97" s="2"/>
      <c r="J97" s="2"/>
      <c r="K97" s="2"/>
      <c r="L97" s="2"/>
      <c r="M97" s="2"/>
      <c r="N97" s="2"/>
      <c r="O97" s="2"/>
      <c r="P97" s="2"/>
      <c r="Q97" s="2"/>
      <c r="R97" s="2"/>
      <c r="S97" s="2"/>
      <c r="T97" s="2"/>
      <c r="U97" s="2"/>
      <c r="V97" s="2"/>
      <c r="W97" s="2"/>
      <c r="X97" s="2"/>
      <c r="Y97" s="2"/>
      <c r="Z97" s="2"/>
    </row>
    <row r="98" customHeight="1" spans="1:26">
      <c r="A98" s="13" t="s">
        <v>431</v>
      </c>
      <c r="B98" s="13" t="s">
        <v>1862</v>
      </c>
      <c r="C98" s="13" t="s">
        <v>428</v>
      </c>
      <c r="D98" s="65">
        <v>879</v>
      </c>
      <c r="E98" s="13" t="s">
        <v>21</v>
      </c>
      <c r="F98" s="13" t="s">
        <v>1863</v>
      </c>
      <c r="G98" s="13" t="s">
        <v>1864</v>
      </c>
      <c r="H98" s="2"/>
      <c r="I98" s="2"/>
      <c r="J98" s="2"/>
      <c r="K98" s="2"/>
      <c r="L98" s="2"/>
      <c r="M98" s="2"/>
      <c r="N98" s="2"/>
      <c r="O98" s="2"/>
      <c r="P98" s="2"/>
      <c r="Q98" s="2"/>
      <c r="R98" s="2"/>
      <c r="S98" s="2"/>
      <c r="T98" s="2"/>
      <c r="U98" s="2"/>
      <c r="V98" s="2"/>
      <c r="W98" s="2"/>
      <c r="X98" s="2"/>
      <c r="Y98" s="2"/>
      <c r="Z98" s="2"/>
    </row>
    <row r="99" customHeight="1" spans="1:26">
      <c r="A99" s="13" t="s">
        <v>435</v>
      </c>
      <c r="B99" s="13" t="s">
        <v>1865</v>
      </c>
      <c r="C99" s="13" t="s">
        <v>428</v>
      </c>
      <c r="D99" s="14">
        <v>1000</v>
      </c>
      <c r="E99" s="13" t="s">
        <v>21</v>
      </c>
      <c r="F99" s="13" t="s">
        <v>1866</v>
      </c>
      <c r="G99" s="13" t="s">
        <v>1867</v>
      </c>
      <c r="H99" s="2"/>
      <c r="I99" s="2"/>
      <c r="J99" s="2"/>
      <c r="K99" s="2"/>
      <c r="L99" s="2"/>
      <c r="M99" s="2"/>
      <c r="N99" s="2"/>
      <c r="O99" s="2"/>
      <c r="P99" s="2"/>
      <c r="Q99" s="2"/>
      <c r="R99" s="2"/>
      <c r="S99" s="2"/>
      <c r="T99" s="2"/>
      <c r="U99" s="2"/>
      <c r="V99" s="2"/>
      <c r="W99" s="2"/>
      <c r="X99" s="2"/>
      <c r="Y99" s="2"/>
      <c r="Z99" s="2"/>
    </row>
    <row r="100" customHeight="1" spans="1:26">
      <c r="A100" s="64" t="s">
        <v>439</v>
      </c>
      <c r="B100" s="13" t="s">
        <v>1868</v>
      </c>
      <c r="C100" s="13" t="s">
        <v>315</v>
      </c>
      <c r="D100" s="65">
        <v>15</v>
      </c>
      <c r="E100" s="13" t="s">
        <v>37</v>
      </c>
      <c r="F100" s="13" t="s">
        <v>1869</v>
      </c>
      <c r="G100" s="13" t="s">
        <v>1870</v>
      </c>
      <c r="H100" s="2"/>
      <c r="I100" s="2"/>
      <c r="J100" s="2"/>
      <c r="K100" s="2"/>
      <c r="L100" s="2"/>
      <c r="M100" s="2"/>
      <c r="N100" s="2"/>
      <c r="O100" s="2"/>
      <c r="P100" s="2"/>
      <c r="Q100" s="2"/>
      <c r="R100" s="2"/>
      <c r="S100" s="2"/>
      <c r="T100" s="2"/>
      <c r="U100" s="2"/>
      <c r="V100" s="2"/>
      <c r="W100" s="2"/>
      <c r="X100" s="2"/>
      <c r="Y100" s="2"/>
      <c r="Z100" s="2"/>
    </row>
    <row r="101" customHeight="1" spans="1:26">
      <c r="A101" s="13" t="s">
        <v>443</v>
      </c>
      <c r="B101" s="13" t="s">
        <v>1871</v>
      </c>
      <c r="C101" s="13" t="s">
        <v>445</v>
      </c>
      <c r="D101" s="14">
        <v>188</v>
      </c>
      <c r="E101" s="13" t="s">
        <v>310</v>
      </c>
      <c r="F101" s="13" t="s">
        <v>1872</v>
      </c>
      <c r="G101" s="13" t="s">
        <v>1873</v>
      </c>
      <c r="H101" s="2"/>
      <c r="I101" s="2"/>
      <c r="J101" s="2"/>
      <c r="K101" s="2"/>
      <c r="L101" s="2"/>
      <c r="M101" s="2"/>
      <c r="N101" s="2"/>
      <c r="O101" s="2"/>
      <c r="P101" s="2"/>
      <c r="Q101" s="2"/>
      <c r="R101" s="2"/>
      <c r="S101" s="2"/>
      <c r="T101" s="2"/>
      <c r="U101" s="2"/>
      <c r="V101" s="2"/>
      <c r="W101" s="2"/>
      <c r="X101" s="2"/>
      <c r="Y101" s="2"/>
      <c r="Z101" s="2"/>
    </row>
    <row r="102" customHeight="1" spans="1:26">
      <c r="A102" s="13" t="s">
        <v>448</v>
      </c>
      <c r="B102" s="13" t="s">
        <v>1874</v>
      </c>
      <c r="C102" s="13" t="s">
        <v>450</v>
      </c>
      <c r="D102" s="65">
        <v>95</v>
      </c>
      <c r="E102" s="13" t="s">
        <v>310</v>
      </c>
      <c r="F102" s="13" t="s">
        <v>1875</v>
      </c>
      <c r="G102" s="13" t="s">
        <v>1876</v>
      </c>
      <c r="H102" s="2"/>
      <c r="I102" s="2"/>
      <c r="J102" s="2"/>
      <c r="K102" s="2"/>
      <c r="L102" s="2"/>
      <c r="M102" s="2"/>
      <c r="N102" s="2"/>
      <c r="O102" s="2"/>
      <c r="P102" s="2"/>
      <c r="Q102" s="2"/>
      <c r="R102" s="2"/>
      <c r="S102" s="2"/>
      <c r="T102" s="2"/>
      <c r="U102" s="2"/>
      <c r="V102" s="2"/>
      <c r="W102" s="2"/>
      <c r="X102" s="2"/>
      <c r="Y102" s="2"/>
      <c r="Z102" s="2"/>
    </row>
    <row r="103" customHeight="1" spans="1:26">
      <c r="A103" s="13" t="s">
        <v>452</v>
      </c>
      <c r="B103" s="13" t="s">
        <v>314</v>
      </c>
      <c r="C103" s="13" t="s">
        <v>450</v>
      </c>
      <c r="D103" s="65">
        <v>89</v>
      </c>
      <c r="E103" s="13" t="s">
        <v>310</v>
      </c>
      <c r="F103" s="13" t="s">
        <v>1132</v>
      </c>
      <c r="G103" s="13" t="s">
        <v>1813</v>
      </c>
      <c r="H103" s="2"/>
      <c r="I103" s="2"/>
      <c r="J103" s="2"/>
      <c r="K103" s="2"/>
      <c r="L103" s="2"/>
      <c r="M103" s="2"/>
      <c r="N103" s="2"/>
      <c r="O103" s="2"/>
      <c r="P103" s="2"/>
      <c r="Q103" s="2"/>
      <c r="R103" s="2"/>
      <c r="S103" s="2"/>
      <c r="T103" s="2"/>
      <c r="U103" s="2"/>
      <c r="V103" s="2"/>
      <c r="W103" s="2"/>
      <c r="X103" s="2"/>
      <c r="Y103" s="2"/>
      <c r="Z103" s="2"/>
    </row>
    <row r="104" customHeight="1" spans="1:26">
      <c r="A104" s="13" t="s">
        <v>455</v>
      </c>
      <c r="B104" s="13" t="s">
        <v>1877</v>
      </c>
      <c r="C104" s="13" t="s">
        <v>457</v>
      </c>
      <c r="D104" s="14">
        <v>400</v>
      </c>
      <c r="E104" s="13" t="s">
        <v>21</v>
      </c>
      <c r="F104" s="13" t="s">
        <v>1878</v>
      </c>
      <c r="G104" s="13" t="s">
        <v>1879</v>
      </c>
      <c r="H104" s="2"/>
      <c r="I104" s="2"/>
      <c r="J104" s="2"/>
      <c r="K104" s="2"/>
      <c r="L104" s="2"/>
      <c r="M104" s="2"/>
      <c r="N104" s="2"/>
      <c r="O104" s="2"/>
      <c r="P104" s="2"/>
      <c r="Q104" s="2"/>
      <c r="R104" s="2"/>
      <c r="S104" s="2"/>
      <c r="T104" s="2"/>
      <c r="U104" s="2"/>
      <c r="V104" s="2"/>
      <c r="W104" s="2"/>
      <c r="X104" s="2"/>
      <c r="Y104" s="2"/>
      <c r="Z104" s="2"/>
    </row>
    <row r="105" customHeight="1" spans="1:26">
      <c r="A105" s="13" t="s">
        <v>460</v>
      </c>
      <c r="B105" s="13" t="s">
        <v>1880</v>
      </c>
      <c r="C105" s="13" t="s">
        <v>462</v>
      </c>
      <c r="D105" s="14">
        <v>8</v>
      </c>
      <c r="E105" s="13" t="s">
        <v>37</v>
      </c>
      <c r="F105" s="13"/>
      <c r="G105" s="13" t="s">
        <v>1881</v>
      </c>
      <c r="H105" s="2"/>
      <c r="I105" s="2"/>
      <c r="J105" s="2"/>
      <c r="K105" s="2"/>
      <c r="L105" s="2"/>
      <c r="M105" s="2"/>
      <c r="N105" s="2"/>
      <c r="O105" s="2"/>
      <c r="P105" s="2"/>
      <c r="Q105" s="2"/>
      <c r="R105" s="2"/>
      <c r="S105" s="2"/>
      <c r="T105" s="2"/>
      <c r="U105" s="2"/>
      <c r="V105" s="2"/>
      <c r="W105" s="2"/>
      <c r="X105" s="2"/>
      <c r="Y105" s="2"/>
      <c r="Z105" s="2"/>
    </row>
    <row r="106" customHeight="1" spans="1:26">
      <c r="A106" s="64" t="s">
        <v>465</v>
      </c>
      <c r="B106" s="13" t="s">
        <v>466</v>
      </c>
      <c r="C106" s="13" t="s">
        <v>315</v>
      </c>
      <c r="D106" s="65">
        <v>30</v>
      </c>
      <c r="E106" s="13" t="s">
        <v>21</v>
      </c>
      <c r="F106" s="13" t="s">
        <v>467</v>
      </c>
      <c r="G106" s="13" t="s">
        <v>1882</v>
      </c>
      <c r="H106" s="2"/>
      <c r="I106" s="2"/>
      <c r="J106" s="2"/>
      <c r="K106" s="2"/>
      <c r="L106" s="2"/>
      <c r="M106" s="2"/>
      <c r="N106" s="2"/>
      <c r="O106" s="2"/>
      <c r="P106" s="2"/>
      <c r="Q106" s="2"/>
      <c r="R106" s="2"/>
      <c r="S106" s="2"/>
      <c r="T106" s="2"/>
      <c r="U106" s="2"/>
      <c r="V106" s="2"/>
      <c r="W106" s="2"/>
      <c r="X106" s="2"/>
      <c r="Y106" s="2"/>
      <c r="Z106" s="2"/>
    </row>
    <row r="107" customHeight="1" spans="1:26">
      <c r="A107" s="13" t="s">
        <v>469</v>
      </c>
      <c r="B107" s="13" t="s">
        <v>1883</v>
      </c>
      <c r="C107" s="13" t="s">
        <v>471</v>
      </c>
      <c r="D107" s="14">
        <v>43</v>
      </c>
      <c r="E107" s="13" t="s">
        <v>310</v>
      </c>
      <c r="F107" s="13" t="s">
        <v>1884</v>
      </c>
      <c r="G107" s="13" t="s">
        <v>1885</v>
      </c>
      <c r="H107" s="2"/>
      <c r="I107" s="2"/>
      <c r="J107" s="2"/>
      <c r="K107" s="2"/>
      <c r="L107" s="2"/>
      <c r="M107" s="2"/>
      <c r="N107" s="2"/>
      <c r="O107" s="2"/>
      <c r="P107" s="2"/>
      <c r="Q107" s="2"/>
      <c r="R107" s="2"/>
      <c r="S107" s="2"/>
      <c r="T107" s="2"/>
      <c r="U107" s="2"/>
      <c r="V107" s="2"/>
      <c r="W107" s="2"/>
      <c r="X107" s="2"/>
      <c r="Y107" s="2"/>
      <c r="Z107" s="2"/>
    </row>
    <row r="108" customHeight="1" spans="1:26">
      <c r="A108" s="13" t="s">
        <v>474</v>
      </c>
      <c r="B108" s="13" t="s">
        <v>475</v>
      </c>
      <c r="C108" s="13" t="s">
        <v>476</v>
      </c>
      <c r="D108" s="65">
        <v>123</v>
      </c>
      <c r="E108" s="13" t="s">
        <v>310</v>
      </c>
      <c r="F108" s="13" t="s">
        <v>477</v>
      </c>
      <c r="G108" s="13" t="s">
        <v>478</v>
      </c>
      <c r="H108" s="2"/>
      <c r="I108" s="2"/>
      <c r="J108" s="2"/>
      <c r="K108" s="2"/>
      <c r="L108" s="2"/>
      <c r="M108" s="2"/>
      <c r="N108" s="2"/>
      <c r="O108" s="2"/>
      <c r="P108" s="2"/>
      <c r="Q108" s="2"/>
      <c r="R108" s="2"/>
      <c r="S108" s="2"/>
      <c r="T108" s="2"/>
      <c r="U108" s="2"/>
      <c r="V108" s="2"/>
      <c r="W108" s="2"/>
      <c r="X108" s="2"/>
      <c r="Y108" s="2"/>
      <c r="Z108" s="2"/>
    </row>
    <row r="109" customHeight="1" spans="1:26">
      <c r="A109" s="13" t="s">
        <v>479</v>
      </c>
      <c r="B109" s="13" t="s">
        <v>480</v>
      </c>
      <c r="C109" s="13" t="s">
        <v>476</v>
      </c>
      <c r="D109" s="65">
        <v>76</v>
      </c>
      <c r="E109" s="13" t="s">
        <v>310</v>
      </c>
      <c r="F109" s="13" t="s">
        <v>481</v>
      </c>
      <c r="G109" s="13" t="s">
        <v>1886</v>
      </c>
      <c r="H109" s="2"/>
      <c r="I109" s="2"/>
      <c r="J109" s="2"/>
      <c r="K109" s="2"/>
      <c r="L109" s="2"/>
      <c r="M109" s="2"/>
      <c r="N109" s="2"/>
      <c r="O109" s="2"/>
      <c r="P109" s="2"/>
      <c r="Q109" s="2"/>
      <c r="R109" s="2"/>
      <c r="S109" s="2"/>
      <c r="T109" s="2"/>
      <c r="U109" s="2"/>
      <c r="V109" s="2"/>
      <c r="W109" s="2"/>
      <c r="X109" s="2"/>
      <c r="Y109" s="2"/>
      <c r="Z109" s="2"/>
    </row>
    <row r="110" customHeight="1" spans="1:26">
      <c r="A110" s="64" t="s">
        <v>483</v>
      </c>
      <c r="B110" s="13" t="s">
        <v>484</v>
      </c>
      <c r="C110" s="13" t="s">
        <v>485</v>
      </c>
      <c r="D110" s="65">
        <v>77</v>
      </c>
      <c r="E110" s="13" t="s">
        <v>37</v>
      </c>
      <c r="F110" s="13" t="s">
        <v>486</v>
      </c>
      <c r="G110" s="13" t="s">
        <v>487</v>
      </c>
      <c r="H110" s="2"/>
      <c r="I110" s="2"/>
      <c r="J110" s="2"/>
      <c r="K110" s="2"/>
      <c r="L110" s="2"/>
      <c r="M110" s="2"/>
      <c r="N110" s="2"/>
      <c r="O110" s="2"/>
      <c r="P110" s="2"/>
      <c r="Q110" s="2"/>
      <c r="R110" s="2"/>
      <c r="S110" s="2"/>
      <c r="T110" s="2"/>
      <c r="U110" s="2"/>
      <c r="V110" s="2"/>
      <c r="W110" s="2"/>
      <c r="X110" s="2"/>
      <c r="Y110" s="2"/>
      <c r="Z110" s="2"/>
    </row>
    <row r="111" customHeight="1" spans="1:26">
      <c r="A111" s="13" t="s">
        <v>488</v>
      </c>
      <c r="B111" s="13" t="s">
        <v>1887</v>
      </c>
      <c r="C111" s="13" t="s">
        <v>490</v>
      </c>
      <c r="D111" s="14">
        <v>50</v>
      </c>
      <c r="E111" s="13" t="s">
        <v>37</v>
      </c>
      <c r="F111" s="13" t="s">
        <v>1888</v>
      </c>
      <c r="G111" s="13" t="s">
        <v>1889</v>
      </c>
      <c r="H111" s="2"/>
      <c r="I111" s="2"/>
      <c r="J111" s="2"/>
      <c r="K111" s="2"/>
      <c r="L111" s="2"/>
      <c r="M111" s="2"/>
      <c r="N111" s="2"/>
      <c r="O111" s="2"/>
      <c r="P111" s="2"/>
      <c r="Q111" s="2"/>
      <c r="R111" s="2"/>
      <c r="S111" s="2"/>
      <c r="T111" s="2"/>
      <c r="U111" s="2"/>
      <c r="V111" s="2"/>
      <c r="W111" s="2"/>
      <c r="X111" s="2"/>
      <c r="Y111" s="2"/>
      <c r="Z111" s="2"/>
    </row>
    <row r="112" customHeight="1" spans="1:26">
      <c r="A112" s="13" t="s">
        <v>493</v>
      </c>
      <c r="B112" s="13" t="s">
        <v>1890</v>
      </c>
      <c r="C112" s="13" t="s">
        <v>495</v>
      </c>
      <c r="D112" s="57"/>
      <c r="E112" s="57"/>
      <c r="F112" s="13" t="s">
        <v>1891</v>
      </c>
      <c r="G112" s="13" t="s">
        <v>1892</v>
      </c>
      <c r="H112" s="2"/>
      <c r="I112" s="2"/>
      <c r="J112" s="2"/>
      <c r="K112" s="2"/>
      <c r="L112" s="2"/>
      <c r="M112" s="2"/>
      <c r="N112" s="2"/>
      <c r="O112" s="2"/>
      <c r="P112" s="2"/>
      <c r="Q112" s="2"/>
      <c r="R112" s="2"/>
      <c r="S112" s="2"/>
      <c r="T112" s="2"/>
      <c r="U112" s="2"/>
      <c r="V112" s="2"/>
      <c r="W112" s="2"/>
      <c r="X112" s="2"/>
      <c r="Y112" s="2"/>
      <c r="Z112" s="2"/>
    </row>
    <row r="113" customHeight="1" spans="1:26">
      <c r="A113" s="13" t="s">
        <v>498</v>
      </c>
      <c r="B113" s="13" t="s">
        <v>499</v>
      </c>
      <c r="C113" s="13" t="s">
        <v>500</v>
      </c>
      <c r="D113" s="57"/>
      <c r="E113" s="57"/>
      <c r="F113" s="13" t="s">
        <v>501</v>
      </c>
      <c r="G113" s="13" t="s">
        <v>1893</v>
      </c>
      <c r="H113" s="2"/>
      <c r="I113" s="2"/>
      <c r="J113" s="2"/>
      <c r="K113" s="2"/>
      <c r="L113" s="2"/>
      <c r="M113" s="2"/>
      <c r="N113" s="2"/>
      <c r="O113" s="2"/>
      <c r="P113" s="2"/>
      <c r="Q113" s="2"/>
      <c r="R113" s="2"/>
      <c r="S113" s="2"/>
      <c r="T113" s="2"/>
      <c r="U113" s="2"/>
      <c r="V113" s="2"/>
      <c r="W113" s="2"/>
      <c r="X113" s="2"/>
      <c r="Y113" s="2"/>
      <c r="Z113" s="2"/>
    </row>
    <row r="114" customHeight="1" spans="1:26">
      <c r="A114" s="64" t="s">
        <v>503</v>
      </c>
      <c r="B114" s="13" t="s">
        <v>504</v>
      </c>
      <c r="C114" s="13" t="s">
        <v>505</v>
      </c>
      <c r="D114" s="65">
        <v>38</v>
      </c>
      <c r="E114" s="13" t="s">
        <v>37</v>
      </c>
      <c r="F114" s="13" t="s">
        <v>506</v>
      </c>
      <c r="G114" s="13" t="s">
        <v>1894</v>
      </c>
      <c r="H114" s="2"/>
      <c r="I114" s="2"/>
      <c r="J114" s="2"/>
      <c r="K114" s="2"/>
      <c r="L114" s="2"/>
      <c r="M114" s="2"/>
      <c r="N114" s="2"/>
      <c r="O114" s="2"/>
      <c r="P114" s="2"/>
      <c r="Q114" s="2"/>
      <c r="R114" s="2"/>
      <c r="S114" s="2"/>
      <c r="T114" s="2"/>
      <c r="U114" s="2"/>
      <c r="V114" s="2"/>
      <c r="W114" s="2"/>
      <c r="X114" s="2"/>
      <c r="Y114" s="2"/>
      <c r="Z114" s="2"/>
    </row>
    <row r="115" customHeight="1" spans="1:26">
      <c r="A115" s="13" t="s">
        <v>508</v>
      </c>
      <c r="B115" s="13" t="s">
        <v>1895</v>
      </c>
      <c r="C115" s="13" t="s">
        <v>510</v>
      </c>
      <c r="D115" s="14">
        <v>40</v>
      </c>
      <c r="E115" s="13" t="s">
        <v>37</v>
      </c>
      <c r="F115" s="13" t="s">
        <v>1896</v>
      </c>
      <c r="G115" s="13" t="s">
        <v>1897</v>
      </c>
      <c r="H115" s="2"/>
      <c r="I115" s="2"/>
      <c r="J115" s="2"/>
      <c r="K115" s="2"/>
      <c r="L115" s="2"/>
      <c r="M115" s="2"/>
      <c r="N115" s="2"/>
      <c r="O115" s="2"/>
      <c r="P115" s="2"/>
      <c r="Q115" s="2"/>
      <c r="R115" s="2"/>
      <c r="S115" s="2"/>
      <c r="T115" s="2"/>
      <c r="U115" s="2"/>
      <c r="V115" s="2"/>
      <c r="W115" s="2"/>
      <c r="X115" s="2"/>
      <c r="Y115" s="2"/>
      <c r="Z115" s="2"/>
    </row>
    <row r="116" customHeight="1" spans="1:26">
      <c r="A116" s="13" t="s">
        <v>513</v>
      </c>
      <c r="B116" s="13" t="s">
        <v>1898</v>
      </c>
      <c r="C116" s="13" t="s">
        <v>515</v>
      </c>
      <c r="D116" s="14">
        <v>40</v>
      </c>
      <c r="E116" s="13" t="s">
        <v>37</v>
      </c>
      <c r="F116" s="13" t="s">
        <v>1899</v>
      </c>
      <c r="G116" s="13" t="s">
        <v>1900</v>
      </c>
      <c r="H116" s="2"/>
      <c r="I116" s="2"/>
      <c r="J116" s="2"/>
      <c r="K116" s="2"/>
      <c r="L116" s="2"/>
      <c r="M116" s="2"/>
      <c r="N116" s="2"/>
      <c r="O116" s="2"/>
      <c r="P116" s="2"/>
      <c r="Q116" s="2"/>
      <c r="R116" s="2"/>
      <c r="S116" s="2"/>
      <c r="T116" s="2"/>
      <c r="U116" s="2"/>
      <c r="V116" s="2"/>
      <c r="W116" s="2"/>
      <c r="X116" s="2"/>
      <c r="Y116" s="2"/>
      <c r="Z116" s="2"/>
    </row>
    <row r="117" customHeight="1" spans="1:26">
      <c r="A117" s="13" t="s">
        <v>518</v>
      </c>
      <c r="B117" s="13" t="s">
        <v>1901</v>
      </c>
      <c r="C117" s="13" t="s">
        <v>519</v>
      </c>
      <c r="D117" s="14">
        <v>45</v>
      </c>
      <c r="E117" s="13" t="s">
        <v>37</v>
      </c>
      <c r="F117" s="13" t="s">
        <v>1902</v>
      </c>
      <c r="G117" s="13" t="s">
        <v>1903</v>
      </c>
      <c r="H117" s="2"/>
      <c r="I117" s="2"/>
      <c r="J117" s="2"/>
      <c r="K117" s="2"/>
      <c r="L117" s="2"/>
      <c r="M117" s="2"/>
      <c r="N117" s="2"/>
      <c r="O117" s="2"/>
      <c r="P117" s="2"/>
      <c r="Q117" s="2"/>
      <c r="R117" s="2"/>
      <c r="S117" s="2"/>
      <c r="T117" s="2"/>
      <c r="U117" s="2"/>
      <c r="V117" s="2"/>
      <c r="W117" s="2"/>
      <c r="X117" s="2"/>
      <c r="Y117" s="2"/>
      <c r="Z117" s="2"/>
    </row>
    <row r="118" customHeight="1" spans="1:26">
      <c r="A118" s="13" t="s">
        <v>520</v>
      </c>
      <c r="B118" s="13" t="s">
        <v>1904</v>
      </c>
      <c r="C118" s="13" t="s">
        <v>515</v>
      </c>
      <c r="D118" s="14">
        <v>50</v>
      </c>
      <c r="E118" s="13" t="s">
        <v>37</v>
      </c>
      <c r="F118" s="13" t="s">
        <v>1905</v>
      </c>
      <c r="G118" s="13" t="s">
        <v>1906</v>
      </c>
      <c r="H118" s="2"/>
      <c r="I118" s="2"/>
      <c r="J118" s="2"/>
      <c r="K118" s="2"/>
      <c r="L118" s="2"/>
      <c r="M118" s="2"/>
      <c r="N118" s="2"/>
      <c r="O118" s="2"/>
      <c r="P118" s="2"/>
      <c r="Q118" s="2"/>
      <c r="R118" s="2"/>
      <c r="S118" s="2"/>
      <c r="T118" s="2"/>
      <c r="U118" s="2"/>
      <c r="V118" s="2"/>
      <c r="W118" s="2"/>
      <c r="X118" s="2"/>
      <c r="Y118" s="2"/>
      <c r="Z118" s="2"/>
    </row>
    <row r="119" customHeight="1" spans="1:26">
      <c r="A119" s="64" t="s">
        <v>522</v>
      </c>
      <c r="B119" s="13" t="s">
        <v>523</v>
      </c>
      <c r="C119" s="13" t="s">
        <v>524</v>
      </c>
      <c r="D119" s="65">
        <v>90</v>
      </c>
      <c r="E119" s="13" t="s">
        <v>21</v>
      </c>
      <c r="F119" s="13" t="s">
        <v>525</v>
      </c>
      <c r="G119" s="74" t="s">
        <v>1907</v>
      </c>
      <c r="H119" s="2"/>
      <c r="I119" s="2"/>
      <c r="J119" s="2"/>
      <c r="K119" s="2"/>
      <c r="L119" s="2"/>
      <c r="M119" s="2"/>
      <c r="N119" s="2"/>
      <c r="O119" s="2"/>
      <c r="P119" s="2"/>
      <c r="Q119" s="2"/>
      <c r="R119" s="2"/>
      <c r="S119" s="2"/>
      <c r="T119" s="2"/>
      <c r="U119" s="2"/>
      <c r="V119" s="2"/>
      <c r="W119" s="2"/>
      <c r="X119" s="2"/>
      <c r="Y119" s="2"/>
      <c r="Z119" s="2"/>
    </row>
    <row r="120" customHeight="1" spans="1:26">
      <c r="A120" s="13" t="s">
        <v>527</v>
      </c>
      <c r="B120" s="13" t="s">
        <v>528</v>
      </c>
      <c r="C120" s="13" t="s">
        <v>529</v>
      </c>
      <c r="D120" s="57"/>
      <c r="E120" s="57"/>
      <c r="F120" s="13" t="s">
        <v>530</v>
      </c>
      <c r="G120" s="13" t="s">
        <v>531</v>
      </c>
      <c r="H120" s="2"/>
      <c r="I120" s="2"/>
      <c r="J120" s="2"/>
      <c r="K120" s="2"/>
      <c r="L120" s="2"/>
      <c r="M120" s="2"/>
      <c r="N120" s="2"/>
      <c r="O120" s="2"/>
      <c r="P120" s="2"/>
      <c r="Q120" s="2"/>
      <c r="R120" s="2"/>
      <c r="S120" s="2"/>
      <c r="T120" s="2"/>
      <c r="U120" s="2"/>
      <c r="V120" s="2"/>
      <c r="W120" s="2"/>
      <c r="X120" s="2"/>
      <c r="Y120" s="2"/>
      <c r="Z120" s="2"/>
    </row>
    <row r="121" customHeight="1" spans="1:26">
      <c r="A121" s="13" t="s">
        <v>532</v>
      </c>
      <c r="B121" s="13" t="s">
        <v>1908</v>
      </c>
      <c r="C121" s="13" t="s">
        <v>534</v>
      </c>
      <c r="D121" s="14">
        <v>120</v>
      </c>
      <c r="E121" s="13" t="s">
        <v>37</v>
      </c>
      <c r="F121" s="13" t="s">
        <v>1909</v>
      </c>
      <c r="G121" s="13" t="s">
        <v>1910</v>
      </c>
      <c r="H121" s="2"/>
      <c r="I121" s="2"/>
      <c r="J121" s="2"/>
      <c r="K121" s="2"/>
      <c r="L121" s="2"/>
      <c r="M121" s="2"/>
      <c r="N121" s="2"/>
      <c r="O121" s="2"/>
      <c r="P121" s="2"/>
      <c r="Q121" s="2"/>
      <c r="R121" s="2"/>
      <c r="S121" s="2"/>
      <c r="T121" s="2"/>
      <c r="U121" s="2"/>
      <c r="V121" s="2"/>
      <c r="W121" s="2"/>
      <c r="X121" s="2"/>
      <c r="Y121" s="2"/>
      <c r="Z121" s="2"/>
    </row>
    <row r="122" customHeight="1" spans="1:26">
      <c r="A122" s="64" t="s">
        <v>537</v>
      </c>
      <c r="B122" s="13" t="s">
        <v>1911</v>
      </c>
      <c r="C122" s="13" t="s">
        <v>539</v>
      </c>
      <c r="D122" s="65">
        <v>60</v>
      </c>
      <c r="E122" s="13" t="s">
        <v>37</v>
      </c>
      <c r="F122" s="13" t="s">
        <v>1912</v>
      </c>
      <c r="G122" s="13" t="s">
        <v>1913</v>
      </c>
      <c r="H122" s="2"/>
      <c r="I122" s="2"/>
      <c r="J122" s="2"/>
      <c r="K122" s="2"/>
      <c r="L122" s="2"/>
      <c r="M122" s="2"/>
      <c r="N122" s="2"/>
      <c r="O122" s="2"/>
      <c r="P122" s="2"/>
      <c r="Q122" s="2"/>
      <c r="R122" s="2"/>
      <c r="S122" s="2"/>
      <c r="T122" s="2"/>
      <c r="U122" s="2"/>
      <c r="V122" s="2"/>
      <c r="W122" s="2"/>
      <c r="X122" s="2"/>
      <c r="Y122" s="2"/>
      <c r="Z122" s="2"/>
    </row>
    <row r="123" customHeight="1" spans="1:26">
      <c r="A123" s="64" t="s">
        <v>542</v>
      </c>
      <c r="B123" s="13" t="s">
        <v>1914</v>
      </c>
      <c r="C123" s="13" t="s">
        <v>539</v>
      </c>
      <c r="D123" s="65">
        <v>50</v>
      </c>
      <c r="E123" s="13" t="s">
        <v>37</v>
      </c>
      <c r="F123" s="13" t="s">
        <v>1915</v>
      </c>
      <c r="G123" s="13" t="s">
        <v>1916</v>
      </c>
      <c r="H123" s="2"/>
      <c r="I123" s="2"/>
      <c r="J123" s="2"/>
      <c r="K123" s="2"/>
      <c r="L123" s="2"/>
      <c r="M123" s="2"/>
      <c r="N123" s="2"/>
      <c r="O123" s="2"/>
      <c r="P123" s="2"/>
      <c r="Q123" s="2"/>
      <c r="R123" s="2"/>
      <c r="S123" s="2"/>
      <c r="T123" s="2"/>
      <c r="U123" s="2"/>
      <c r="V123" s="2"/>
      <c r="W123" s="2"/>
      <c r="X123" s="2"/>
      <c r="Y123" s="2"/>
      <c r="Z123" s="2"/>
    </row>
    <row r="124" customHeight="1" spans="1:26">
      <c r="A124" s="13" t="s">
        <v>546</v>
      </c>
      <c r="B124" s="13" t="s">
        <v>1917</v>
      </c>
      <c r="C124" s="13" t="s">
        <v>548</v>
      </c>
      <c r="D124" s="14">
        <v>100</v>
      </c>
      <c r="E124" s="13" t="s">
        <v>37</v>
      </c>
      <c r="F124" s="13" t="s">
        <v>1918</v>
      </c>
      <c r="G124" s="13" t="s">
        <v>1919</v>
      </c>
      <c r="H124" s="2"/>
      <c r="I124" s="2"/>
      <c r="J124" s="2"/>
      <c r="K124" s="2"/>
      <c r="L124" s="2"/>
      <c r="M124" s="2"/>
      <c r="N124" s="2"/>
      <c r="O124" s="2"/>
      <c r="P124" s="2"/>
      <c r="Q124" s="2"/>
      <c r="R124" s="2"/>
      <c r="S124" s="2"/>
      <c r="T124" s="2"/>
      <c r="U124" s="2"/>
      <c r="V124" s="2"/>
      <c r="W124" s="2"/>
      <c r="X124" s="2"/>
      <c r="Y124" s="2"/>
      <c r="Z124" s="2"/>
    </row>
    <row r="125" customHeight="1" spans="1:26">
      <c r="A125" s="64" t="s">
        <v>551</v>
      </c>
      <c r="B125" s="13" t="s">
        <v>1920</v>
      </c>
      <c r="C125" s="13" t="s">
        <v>553</v>
      </c>
      <c r="D125" s="65">
        <v>30</v>
      </c>
      <c r="E125" s="13" t="s">
        <v>37</v>
      </c>
      <c r="F125" s="13"/>
      <c r="G125" s="13" t="s">
        <v>1921</v>
      </c>
      <c r="H125" s="2"/>
      <c r="I125" s="2"/>
      <c r="J125" s="2"/>
      <c r="K125" s="2"/>
      <c r="L125" s="2"/>
      <c r="M125" s="2"/>
      <c r="N125" s="2"/>
      <c r="O125" s="2"/>
      <c r="P125" s="2"/>
      <c r="Q125" s="2"/>
      <c r="R125" s="2"/>
      <c r="S125" s="2"/>
      <c r="T125" s="2"/>
      <c r="U125" s="2"/>
      <c r="V125" s="2"/>
      <c r="W125" s="2"/>
      <c r="X125" s="2"/>
      <c r="Y125" s="2"/>
      <c r="Z125" s="2"/>
    </row>
    <row r="126" customHeight="1" spans="1:26">
      <c r="A126" s="13" t="s">
        <v>556</v>
      </c>
      <c r="B126" s="13" t="s">
        <v>1920</v>
      </c>
      <c r="C126" s="13" t="s">
        <v>557</v>
      </c>
      <c r="D126" s="14">
        <v>30</v>
      </c>
      <c r="E126" s="13" t="s">
        <v>37</v>
      </c>
      <c r="F126" s="13"/>
      <c r="G126" s="13" t="s">
        <v>1921</v>
      </c>
      <c r="H126" s="2"/>
      <c r="I126" s="2"/>
      <c r="J126" s="2"/>
      <c r="K126" s="2"/>
      <c r="L126" s="2"/>
      <c r="M126" s="2"/>
      <c r="N126" s="2"/>
      <c r="O126" s="2"/>
      <c r="P126" s="2"/>
      <c r="Q126" s="2"/>
      <c r="R126" s="2"/>
      <c r="S126" s="2"/>
      <c r="T126" s="2"/>
      <c r="U126" s="2"/>
      <c r="V126" s="2"/>
      <c r="W126" s="2"/>
      <c r="X126" s="2"/>
      <c r="Y126" s="2"/>
      <c r="Z126" s="2"/>
    </row>
    <row r="127" customHeight="1" spans="1:26">
      <c r="A127" s="13" t="s">
        <v>558</v>
      </c>
      <c r="B127" s="13" t="s">
        <v>1922</v>
      </c>
      <c r="C127" s="13" t="s">
        <v>560</v>
      </c>
      <c r="D127" s="14">
        <v>40</v>
      </c>
      <c r="E127" s="13" t="s">
        <v>37</v>
      </c>
      <c r="F127" s="13" t="s">
        <v>1923</v>
      </c>
      <c r="G127" s="13" t="s">
        <v>1924</v>
      </c>
      <c r="H127" s="2"/>
      <c r="I127" s="2"/>
      <c r="J127" s="2"/>
      <c r="K127" s="2"/>
      <c r="L127" s="2"/>
      <c r="M127" s="2"/>
      <c r="N127" s="2"/>
      <c r="O127" s="2"/>
      <c r="P127" s="2"/>
      <c r="Q127" s="2"/>
      <c r="R127" s="2"/>
      <c r="S127" s="2"/>
      <c r="T127" s="2"/>
      <c r="U127" s="2"/>
      <c r="V127" s="2"/>
      <c r="W127" s="2"/>
      <c r="X127" s="2"/>
      <c r="Y127" s="2"/>
      <c r="Z127" s="2"/>
    </row>
    <row r="128" customHeight="1" spans="1:26">
      <c r="A128" s="13" t="s">
        <v>563</v>
      </c>
      <c r="B128" s="13" t="s">
        <v>1925</v>
      </c>
      <c r="C128" s="13" t="s">
        <v>565</v>
      </c>
      <c r="D128" s="14">
        <v>80</v>
      </c>
      <c r="E128" s="13" t="s">
        <v>37</v>
      </c>
      <c r="F128" s="13" t="s">
        <v>1926</v>
      </c>
      <c r="G128" s="13" t="s">
        <v>1927</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569</v>
      </c>
      <c r="C129" s="10" t="s">
        <v>570</v>
      </c>
      <c r="D129" s="2"/>
      <c r="E129" s="2"/>
      <c r="F129" s="2" t="s">
        <v>571</v>
      </c>
      <c r="G129" s="2" t="s">
        <v>1928</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1203</v>
      </c>
      <c r="C130" s="2" t="s">
        <v>570</v>
      </c>
      <c r="D130" s="2"/>
      <c r="E130" s="2"/>
      <c r="F130" s="2" t="s">
        <v>574</v>
      </c>
      <c r="G130" s="2" t="s">
        <v>575</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1929</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1930</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1930</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1931</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1932</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1209</v>
      </c>
      <c r="C136" s="11" t="s">
        <v>578</v>
      </c>
      <c r="D136" s="2"/>
      <c r="E136" s="2"/>
      <c r="F136" s="2" t="s">
        <v>589</v>
      </c>
      <c r="G136" s="2" t="s">
        <v>1933</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1934</v>
      </c>
      <c r="C137" s="11" t="s">
        <v>578</v>
      </c>
      <c r="D137" s="2"/>
      <c r="E137" s="2"/>
      <c r="F137" s="2" t="s">
        <v>1935</v>
      </c>
      <c r="G137" s="2" t="s">
        <v>1936</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1937</v>
      </c>
      <c r="C138" s="11" t="s">
        <v>578</v>
      </c>
      <c r="D138" s="2"/>
      <c r="E138" s="2"/>
      <c r="F138" s="2" t="s">
        <v>1938</v>
      </c>
      <c r="G138" s="2" t="s">
        <v>1939</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1940</v>
      </c>
      <c r="C139" s="11" t="s">
        <v>578</v>
      </c>
      <c r="D139" s="2"/>
      <c r="E139" s="2"/>
      <c r="F139" s="2" t="s">
        <v>1941</v>
      </c>
      <c r="G139" s="2" t="s">
        <v>1942</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1943</v>
      </c>
      <c r="C140" s="11" t="s">
        <v>578</v>
      </c>
      <c r="D140" s="2"/>
      <c r="E140" s="2"/>
      <c r="F140" s="2" t="s">
        <v>1944</v>
      </c>
      <c r="G140" s="2" t="s">
        <v>1945</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1946</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127" t="s">
        <v>1947</v>
      </c>
      <c r="C145" s="11" t="s">
        <v>612</v>
      </c>
      <c r="D145" s="2"/>
      <c r="E145" s="2"/>
      <c r="F145" s="2"/>
      <c r="G145" s="2" t="s">
        <v>1948</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127" t="s">
        <v>1949</v>
      </c>
      <c r="C146" s="11" t="s">
        <v>612</v>
      </c>
      <c r="D146" s="2"/>
      <c r="E146" s="2"/>
      <c r="F146" s="2" t="s">
        <v>1950</v>
      </c>
      <c r="G146" s="2" t="s">
        <v>1951</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1952</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1953</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1954</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1955</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1956</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1957</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1958</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1959</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1239</v>
      </c>
      <c r="C157" s="13" t="s">
        <v>648</v>
      </c>
      <c r="D157" s="14">
        <v>120</v>
      </c>
      <c r="E157" s="13" t="s">
        <v>37</v>
      </c>
      <c r="F157" s="13" t="s">
        <v>649</v>
      </c>
      <c r="G157" s="13" t="s">
        <v>650</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1960</v>
      </c>
      <c r="C158" s="11" t="s">
        <v>653</v>
      </c>
      <c r="D158" s="2"/>
      <c r="E158" s="2"/>
      <c r="F158" s="2" t="s">
        <v>1961</v>
      </c>
      <c r="G158" s="2" t="s">
        <v>1962</v>
      </c>
      <c r="H158" s="2"/>
      <c r="I158" s="2"/>
      <c r="J158" s="2"/>
      <c r="K158" s="2"/>
      <c r="L158" s="2"/>
      <c r="M158" s="2"/>
      <c r="N158" s="2"/>
      <c r="O158" s="2"/>
      <c r="P158" s="2"/>
      <c r="Q158" s="2"/>
      <c r="R158" s="2"/>
      <c r="S158" s="2"/>
      <c r="T158" s="2"/>
      <c r="U158" s="2"/>
      <c r="V158" s="2"/>
      <c r="W158" s="2"/>
      <c r="X158" s="2"/>
      <c r="Y158" s="2"/>
      <c r="Z158" s="2"/>
    </row>
    <row r="159" ht="13.5" customHeight="1" spans="1:26">
      <c r="A159" s="2"/>
      <c r="B159" s="2"/>
      <c r="C159" s="11"/>
      <c r="D159" s="2"/>
      <c r="E159" s="2"/>
      <c r="F159" s="2"/>
      <c r="G159" s="2"/>
      <c r="H159" s="2"/>
      <c r="I159" s="2"/>
      <c r="J159" s="2"/>
      <c r="K159" s="2"/>
      <c r="L159" s="2"/>
      <c r="M159" s="2"/>
      <c r="N159" s="2"/>
      <c r="O159" s="2"/>
      <c r="P159" s="2"/>
      <c r="Q159" s="2"/>
      <c r="R159" s="2"/>
      <c r="S159" s="2"/>
      <c r="T159" s="2"/>
      <c r="U159" s="2"/>
      <c r="V159" s="2"/>
      <c r="W159" s="2"/>
      <c r="X159" s="2"/>
      <c r="Y159" s="2"/>
      <c r="Z159" s="2"/>
    </row>
    <row r="160" customHeight="1" spans="1:26">
      <c r="A160" s="52" t="s">
        <v>680</v>
      </c>
      <c r="B160" s="52" t="s">
        <v>1709</v>
      </c>
      <c r="C160" s="52" t="s">
        <v>680</v>
      </c>
      <c r="D160" s="184"/>
      <c r="E160" s="52" t="s">
        <v>97</v>
      </c>
      <c r="F160" s="184"/>
      <c r="G160" s="52" t="s">
        <v>1963</v>
      </c>
      <c r="H160" s="2"/>
      <c r="I160" s="2"/>
      <c r="J160" s="2"/>
      <c r="K160" s="2"/>
      <c r="L160" s="2"/>
      <c r="M160" s="2"/>
      <c r="N160" s="2"/>
      <c r="O160" s="2"/>
      <c r="P160" s="2"/>
      <c r="Q160" s="2"/>
      <c r="R160" s="2"/>
      <c r="S160" s="2"/>
      <c r="T160" s="2"/>
      <c r="U160" s="2"/>
      <c r="V160" s="2"/>
      <c r="W160" s="2"/>
      <c r="X160" s="2"/>
      <c r="Y160" s="2"/>
      <c r="Z160" s="2"/>
    </row>
    <row r="161" customHeight="1" spans="1:26">
      <c r="A161" s="52" t="s">
        <v>680</v>
      </c>
      <c r="B161" s="52" t="s">
        <v>1964</v>
      </c>
      <c r="C161" s="184"/>
      <c r="D161" s="184"/>
      <c r="E161" s="184"/>
      <c r="F161" s="184"/>
      <c r="G161" s="52" t="s">
        <v>1965</v>
      </c>
      <c r="H161" s="2"/>
      <c r="I161" s="2"/>
      <c r="J161" s="2"/>
      <c r="K161" s="2"/>
      <c r="L161" s="2"/>
      <c r="M161" s="2"/>
      <c r="N161" s="2"/>
      <c r="O161" s="2"/>
      <c r="P161" s="2"/>
      <c r="Q161" s="2"/>
      <c r="R161" s="2"/>
      <c r="S161" s="2"/>
      <c r="T161" s="2"/>
      <c r="U161" s="2"/>
      <c r="V161" s="2"/>
      <c r="W161" s="2"/>
      <c r="X161" s="2"/>
      <c r="Y161" s="2"/>
      <c r="Z161" s="2"/>
    </row>
    <row r="162" customHeight="1" spans="1:26">
      <c r="A162" s="52" t="s">
        <v>680</v>
      </c>
      <c r="B162" s="52" t="s">
        <v>1700</v>
      </c>
      <c r="C162" s="184"/>
      <c r="D162" s="184"/>
      <c r="E162" s="184"/>
      <c r="F162" s="184"/>
      <c r="G162" s="52" t="s">
        <v>1966</v>
      </c>
      <c r="H162" s="2"/>
      <c r="I162" s="2"/>
      <c r="J162" s="2"/>
      <c r="K162" s="2"/>
      <c r="L162" s="2"/>
      <c r="M162" s="2"/>
      <c r="N162" s="2"/>
      <c r="O162" s="2"/>
      <c r="P162" s="2"/>
      <c r="Q162" s="2"/>
      <c r="R162" s="2"/>
      <c r="S162" s="2"/>
      <c r="T162" s="2"/>
      <c r="U162" s="2"/>
      <c r="V162" s="2"/>
      <c r="W162" s="2"/>
      <c r="X162" s="2"/>
      <c r="Y162" s="2"/>
      <c r="Z162" s="2"/>
    </row>
    <row r="163" customHeight="1" spans="1:26">
      <c r="A163" s="52" t="s">
        <v>680</v>
      </c>
      <c r="B163" s="52" t="s">
        <v>1967</v>
      </c>
      <c r="C163" s="184"/>
      <c r="D163" s="184"/>
      <c r="E163" s="184"/>
      <c r="F163" s="184"/>
      <c r="G163" s="52" t="s">
        <v>1968</v>
      </c>
      <c r="H163" s="2"/>
      <c r="I163" s="2"/>
      <c r="J163" s="2"/>
      <c r="K163" s="2"/>
      <c r="L163" s="2"/>
      <c r="M163" s="2"/>
      <c r="N163" s="2"/>
      <c r="O163" s="2"/>
      <c r="P163" s="2"/>
      <c r="Q163" s="2"/>
      <c r="R163" s="2"/>
      <c r="S163" s="2"/>
      <c r="T163" s="2"/>
      <c r="U163" s="2"/>
      <c r="V163" s="2"/>
      <c r="W163" s="2"/>
      <c r="X163" s="2"/>
      <c r="Y163" s="2"/>
      <c r="Z163" s="2"/>
    </row>
    <row r="164" customHeight="1" spans="1:26">
      <c r="A164" s="52" t="s">
        <v>753</v>
      </c>
      <c r="B164" s="52" t="s">
        <v>1969</v>
      </c>
      <c r="C164" s="52" t="s">
        <v>755</v>
      </c>
      <c r="D164" s="184">
        <v>40</v>
      </c>
      <c r="E164" s="52" t="s">
        <v>97</v>
      </c>
      <c r="F164" s="184"/>
      <c r="G164" s="52" t="s">
        <v>1970</v>
      </c>
      <c r="H164" s="2"/>
      <c r="I164" s="2"/>
      <c r="J164" s="2"/>
      <c r="K164" s="2"/>
      <c r="L164" s="2"/>
      <c r="M164" s="2"/>
      <c r="N164" s="2"/>
      <c r="O164" s="2"/>
      <c r="P164" s="2"/>
      <c r="Q164" s="2"/>
      <c r="R164" s="2"/>
      <c r="S164" s="2"/>
      <c r="T164" s="2"/>
      <c r="U164" s="2"/>
      <c r="V164" s="2"/>
      <c r="W164" s="2"/>
      <c r="X164" s="2"/>
      <c r="Y164" s="2"/>
      <c r="Z164" s="2"/>
    </row>
    <row r="165" customHeight="1" spans="1:26">
      <c r="A165" s="52" t="s">
        <v>753</v>
      </c>
      <c r="B165" s="52" t="s">
        <v>1971</v>
      </c>
      <c r="C165" s="184"/>
      <c r="D165" s="184"/>
      <c r="E165" s="184"/>
      <c r="F165" s="184"/>
      <c r="G165" s="52" t="s">
        <v>1972</v>
      </c>
      <c r="H165" s="2"/>
      <c r="I165" s="2"/>
      <c r="J165" s="2"/>
      <c r="K165" s="2"/>
      <c r="L165" s="2"/>
      <c r="M165" s="2"/>
      <c r="N165" s="2"/>
      <c r="O165" s="2"/>
      <c r="P165" s="2"/>
      <c r="Q165" s="2"/>
      <c r="R165" s="2"/>
      <c r="S165" s="2"/>
      <c r="T165" s="2"/>
      <c r="U165" s="2"/>
      <c r="V165" s="2"/>
      <c r="W165" s="2"/>
      <c r="X165" s="2"/>
      <c r="Y165" s="2"/>
      <c r="Z165" s="2"/>
    </row>
    <row r="166" customHeight="1" spans="1:26">
      <c r="A166" s="52" t="s">
        <v>753</v>
      </c>
      <c r="B166" s="52" t="s">
        <v>1973</v>
      </c>
      <c r="C166" s="184"/>
      <c r="D166" s="184"/>
      <c r="E166" s="184"/>
      <c r="F166" s="184"/>
      <c r="G166" s="52" t="s">
        <v>1974</v>
      </c>
      <c r="H166" s="2"/>
      <c r="I166" s="2"/>
      <c r="J166" s="2"/>
      <c r="K166" s="2"/>
      <c r="L166" s="2"/>
      <c r="M166" s="2"/>
      <c r="N166" s="2"/>
      <c r="O166" s="2"/>
      <c r="P166" s="2"/>
      <c r="Q166" s="2"/>
      <c r="R166" s="2"/>
      <c r="S166" s="2"/>
      <c r="T166" s="2"/>
      <c r="U166" s="2"/>
      <c r="V166" s="2"/>
      <c r="W166" s="2"/>
      <c r="X166" s="2"/>
      <c r="Y166" s="2"/>
      <c r="Z166" s="2"/>
    </row>
    <row r="167" customHeight="1" spans="1:26">
      <c r="A167" s="52" t="s">
        <v>853</v>
      </c>
      <c r="B167" s="52" t="s">
        <v>1975</v>
      </c>
      <c r="C167" s="184"/>
      <c r="D167" s="184"/>
      <c r="E167" s="184"/>
      <c r="F167" s="184"/>
      <c r="G167" s="52" t="s">
        <v>1976</v>
      </c>
      <c r="H167" s="2"/>
      <c r="I167" s="2"/>
      <c r="J167" s="2"/>
      <c r="K167" s="2"/>
      <c r="L167" s="2"/>
      <c r="M167" s="2"/>
      <c r="N167" s="2"/>
      <c r="O167" s="2"/>
      <c r="P167" s="2"/>
      <c r="Q167" s="2"/>
      <c r="R167" s="2"/>
      <c r="S167" s="2"/>
      <c r="T167" s="2"/>
      <c r="U167" s="2"/>
      <c r="V167" s="2"/>
      <c r="W167" s="2"/>
      <c r="X167" s="2"/>
      <c r="Y167" s="2"/>
      <c r="Z167" s="2"/>
    </row>
    <row r="168" customHeight="1" spans="1:26">
      <c r="A168" s="52" t="s">
        <v>853</v>
      </c>
      <c r="B168" s="52" t="s">
        <v>1977</v>
      </c>
      <c r="C168" s="184"/>
      <c r="D168" s="184"/>
      <c r="E168" s="184"/>
      <c r="F168" s="184"/>
      <c r="G168" s="52" t="s">
        <v>1978</v>
      </c>
      <c r="H168" s="2"/>
      <c r="I168" s="2"/>
      <c r="J168" s="2"/>
      <c r="K168" s="2"/>
      <c r="L168" s="2"/>
      <c r="M168" s="2"/>
      <c r="N168" s="2"/>
      <c r="O168" s="2"/>
      <c r="P168" s="2"/>
      <c r="Q168" s="2"/>
      <c r="R168" s="2"/>
      <c r="S168" s="2"/>
      <c r="T168" s="2"/>
      <c r="U168" s="2"/>
      <c r="V168" s="2"/>
      <c r="W168" s="2"/>
      <c r="X168" s="2"/>
      <c r="Y168" s="2"/>
      <c r="Z168" s="2"/>
    </row>
    <row r="169" customHeight="1" spans="1:26">
      <c r="A169" s="52" t="s">
        <v>853</v>
      </c>
      <c r="B169" s="52" t="s">
        <v>1979</v>
      </c>
      <c r="C169" s="184"/>
      <c r="D169" s="184"/>
      <c r="E169" s="184"/>
      <c r="F169" s="184"/>
      <c r="G169" s="52" t="s">
        <v>1980</v>
      </c>
      <c r="H169" s="2"/>
      <c r="I169" s="2"/>
      <c r="J169" s="2"/>
      <c r="K169" s="2"/>
      <c r="L169" s="2"/>
      <c r="M169" s="2"/>
      <c r="N169" s="2"/>
      <c r="O169" s="2"/>
      <c r="P169" s="2"/>
      <c r="Q169" s="2"/>
      <c r="R169" s="2"/>
      <c r="S169" s="2"/>
      <c r="T169" s="2"/>
      <c r="U169" s="2"/>
      <c r="V169" s="2"/>
      <c r="W169" s="2"/>
      <c r="X169" s="2"/>
      <c r="Y169" s="2"/>
      <c r="Z169" s="2"/>
    </row>
    <row r="170" customHeight="1" spans="1:26">
      <c r="A170" s="52" t="s">
        <v>853</v>
      </c>
      <c r="B170" s="52" t="s">
        <v>1981</v>
      </c>
      <c r="C170" s="184"/>
      <c r="D170" s="184"/>
      <c r="E170" s="184"/>
      <c r="F170" s="184"/>
      <c r="G170" s="52" t="s">
        <v>1982</v>
      </c>
      <c r="H170" s="2"/>
      <c r="I170" s="2"/>
      <c r="J170" s="2"/>
      <c r="K170" s="2"/>
      <c r="L170" s="2"/>
      <c r="M170" s="2"/>
      <c r="N170" s="2"/>
      <c r="O170" s="2"/>
      <c r="P170" s="2"/>
      <c r="Q170" s="2"/>
      <c r="R170" s="2"/>
      <c r="S170" s="2"/>
      <c r="T170" s="2"/>
      <c r="U170" s="2"/>
      <c r="V170" s="2"/>
      <c r="W170" s="2"/>
      <c r="X170" s="2"/>
      <c r="Y170" s="2"/>
      <c r="Z170" s="2"/>
    </row>
    <row r="171" customHeight="1" spans="1:26">
      <c r="A171" s="52" t="s">
        <v>770</v>
      </c>
      <c r="B171" s="52" t="s">
        <v>1983</v>
      </c>
      <c r="C171" s="184"/>
      <c r="D171" s="184"/>
      <c r="E171" s="184"/>
      <c r="F171" s="184"/>
      <c r="G171" s="52" t="s">
        <v>1984</v>
      </c>
      <c r="H171" s="2"/>
      <c r="I171" s="2"/>
      <c r="J171" s="2"/>
      <c r="K171" s="2"/>
      <c r="L171" s="2"/>
      <c r="M171" s="2"/>
      <c r="N171" s="2"/>
      <c r="O171" s="2"/>
      <c r="P171" s="2"/>
      <c r="Q171" s="2"/>
      <c r="R171" s="2"/>
      <c r="S171" s="2"/>
      <c r="T171" s="2"/>
      <c r="U171" s="2"/>
      <c r="V171" s="2"/>
      <c r="W171" s="2"/>
      <c r="X171" s="2"/>
      <c r="Y171" s="2"/>
      <c r="Z171" s="2"/>
    </row>
    <row r="172" customHeight="1" spans="1:26">
      <c r="A172" s="52" t="s">
        <v>770</v>
      </c>
      <c r="B172" s="52" t="s">
        <v>1985</v>
      </c>
      <c r="C172" s="184"/>
      <c r="D172" s="184"/>
      <c r="E172" s="184"/>
      <c r="F172" s="52" t="s">
        <v>1986</v>
      </c>
      <c r="G172" s="52" t="s">
        <v>1987</v>
      </c>
      <c r="H172" s="2"/>
      <c r="I172" s="2"/>
      <c r="J172" s="2"/>
      <c r="K172" s="2"/>
      <c r="L172" s="2"/>
      <c r="M172" s="2"/>
      <c r="N172" s="2"/>
      <c r="O172" s="2"/>
      <c r="P172" s="2"/>
      <c r="Q172" s="2"/>
      <c r="R172" s="2"/>
      <c r="S172" s="2"/>
      <c r="T172" s="2"/>
      <c r="U172" s="2"/>
      <c r="V172" s="2"/>
      <c r="W172" s="2"/>
      <c r="X172" s="2"/>
      <c r="Y172" s="2"/>
      <c r="Z172" s="2"/>
    </row>
    <row r="173" customHeight="1" spans="1:26">
      <c r="A173" s="52" t="s">
        <v>770</v>
      </c>
      <c r="B173" s="52" t="s">
        <v>1988</v>
      </c>
      <c r="C173" s="52" t="s">
        <v>1989</v>
      </c>
      <c r="D173" s="184">
        <v>50</v>
      </c>
      <c r="E173" s="184"/>
      <c r="F173" s="52" t="s">
        <v>1986</v>
      </c>
      <c r="G173" s="52" t="s">
        <v>1990</v>
      </c>
      <c r="H173" s="2"/>
      <c r="I173" s="2"/>
      <c r="J173" s="2"/>
      <c r="K173" s="2"/>
      <c r="L173" s="2"/>
      <c r="M173" s="2"/>
      <c r="N173" s="2"/>
      <c r="O173" s="2"/>
      <c r="P173" s="2"/>
      <c r="Q173" s="2"/>
      <c r="R173" s="2"/>
      <c r="S173" s="2"/>
      <c r="T173" s="2"/>
      <c r="U173" s="2"/>
      <c r="V173" s="2"/>
      <c r="W173" s="2"/>
      <c r="X173" s="2"/>
      <c r="Y173" s="2"/>
      <c r="Z173" s="2"/>
    </row>
    <row r="174" customHeight="1" spans="1:26">
      <c r="A174" s="52" t="s">
        <v>770</v>
      </c>
      <c r="B174" s="52" t="s">
        <v>1991</v>
      </c>
      <c r="C174" s="184"/>
      <c r="D174" s="184"/>
      <c r="E174" s="184"/>
      <c r="F174" s="52" t="s">
        <v>1986</v>
      </c>
      <c r="G174" s="52" t="s">
        <v>1992</v>
      </c>
      <c r="H174" s="2"/>
      <c r="I174" s="2"/>
      <c r="J174" s="2"/>
      <c r="K174" s="2"/>
      <c r="L174" s="2"/>
      <c r="M174" s="2"/>
      <c r="N174" s="2"/>
      <c r="O174" s="2"/>
      <c r="P174" s="2"/>
      <c r="Q174" s="2"/>
      <c r="R174" s="2"/>
      <c r="S174" s="2"/>
      <c r="T174" s="2"/>
      <c r="U174" s="2"/>
      <c r="V174" s="2"/>
      <c r="W174" s="2"/>
      <c r="X174" s="2"/>
      <c r="Y174" s="2"/>
      <c r="Z174" s="2"/>
    </row>
    <row r="175" customHeight="1" spans="1:26">
      <c r="A175" s="52" t="s">
        <v>668</v>
      </c>
      <c r="B175" s="52" t="s">
        <v>1993</v>
      </c>
      <c r="C175" s="184"/>
      <c r="D175" s="184"/>
      <c r="E175" s="184"/>
      <c r="F175" s="52" t="s">
        <v>1986</v>
      </c>
      <c r="G175" s="52" t="s">
        <v>1994</v>
      </c>
      <c r="H175" s="2"/>
      <c r="I175" s="2"/>
      <c r="J175" s="2"/>
      <c r="K175" s="2"/>
      <c r="L175" s="2"/>
      <c r="M175" s="2"/>
      <c r="N175" s="2"/>
      <c r="O175" s="2"/>
      <c r="P175" s="2"/>
      <c r="Q175" s="2"/>
      <c r="R175" s="2"/>
      <c r="S175" s="2"/>
      <c r="T175" s="2"/>
      <c r="U175" s="2"/>
      <c r="V175" s="2"/>
      <c r="W175" s="2"/>
      <c r="X175" s="2"/>
      <c r="Y175" s="2"/>
      <c r="Z175" s="2"/>
    </row>
    <row r="176" customHeight="1" spans="1:26">
      <c r="A176" s="52" t="s">
        <v>668</v>
      </c>
      <c r="B176" s="52" t="s">
        <v>1995</v>
      </c>
      <c r="C176" s="184"/>
      <c r="D176" s="184"/>
      <c r="E176" s="184"/>
      <c r="F176" s="52" t="s">
        <v>1986</v>
      </c>
      <c r="G176" s="52" t="s">
        <v>1996</v>
      </c>
      <c r="H176" s="2"/>
      <c r="I176" s="2"/>
      <c r="J176" s="2"/>
      <c r="K176" s="2"/>
      <c r="L176" s="2"/>
      <c r="M176" s="2"/>
      <c r="N176" s="2"/>
      <c r="O176" s="2"/>
      <c r="P176" s="2"/>
      <c r="Q176" s="2"/>
      <c r="R176" s="2"/>
      <c r="S176" s="2"/>
      <c r="T176" s="2"/>
      <c r="U176" s="2"/>
      <c r="V176" s="2"/>
      <c r="W176" s="2"/>
      <c r="X176" s="2"/>
      <c r="Y176" s="2"/>
      <c r="Z176" s="2"/>
    </row>
    <row r="177" customHeight="1" spans="1:26">
      <c r="A177" s="52" t="s">
        <v>668</v>
      </c>
      <c r="B177" s="52" t="s">
        <v>676</v>
      </c>
      <c r="C177" s="184"/>
      <c r="D177" s="184"/>
      <c r="E177" s="184"/>
      <c r="F177" s="52" t="s">
        <v>1986</v>
      </c>
      <c r="G177" s="52" t="s">
        <v>1997</v>
      </c>
      <c r="H177" s="2"/>
      <c r="I177" s="2"/>
      <c r="J177" s="2"/>
      <c r="K177" s="2"/>
      <c r="L177" s="2"/>
      <c r="M177" s="2"/>
      <c r="N177" s="2"/>
      <c r="O177" s="2"/>
      <c r="P177" s="2"/>
      <c r="Q177" s="2"/>
      <c r="R177" s="2"/>
      <c r="S177" s="2"/>
      <c r="T177" s="2"/>
      <c r="U177" s="2"/>
      <c r="V177" s="2"/>
      <c r="W177" s="2"/>
      <c r="X177" s="2"/>
      <c r="Y177" s="2"/>
      <c r="Z177" s="2"/>
    </row>
    <row r="178" customHeight="1" spans="1:26">
      <c r="A178" s="52" t="s">
        <v>668</v>
      </c>
      <c r="B178" s="52" t="s">
        <v>1998</v>
      </c>
      <c r="C178" s="184"/>
      <c r="D178" s="184"/>
      <c r="E178" s="184"/>
      <c r="F178" s="52" t="s">
        <v>1986</v>
      </c>
      <c r="G178" s="52" t="s">
        <v>1999</v>
      </c>
      <c r="H178" s="2"/>
      <c r="I178" s="2"/>
      <c r="J178" s="2"/>
      <c r="K178" s="2"/>
      <c r="L178" s="2"/>
      <c r="M178" s="2"/>
      <c r="N178" s="2"/>
      <c r="O178" s="2"/>
      <c r="P178" s="2"/>
      <c r="Q178" s="2"/>
      <c r="R178" s="2"/>
      <c r="S178" s="2"/>
      <c r="T178" s="2"/>
      <c r="U178" s="2"/>
      <c r="V178" s="2"/>
      <c r="W178" s="2"/>
      <c r="X178" s="2"/>
      <c r="Y178" s="2"/>
      <c r="Z178" s="2"/>
    </row>
    <row r="179" customHeight="1" spans="1:26">
      <c r="A179" s="52" t="s">
        <v>668</v>
      </c>
      <c r="B179" s="52" t="s">
        <v>682</v>
      </c>
      <c r="C179" s="52" t="s">
        <v>683</v>
      </c>
      <c r="D179" s="184">
        <v>200</v>
      </c>
      <c r="E179" s="52" t="s">
        <v>684</v>
      </c>
      <c r="F179" s="52" t="s">
        <v>1986</v>
      </c>
      <c r="G179" s="52" t="s">
        <v>2000</v>
      </c>
      <c r="H179" s="2"/>
      <c r="I179" s="2"/>
      <c r="J179" s="2"/>
      <c r="K179" s="2"/>
      <c r="L179" s="2"/>
      <c r="M179" s="2"/>
      <c r="N179" s="2"/>
      <c r="O179" s="2"/>
      <c r="P179" s="2"/>
      <c r="Q179" s="2"/>
      <c r="R179" s="2"/>
      <c r="S179" s="2"/>
      <c r="T179" s="2"/>
      <c r="U179" s="2"/>
      <c r="V179" s="2"/>
      <c r="W179" s="2"/>
      <c r="X179" s="2"/>
      <c r="Y179" s="2"/>
      <c r="Z179" s="2"/>
    </row>
    <row r="180" customHeight="1" spans="1:26">
      <c r="A180" s="52" t="s">
        <v>686</v>
      </c>
      <c r="B180" s="52" t="s">
        <v>2001</v>
      </c>
      <c r="C180" s="52" t="s">
        <v>2002</v>
      </c>
      <c r="D180" s="184">
        <v>100</v>
      </c>
      <c r="E180" s="52" t="s">
        <v>671</v>
      </c>
      <c r="F180" s="52" t="s">
        <v>1986</v>
      </c>
      <c r="G180" s="52" t="s">
        <v>2003</v>
      </c>
      <c r="H180" s="2"/>
      <c r="I180" s="2"/>
      <c r="J180" s="2"/>
      <c r="K180" s="2"/>
      <c r="L180" s="2"/>
      <c r="M180" s="2"/>
      <c r="N180" s="2"/>
      <c r="O180" s="2"/>
      <c r="P180" s="2"/>
      <c r="Q180" s="2"/>
      <c r="R180" s="2"/>
      <c r="S180" s="2"/>
      <c r="T180" s="2"/>
      <c r="U180" s="2"/>
      <c r="V180" s="2"/>
      <c r="W180" s="2"/>
      <c r="X180" s="2"/>
      <c r="Y180" s="2"/>
      <c r="Z180" s="2"/>
    </row>
    <row r="181" customHeight="1" spans="1:26">
      <c r="A181" s="52" t="s">
        <v>686</v>
      </c>
      <c r="B181" s="52" t="s">
        <v>2004</v>
      </c>
      <c r="C181" s="184"/>
      <c r="D181" s="184"/>
      <c r="E181" s="184"/>
      <c r="F181" s="52" t="s">
        <v>1986</v>
      </c>
      <c r="G181" s="52" t="s">
        <v>2005</v>
      </c>
      <c r="H181" s="2"/>
      <c r="I181" s="2"/>
      <c r="J181" s="2"/>
      <c r="K181" s="2"/>
      <c r="L181" s="2"/>
      <c r="M181" s="2"/>
      <c r="N181" s="2"/>
      <c r="O181" s="2"/>
      <c r="P181" s="2"/>
      <c r="Q181" s="2"/>
      <c r="R181" s="2"/>
      <c r="S181" s="2"/>
      <c r="T181" s="2"/>
      <c r="U181" s="2"/>
      <c r="V181" s="2"/>
      <c r="W181" s="2"/>
      <c r="X181" s="2"/>
      <c r="Y181" s="2"/>
      <c r="Z181" s="2"/>
    </row>
    <row r="182" customHeight="1" spans="1:26">
      <c r="A182" s="52" t="s">
        <v>686</v>
      </c>
      <c r="B182" s="52" t="s">
        <v>547</v>
      </c>
      <c r="C182" s="184"/>
      <c r="D182" s="184"/>
      <c r="E182" s="184"/>
      <c r="F182" s="52" t="s">
        <v>1986</v>
      </c>
      <c r="G182" s="52" t="s">
        <v>2006</v>
      </c>
      <c r="H182" s="2"/>
      <c r="I182" s="2"/>
      <c r="J182" s="2"/>
      <c r="K182" s="2"/>
      <c r="L182" s="2"/>
      <c r="M182" s="2"/>
      <c r="N182" s="2"/>
      <c r="O182" s="2"/>
      <c r="P182" s="2"/>
      <c r="Q182" s="2"/>
      <c r="R182" s="2"/>
      <c r="S182" s="2"/>
      <c r="T182" s="2"/>
      <c r="U182" s="2"/>
      <c r="V182" s="2"/>
      <c r="W182" s="2"/>
      <c r="X182" s="2"/>
      <c r="Y182" s="2"/>
      <c r="Z182" s="2"/>
    </row>
    <row r="183" customHeight="1" spans="1:26">
      <c r="A183" s="52" t="s">
        <v>1368</v>
      </c>
      <c r="B183" s="52" t="s">
        <v>1814</v>
      </c>
      <c r="C183" s="184"/>
      <c r="D183" s="184"/>
      <c r="E183" s="184"/>
      <c r="F183" s="52" t="s">
        <v>1986</v>
      </c>
      <c r="G183" s="52" t="s">
        <v>2007</v>
      </c>
      <c r="H183" s="2"/>
      <c r="I183" s="2"/>
      <c r="J183" s="2"/>
      <c r="K183" s="2"/>
      <c r="L183" s="2"/>
      <c r="M183" s="2"/>
      <c r="N183" s="2"/>
      <c r="O183" s="2"/>
      <c r="P183" s="2"/>
      <c r="Q183" s="2"/>
      <c r="R183" s="2"/>
      <c r="S183" s="2"/>
      <c r="T183" s="2"/>
      <c r="U183" s="2"/>
      <c r="V183" s="2"/>
      <c r="W183" s="2"/>
      <c r="X183" s="2"/>
      <c r="Y183" s="2"/>
      <c r="Z183" s="2"/>
    </row>
    <row r="184" customHeight="1" spans="1:26">
      <c r="A184" s="52" t="s">
        <v>1368</v>
      </c>
      <c r="B184" s="52" t="s">
        <v>2008</v>
      </c>
      <c r="C184" s="184"/>
      <c r="D184" s="184"/>
      <c r="E184" s="184"/>
      <c r="F184" s="52" t="s">
        <v>1986</v>
      </c>
      <c r="G184" s="52" t="s">
        <v>2009</v>
      </c>
      <c r="H184" s="2"/>
      <c r="I184" s="2"/>
      <c r="J184" s="2"/>
      <c r="K184" s="2"/>
      <c r="L184" s="2"/>
      <c r="M184" s="2"/>
      <c r="N184" s="2"/>
      <c r="O184" s="2"/>
      <c r="P184" s="2"/>
      <c r="Q184" s="2"/>
      <c r="R184" s="2"/>
      <c r="S184" s="2"/>
      <c r="T184" s="2"/>
      <c r="U184" s="2"/>
      <c r="V184" s="2"/>
      <c r="W184" s="2"/>
      <c r="X184" s="2"/>
      <c r="Y184" s="2"/>
      <c r="Z184" s="2"/>
    </row>
    <row r="185" customHeight="1" spans="1:26">
      <c r="A185" s="52" t="s">
        <v>1368</v>
      </c>
      <c r="B185" s="52" t="s">
        <v>2010</v>
      </c>
      <c r="C185" s="184"/>
      <c r="D185" s="184"/>
      <c r="E185" s="184"/>
      <c r="F185" s="52" t="s">
        <v>1986</v>
      </c>
      <c r="G185" s="52" t="s">
        <v>2011</v>
      </c>
      <c r="H185" s="2"/>
      <c r="I185" s="2"/>
      <c r="J185" s="2"/>
      <c r="K185" s="2"/>
      <c r="L185" s="2"/>
      <c r="M185" s="2"/>
      <c r="N185" s="2"/>
      <c r="O185" s="2"/>
      <c r="P185" s="2"/>
      <c r="Q185" s="2"/>
      <c r="R185" s="2"/>
      <c r="S185" s="2"/>
      <c r="T185" s="2"/>
      <c r="U185" s="2"/>
      <c r="V185" s="2"/>
      <c r="W185" s="2"/>
      <c r="X185" s="2"/>
      <c r="Y185" s="2"/>
      <c r="Z185" s="2"/>
    </row>
    <row r="186" ht="27" customHeight="1" spans="1:26">
      <c r="A186" s="52" t="s">
        <v>871</v>
      </c>
      <c r="B186" s="197" t="s">
        <v>2012</v>
      </c>
      <c r="C186" s="52" t="s">
        <v>2013</v>
      </c>
      <c r="D186" s="184">
        <v>120</v>
      </c>
      <c r="E186" s="52" t="s">
        <v>707</v>
      </c>
      <c r="F186" s="52" t="s">
        <v>1986</v>
      </c>
      <c r="G186" s="52" t="s">
        <v>2014</v>
      </c>
      <c r="H186" s="2"/>
      <c r="I186" s="2"/>
      <c r="J186" s="2"/>
      <c r="K186" s="2"/>
      <c r="L186" s="2"/>
      <c r="M186" s="2"/>
      <c r="N186" s="2"/>
      <c r="O186" s="2"/>
      <c r="P186" s="2"/>
      <c r="Q186" s="2"/>
      <c r="R186" s="2"/>
      <c r="S186" s="2"/>
      <c r="T186" s="2"/>
      <c r="U186" s="2"/>
      <c r="V186" s="2"/>
      <c r="W186" s="2"/>
      <c r="X186" s="2"/>
      <c r="Y186" s="2"/>
      <c r="Z186" s="2"/>
    </row>
    <row r="187" customHeight="1" spans="1:26">
      <c r="A187" s="52" t="s">
        <v>871</v>
      </c>
      <c r="B187" s="52" t="s">
        <v>2015</v>
      </c>
      <c r="C187" s="184"/>
      <c r="D187" s="184"/>
      <c r="E187" s="184"/>
      <c r="F187" s="52" t="s">
        <v>1986</v>
      </c>
      <c r="G187" s="52" t="s">
        <v>2016</v>
      </c>
      <c r="H187" s="2"/>
      <c r="I187" s="2"/>
      <c r="J187" s="2"/>
      <c r="K187" s="2"/>
      <c r="L187" s="2"/>
      <c r="M187" s="2"/>
      <c r="N187" s="2"/>
      <c r="O187" s="2"/>
      <c r="P187" s="2"/>
      <c r="Q187" s="2"/>
      <c r="R187" s="2"/>
      <c r="S187" s="2"/>
      <c r="T187" s="2"/>
      <c r="U187" s="2"/>
      <c r="V187" s="2"/>
      <c r="W187" s="2"/>
      <c r="X187" s="2"/>
      <c r="Y187" s="2"/>
      <c r="Z187" s="2"/>
    </row>
    <row r="188" customHeight="1" spans="1:26">
      <c r="A188" s="52" t="s">
        <v>871</v>
      </c>
      <c r="B188" s="52" t="s">
        <v>2017</v>
      </c>
      <c r="C188" s="52" t="s">
        <v>2018</v>
      </c>
      <c r="D188" s="184">
        <v>80</v>
      </c>
      <c r="E188" s="52" t="s">
        <v>671</v>
      </c>
      <c r="F188" s="52" t="s">
        <v>1986</v>
      </c>
      <c r="G188" s="52" t="s">
        <v>2019</v>
      </c>
      <c r="H188" s="2"/>
      <c r="I188" s="2"/>
      <c r="J188" s="2"/>
      <c r="K188" s="2"/>
      <c r="L188" s="2"/>
      <c r="M188" s="2"/>
      <c r="N188" s="2"/>
      <c r="O188" s="2"/>
      <c r="P188" s="2"/>
      <c r="Q188" s="2"/>
      <c r="R188" s="2"/>
      <c r="S188" s="2"/>
      <c r="T188" s="2"/>
      <c r="U188" s="2"/>
      <c r="V188" s="2"/>
      <c r="W188" s="2"/>
      <c r="X188" s="2"/>
      <c r="Y188" s="2"/>
      <c r="Z188" s="2"/>
    </row>
    <row r="189" customHeight="1" spans="1:26">
      <c r="A189" s="52" t="s">
        <v>713</v>
      </c>
      <c r="B189" s="52" t="s">
        <v>2020</v>
      </c>
      <c r="C189" s="184"/>
      <c r="D189" s="184"/>
      <c r="E189" s="184"/>
      <c r="F189" s="52" t="s">
        <v>1986</v>
      </c>
      <c r="G189" s="52" t="s">
        <v>2021</v>
      </c>
      <c r="H189" s="2"/>
      <c r="I189" s="2"/>
      <c r="J189" s="2"/>
      <c r="K189" s="2"/>
      <c r="L189" s="2"/>
      <c r="M189" s="2"/>
      <c r="N189" s="2"/>
      <c r="O189" s="2"/>
      <c r="P189" s="2"/>
      <c r="Q189" s="2"/>
      <c r="R189" s="2"/>
      <c r="S189" s="2"/>
      <c r="T189" s="2"/>
      <c r="U189" s="2"/>
      <c r="V189" s="2"/>
      <c r="W189" s="2"/>
      <c r="X189" s="2"/>
      <c r="Y189" s="2"/>
      <c r="Z189" s="2"/>
    </row>
    <row r="190" customHeight="1" spans="1:26">
      <c r="A190" s="52" t="s">
        <v>713</v>
      </c>
      <c r="B190" s="52" t="s">
        <v>2022</v>
      </c>
      <c r="C190" s="184"/>
      <c r="D190" s="184"/>
      <c r="E190" s="184"/>
      <c r="F190" s="52" t="s">
        <v>1986</v>
      </c>
      <c r="G190" s="52" t="s">
        <v>2023</v>
      </c>
      <c r="H190" s="2"/>
      <c r="I190" s="2"/>
      <c r="J190" s="2"/>
      <c r="K190" s="2"/>
      <c r="L190" s="2"/>
      <c r="M190" s="2"/>
      <c r="N190" s="2"/>
      <c r="O190" s="2"/>
      <c r="P190" s="2"/>
      <c r="Q190" s="2"/>
      <c r="R190" s="2"/>
      <c r="S190" s="2"/>
      <c r="T190" s="2"/>
      <c r="U190" s="2"/>
      <c r="V190" s="2"/>
      <c r="W190" s="2"/>
      <c r="X190" s="2"/>
      <c r="Y190" s="2"/>
      <c r="Z190" s="2"/>
    </row>
    <row r="191" customHeight="1" spans="1:26">
      <c r="A191" s="52" t="s">
        <v>713</v>
      </c>
      <c r="B191" s="52" t="s">
        <v>1670</v>
      </c>
      <c r="C191" s="184"/>
      <c r="D191" s="184"/>
      <c r="E191" s="184"/>
      <c r="F191" s="52" t="s">
        <v>1986</v>
      </c>
      <c r="G191" s="52" t="s">
        <v>2024</v>
      </c>
      <c r="H191" s="2"/>
      <c r="I191" s="2"/>
      <c r="J191" s="2"/>
      <c r="K191" s="2"/>
      <c r="L191" s="2"/>
      <c r="M191" s="2"/>
      <c r="N191" s="2"/>
      <c r="O191" s="2"/>
      <c r="P191" s="2"/>
      <c r="Q191" s="2"/>
      <c r="R191" s="2"/>
      <c r="S191" s="2"/>
      <c r="T191" s="2"/>
      <c r="U191" s="2"/>
      <c r="V191" s="2"/>
      <c r="W191" s="2"/>
      <c r="X191" s="2"/>
      <c r="Y191" s="2"/>
      <c r="Z191" s="2"/>
    </row>
    <row r="192" customHeight="1" spans="1:26">
      <c r="A192" s="52" t="s">
        <v>728</v>
      </c>
      <c r="B192" s="52" t="s">
        <v>2025</v>
      </c>
      <c r="C192" s="52" t="s">
        <v>2026</v>
      </c>
      <c r="D192" s="184">
        <v>350</v>
      </c>
      <c r="E192" s="52" t="s">
        <v>684</v>
      </c>
      <c r="F192" s="52" t="s">
        <v>1986</v>
      </c>
      <c r="G192" s="52" t="s">
        <v>2027</v>
      </c>
      <c r="H192" s="2"/>
      <c r="I192" s="2"/>
      <c r="J192" s="2"/>
      <c r="K192" s="2"/>
      <c r="L192" s="2"/>
      <c r="M192" s="2"/>
      <c r="N192" s="2"/>
      <c r="O192" s="2"/>
      <c r="P192" s="2"/>
      <c r="Q192" s="2"/>
      <c r="R192" s="2"/>
      <c r="S192" s="2"/>
      <c r="T192" s="2"/>
      <c r="U192" s="2"/>
      <c r="V192" s="2"/>
      <c r="W192" s="2"/>
      <c r="X192" s="2"/>
      <c r="Y192" s="2"/>
      <c r="Z192" s="2"/>
    </row>
    <row r="193" customHeight="1" spans="1:26">
      <c r="A193" s="52" t="s">
        <v>728</v>
      </c>
      <c r="B193" s="52" t="s">
        <v>732</v>
      </c>
      <c r="C193" s="184"/>
      <c r="D193" s="184"/>
      <c r="E193" s="184"/>
      <c r="F193" s="52" t="s">
        <v>1986</v>
      </c>
      <c r="G193" s="52" t="s">
        <v>2028</v>
      </c>
      <c r="H193" s="2"/>
      <c r="I193" s="2"/>
      <c r="J193" s="2"/>
      <c r="K193" s="2"/>
      <c r="L193" s="2"/>
      <c r="M193" s="2"/>
      <c r="N193" s="2"/>
      <c r="O193" s="2"/>
      <c r="P193" s="2"/>
      <c r="Q193" s="2"/>
      <c r="R193" s="2"/>
      <c r="S193" s="2"/>
      <c r="T193" s="2"/>
      <c r="U193" s="2"/>
      <c r="V193" s="2"/>
      <c r="W193" s="2"/>
      <c r="X193" s="2"/>
      <c r="Y193" s="2"/>
      <c r="Z193" s="2"/>
    </row>
    <row r="194" customHeight="1" spans="1:26">
      <c r="A194" s="52" t="s">
        <v>728</v>
      </c>
      <c r="B194" s="52" t="s">
        <v>2029</v>
      </c>
      <c r="C194" s="184"/>
      <c r="D194" s="184"/>
      <c r="E194" s="184"/>
      <c r="F194" s="52" t="s">
        <v>1986</v>
      </c>
      <c r="G194" s="52" t="s">
        <v>2030</v>
      </c>
      <c r="H194" s="2"/>
      <c r="I194" s="2"/>
      <c r="J194" s="2"/>
      <c r="K194" s="2"/>
      <c r="L194" s="2"/>
      <c r="M194" s="2"/>
      <c r="N194" s="2"/>
      <c r="O194" s="2"/>
      <c r="P194" s="2"/>
      <c r="Q194" s="2"/>
      <c r="R194" s="2"/>
      <c r="S194" s="2"/>
      <c r="T194" s="2"/>
      <c r="U194" s="2"/>
      <c r="V194" s="2"/>
      <c r="W194" s="2"/>
      <c r="X194" s="2"/>
      <c r="Y194" s="2"/>
      <c r="Z194" s="2"/>
    </row>
    <row r="195" customHeight="1" spans="1:26">
      <c r="A195" s="52" t="s">
        <v>701</v>
      </c>
      <c r="B195" s="52" t="s">
        <v>2031</v>
      </c>
      <c r="C195" s="184"/>
      <c r="D195" s="184"/>
      <c r="E195" s="184"/>
      <c r="F195" s="52" t="s">
        <v>1986</v>
      </c>
      <c r="G195" s="52" t="s">
        <v>2032</v>
      </c>
      <c r="H195" s="2"/>
      <c r="I195" s="2"/>
      <c r="J195" s="2"/>
      <c r="K195" s="2"/>
      <c r="L195" s="2"/>
      <c r="M195" s="2"/>
      <c r="N195" s="2"/>
      <c r="O195" s="2"/>
      <c r="P195" s="2"/>
      <c r="Q195" s="2"/>
      <c r="R195" s="2"/>
      <c r="S195" s="2"/>
      <c r="T195" s="2"/>
      <c r="U195" s="2"/>
      <c r="V195" s="2"/>
      <c r="W195" s="2"/>
      <c r="X195" s="2"/>
      <c r="Y195" s="2"/>
      <c r="Z195" s="2"/>
    </row>
    <row r="196" customHeight="1" spans="1:26">
      <c r="A196" s="52" t="s">
        <v>701</v>
      </c>
      <c r="B196" s="52" t="s">
        <v>2033</v>
      </c>
      <c r="C196" s="52" t="s">
        <v>706</v>
      </c>
      <c r="D196" s="184">
        <v>200</v>
      </c>
      <c r="E196" s="52" t="s">
        <v>707</v>
      </c>
      <c r="F196" s="52" t="s">
        <v>1986</v>
      </c>
      <c r="G196" s="52" t="s">
        <v>2034</v>
      </c>
      <c r="H196" s="2"/>
      <c r="I196" s="2"/>
      <c r="J196" s="2"/>
      <c r="K196" s="2"/>
      <c r="L196" s="2"/>
      <c r="M196" s="2"/>
      <c r="N196" s="2"/>
      <c r="O196" s="2"/>
      <c r="P196" s="2"/>
      <c r="Q196" s="2"/>
      <c r="R196" s="2"/>
      <c r="S196" s="2"/>
      <c r="T196" s="2"/>
      <c r="U196" s="2"/>
      <c r="V196" s="2"/>
      <c r="W196" s="2"/>
      <c r="X196" s="2"/>
      <c r="Y196" s="2"/>
      <c r="Z196" s="2"/>
    </row>
    <row r="197" customHeight="1" spans="1:26">
      <c r="A197" s="52" t="s">
        <v>701</v>
      </c>
      <c r="B197" s="52" t="s">
        <v>2035</v>
      </c>
      <c r="C197" s="184"/>
      <c r="D197" s="184"/>
      <c r="E197" s="184"/>
      <c r="F197" s="52" t="s">
        <v>1986</v>
      </c>
      <c r="G197" s="52" t="s">
        <v>2036</v>
      </c>
      <c r="H197" s="2"/>
      <c r="I197" s="2"/>
      <c r="J197" s="2"/>
      <c r="K197" s="2"/>
      <c r="L197" s="2"/>
      <c r="M197" s="2"/>
      <c r="N197" s="2"/>
      <c r="O197" s="2"/>
      <c r="P197" s="2"/>
      <c r="Q197" s="2"/>
      <c r="R197" s="2"/>
      <c r="S197" s="2"/>
      <c r="T197" s="2"/>
      <c r="U197" s="2"/>
      <c r="V197" s="2"/>
      <c r="W197" s="2"/>
      <c r="X197" s="2"/>
      <c r="Y197" s="2"/>
      <c r="Z197" s="2"/>
    </row>
    <row r="198" customHeight="1" spans="1:26">
      <c r="A198" s="52" t="s">
        <v>742</v>
      </c>
      <c r="B198" s="52" t="s">
        <v>2037</v>
      </c>
      <c r="C198" s="184"/>
      <c r="D198" s="184"/>
      <c r="E198" s="184"/>
      <c r="F198" s="52" t="s">
        <v>1986</v>
      </c>
      <c r="G198" s="52" t="s">
        <v>2038</v>
      </c>
      <c r="H198" s="2"/>
      <c r="I198" s="2"/>
      <c r="J198" s="2"/>
      <c r="K198" s="2"/>
      <c r="L198" s="2"/>
      <c r="M198" s="2"/>
      <c r="N198" s="2"/>
      <c r="O198" s="2"/>
      <c r="P198" s="2"/>
      <c r="Q198" s="2"/>
      <c r="R198" s="2"/>
      <c r="S198" s="2"/>
      <c r="T198" s="2"/>
      <c r="U198" s="2"/>
      <c r="V198" s="2"/>
      <c r="W198" s="2"/>
      <c r="X198" s="2"/>
      <c r="Y198" s="2"/>
      <c r="Z198" s="2"/>
    </row>
    <row r="199" customHeight="1" spans="1:26">
      <c r="A199" s="52" t="s">
        <v>742</v>
      </c>
      <c r="B199" s="52" t="s">
        <v>2039</v>
      </c>
      <c r="C199" s="184"/>
      <c r="D199" s="184"/>
      <c r="E199" s="184"/>
      <c r="F199" s="52" t="s">
        <v>1986</v>
      </c>
      <c r="G199" s="52" t="s">
        <v>2040</v>
      </c>
      <c r="H199" s="2"/>
      <c r="I199" s="2"/>
      <c r="J199" s="2"/>
      <c r="K199" s="2"/>
      <c r="L199" s="2"/>
      <c r="M199" s="2"/>
      <c r="N199" s="2"/>
      <c r="O199" s="2"/>
      <c r="P199" s="2"/>
      <c r="Q199" s="2"/>
      <c r="R199" s="2"/>
      <c r="S199" s="2"/>
      <c r="T199" s="2"/>
      <c r="U199" s="2"/>
      <c r="V199" s="2"/>
      <c r="W199" s="2"/>
      <c r="X199" s="2"/>
      <c r="Y199" s="2"/>
      <c r="Z199" s="2"/>
    </row>
    <row r="200" customHeight="1" spans="1:26">
      <c r="A200" s="52" t="s">
        <v>742</v>
      </c>
      <c r="B200" s="52" t="s">
        <v>2041</v>
      </c>
      <c r="C200" s="184"/>
      <c r="D200" s="184"/>
      <c r="E200" s="184"/>
      <c r="F200" s="52" t="s">
        <v>1986</v>
      </c>
      <c r="G200" s="52" t="s">
        <v>2042</v>
      </c>
      <c r="H200" s="2"/>
      <c r="I200" s="2"/>
      <c r="J200" s="2"/>
      <c r="K200" s="2"/>
      <c r="L200" s="2"/>
      <c r="M200" s="2"/>
      <c r="N200" s="2"/>
      <c r="O200" s="2"/>
      <c r="P200" s="2"/>
      <c r="Q200" s="2"/>
      <c r="R200" s="2"/>
      <c r="S200" s="2"/>
      <c r="T200" s="2"/>
      <c r="U200" s="2"/>
      <c r="V200" s="2"/>
      <c r="W200" s="2"/>
      <c r="X200" s="2"/>
      <c r="Y200" s="2"/>
      <c r="Z200" s="2"/>
    </row>
    <row r="201" customHeight="1" spans="1:26">
      <c r="A201" s="52" t="s">
        <v>825</v>
      </c>
      <c r="B201" s="52" t="s">
        <v>2043</v>
      </c>
      <c r="C201" s="52" t="s">
        <v>647</v>
      </c>
      <c r="D201" s="184">
        <v>120</v>
      </c>
      <c r="E201" s="52" t="s">
        <v>684</v>
      </c>
      <c r="F201" s="52" t="s">
        <v>1986</v>
      </c>
      <c r="G201" s="52" t="s">
        <v>2044</v>
      </c>
      <c r="H201" s="2"/>
      <c r="I201" s="2"/>
      <c r="J201" s="2"/>
      <c r="K201" s="2"/>
      <c r="L201" s="2"/>
      <c r="M201" s="2"/>
      <c r="N201" s="2"/>
      <c r="O201" s="2"/>
      <c r="P201" s="2"/>
      <c r="Q201" s="2"/>
      <c r="R201" s="2"/>
      <c r="S201" s="2"/>
      <c r="T201" s="2"/>
      <c r="U201" s="2"/>
      <c r="V201" s="2"/>
      <c r="W201" s="2"/>
      <c r="X201" s="2"/>
      <c r="Y201" s="2"/>
      <c r="Z201" s="2"/>
    </row>
    <row r="202" customHeight="1" spans="1:26">
      <c r="A202" s="52" t="s">
        <v>825</v>
      </c>
      <c r="B202" s="52" t="s">
        <v>2045</v>
      </c>
      <c r="C202" s="184"/>
      <c r="D202" s="184"/>
      <c r="E202" s="184"/>
      <c r="F202" s="52" t="s">
        <v>1986</v>
      </c>
      <c r="G202" s="52" t="s">
        <v>2046</v>
      </c>
      <c r="H202" s="2"/>
      <c r="I202" s="2"/>
      <c r="J202" s="2"/>
      <c r="K202" s="2"/>
      <c r="L202" s="2"/>
      <c r="M202" s="2"/>
      <c r="N202" s="2"/>
      <c r="O202" s="2"/>
      <c r="P202" s="2"/>
      <c r="Q202" s="2"/>
      <c r="R202" s="2"/>
      <c r="S202" s="2"/>
      <c r="T202" s="2"/>
      <c r="U202" s="2"/>
      <c r="V202" s="2"/>
      <c r="W202" s="2"/>
      <c r="X202" s="2"/>
      <c r="Y202" s="2"/>
      <c r="Z202" s="2"/>
    </row>
    <row r="203" customHeight="1" spans="1:26">
      <c r="A203" s="52" t="s">
        <v>825</v>
      </c>
      <c r="B203" s="52" t="s">
        <v>2047</v>
      </c>
      <c r="C203" s="184"/>
      <c r="D203" s="184"/>
      <c r="E203" s="184"/>
      <c r="F203" s="52" t="s">
        <v>1986</v>
      </c>
      <c r="G203" s="52" t="s">
        <v>2048</v>
      </c>
      <c r="H203" s="2"/>
      <c r="I203" s="2"/>
      <c r="J203" s="2"/>
      <c r="K203" s="2"/>
      <c r="L203" s="2"/>
      <c r="M203" s="2"/>
      <c r="N203" s="2"/>
      <c r="O203" s="2"/>
      <c r="P203" s="2"/>
      <c r="Q203" s="2"/>
      <c r="R203" s="2"/>
      <c r="S203" s="2"/>
      <c r="T203" s="2"/>
      <c r="U203" s="2"/>
      <c r="V203" s="2"/>
      <c r="W203" s="2"/>
      <c r="X203" s="2"/>
      <c r="Y203" s="2"/>
      <c r="Z203" s="2"/>
    </row>
    <row r="204" customHeight="1" spans="1:26">
      <c r="A204" s="52" t="s">
        <v>785</v>
      </c>
      <c r="B204" s="52" t="s">
        <v>2049</v>
      </c>
      <c r="C204" s="184"/>
      <c r="D204" s="184"/>
      <c r="E204" s="184"/>
      <c r="F204" s="52" t="s">
        <v>1986</v>
      </c>
      <c r="G204" s="52" t="s">
        <v>2050</v>
      </c>
      <c r="H204" s="2"/>
      <c r="I204" s="2"/>
      <c r="J204" s="2"/>
      <c r="K204" s="2"/>
      <c r="L204" s="2"/>
      <c r="M204" s="2"/>
      <c r="N204" s="2"/>
      <c r="O204" s="2"/>
      <c r="P204" s="2"/>
      <c r="Q204" s="2"/>
      <c r="R204" s="2"/>
      <c r="S204" s="2"/>
      <c r="T204" s="2"/>
      <c r="U204" s="2"/>
      <c r="V204" s="2"/>
      <c r="W204" s="2"/>
      <c r="X204" s="2"/>
      <c r="Y204" s="2"/>
      <c r="Z204" s="2"/>
    </row>
    <row r="205" customHeight="1" spans="1:26">
      <c r="A205" s="52" t="s">
        <v>785</v>
      </c>
      <c r="B205" s="52" t="s">
        <v>2051</v>
      </c>
      <c r="C205" s="184"/>
      <c r="D205" s="184"/>
      <c r="E205" s="184"/>
      <c r="F205" s="52" t="s">
        <v>1986</v>
      </c>
      <c r="G205" s="52" t="s">
        <v>2052</v>
      </c>
      <c r="H205" s="2"/>
      <c r="I205" s="2"/>
      <c r="J205" s="2"/>
      <c r="K205" s="2"/>
      <c r="L205" s="2"/>
      <c r="M205" s="2"/>
      <c r="N205" s="2"/>
      <c r="O205" s="2"/>
      <c r="P205" s="2"/>
      <c r="Q205" s="2"/>
      <c r="R205" s="2"/>
      <c r="S205" s="2"/>
      <c r="T205" s="2"/>
      <c r="U205" s="2"/>
      <c r="V205" s="2"/>
      <c r="W205" s="2"/>
      <c r="X205" s="2"/>
      <c r="Y205" s="2"/>
      <c r="Z205" s="2"/>
    </row>
    <row r="206" customHeight="1" spans="1:26">
      <c r="A206" s="52" t="s">
        <v>785</v>
      </c>
      <c r="B206" s="52" t="s">
        <v>2053</v>
      </c>
      <c r="C206" s="184"/>
      <c r="D206" s="184"/>
      <c r="E206" s="184"/>
      <c r="F206" s="52" t="s">
        <v>1986</v>
      </c>
      <c r="G206" s="52" t="s">
        <v>2054</v>
      </c>
      <c r="H206" s="2"/>
      <c r="I206" s="2"/>
      <c r="J206" s="2"/>
      <c r="K206" s="2"/>
      <c r="L206" s="2"/>
      <c r="M206" s="2"/>
      <c r="N206" s="2"/>
      <c r="O206" s="2"/>
      <c r="P206" s="2"/>
      <c r="Q206" s="2"/>
      <c r="R206" s="2"/>
      <c r="S206" s="2"/>
      <c r="T206" s="2"/>
      <c r="U206" s="2"/>
      <c r="V206" s="2"/>
      <c r="W206" s="2"/>
      <c r="X206" s="2"/>
      <c r="Y206" s="2"/>
      <c r="Z206" s="2"/>
    </row>
    <row r="207" customHeight="1" spans="1:26">
      <c r="A207" s="52" t="s">
        <v>785</v>
      </c>
      <c r="B207" s="52" t="s">
        <v>2055</v>
      </c>
      <c r="C207" s="184"/>
      <c r="D207" s="184"/>
      <c r="E207" s="184"/>
      <c r="F207" s="52" t="s">
        <v>1986</v>
      </c>
      <c r="G207" s="52" t="s">
        <v>2056</v>
      </c>
      <c r="H207" s="2"/>
      <c r="I207" s="2"/>
      <c r="J207" s="2"/>
      <c r="K207" s="2"/>
      <c r="L207" s="2"/>
      <c r="M207" s="2"/>
      <c r="N207" s="2"/>
      <c r="O207" s="2"/>
      <c r="P207" s="2"/>
      <c r="Q207" s="2"/>
      <c r="R207" s="2"/>
      <c r="S207" s="2"/>
      <c r="T207" s="2"/>
      <c r="U207" s="2"/>
      <c r="V207" s="2"/>
      <c r="W207" s="2"/>
      <c r="X207" s="2"/>
      <c r="Y207" s="2"/>
      <c r="Z207" s="2"/>
    </row>
    <row r="208" customHeight="1" spans="1:26">
      <c r="A208" s="52" t="s">
        <v>840</v>
      </c>
      <c r="B208" s="52" t="s">
        <v>2057</v>
      </c>
      <c r="C208" s="52" t="s">
        <v>842</v>
      </c>
      <c r="D208" s="184">
        <v>650</v>
      </c>
      <c r="E208" s="52" t="s">
        <v>684</v>
      </c>
      <c r="F208" s="52" t="s">
        <v>1986</v>
      </c>
      <c r="G208" s="52" t="s">
        <v>2058</v>
      </c>
      <c r="H208" s="2"/>
      <c r="I208" s="2"/>
      <c r="J208" s="2"/>
      <c r="K208" s="2"/>
      <c r="L208" s="2"/>
      <c r="M208" s="2"/>
      <c r="N208" s="2"/>
      <c r="O208" s="2"/>
      <c r="P208" s="2"/>
      <c r="Q208" s="2"/>
      <c r="R208" s="2"/>
      <c r="S208" s="2"/>
      <c r="T208" s="2"/>
      <c r="U208" s="2"/>
      <c r="V208" s="2"/>
      <c r="W208" s="2"/>
      <c r="X208" s="2"/>
      <c r="Y208" s="2"/>
      <c r="Z208" s="2"/>
    </row>
    <row r="209" customHeight="1" spans="1:26">
      <c r="A209" s="52" t="s">
        <v>840</v>
      </c>
      <c r="B209" s="52" t="s">
        <v>844</v>
      </c>
      <c r="C209" s="184"/>
      <c r="D209" s="184"/>
      <c r="E209" s="184"/>
      <c r="F209" s="52" t="s">
        <v>1986</v>
      </c>
      <c r="G209" s="52" t="s">
        <v>43</v>
      </c>
      <c r="H209" s="2"/>
      <c r="I209" s="2"/>
      <c r="J209" s="2"/>
      <c r="K209" s="2"/>
      <c r="L209" s="2"/>
      <c r="M209" s="2"/>
      <c r="N209" s="2"/>
      <c r="O209" s="2"/>
      <c r="P209" s="2"/>
      <c r="Q209" s="2"/>
      <c r="R209" s="2"/>
      <c r="S209" s="2"/>
      <c r="T209" s="2"/>
      <c r="U209" s="2"/>
      <c r="V209" s="2"/>
      <c r="W209" s="2"/>
      <c r="X209" s="2"/>
      <c r="Y209" s="2"/>
      <c r="Z209" s="2"/>
    </row>
    <row r="210" customHeight="1" spans="1:26">
      <c r="A210" s="52" t="s">
        <v>840</v>
      </c>
      <c r="B210" s="52" t="s">
        <v>2059</v>
      </c>
      <c r="C210" s="184"/>
      <c r="D210" s="184"/>
      <c r="E210" s="184"/>
      <c r="F210" s="52" t="s">
        <v>1986</v>
      </c>
      <c r="G210" s="52" t="s">
        <v>2060</v>
      </c>
      <c r="H210" s="2"/>
      <c r="I210" s="2"/>
      <c r="J210" s="2"/>
      <c r="K210" s="2"/>
      <c r="L210" s="2"/>
      <c r="M210" s="2"/>
      <c r="N210" s="2"/>
      <c r="O210" s="2"/>
      <c r="P210" s="2"/>
      <c r="Q210" s="2"/>
      <c r="R210" s="2"/>
      <c r="S210" s="2"/>
      <c r="T210" s="2"/>
      <c r="U210" s="2"/>
      <c r="V210" s="2"/>
      <c r="W210" s="2"/>
      <c r="X210" s="2"/>
      <c r="Y210" s="2"/>
      <c r="Z210" s="2"/>
    </row>
    <row r="211" customHeight="1" spans="1:26">
      <c r="A211" s="52" t="s">
        <v>840</v>
      </c>
      <c r="B211" s="52" t="s">
        <v>2061</v>
      </c>
      <c r="C211" s="184"/>
      <c r="D211" s="184"/>
      <c r="E211" s="184"/>
      <c r="F211" s="52" t="s">
        <v>1986</v>
      </c>
      <c r="G211" s="52" t="s">
        <v>2062</v>
      </c>
      <c r="H211" s="2"/>
      <c r="I211" s="2"/>
      <c r="J211" s="2"/>
      <c r="K211" s="2"/>
      <c r="L211" s="2"/>
      <c r="M211" s="2"/>
      <c r="N211" s="2"/>
      <c r="O211" s="2"/>
      <c r="P211" s="2"/>
      <c r="Q211" s="2"/>
      <c r="R211" s="2"/>
      <c r="S211" s="2"/>
      <c r="T211" s="2"/>
      <c r="U211" s="2"/>
      <c r="V211" s="2"/>
      <c r="W211" s="2"/>
      <c r="X211" s="2"/>
      <c r="Y211" s="2"/>
      <c r="Z211" s="2"/>
    </row>
    <row r="212" customHeight="1" spans="1:26">
      <c r="A212" s="52" t="s">
        <v>867</v>
      </c>
      <c r="B212" s="52" t="s">
        <v>2063</v>
      </c>
      <c r="C212" s="52" t="s">
        <v>2064</v>
      </c>
      <c r="D212" s="184"/>
      <c r="E212" s="52" t="s">
        <v>707</v>
      </c>
      <c r="F212" s="52" t="s">
        <v>1986</v>
      </c>
      <c r="G212" s="52" t="s">
        <v>2065</v>
      </c>
      <c r="H212" s="2"/>
      <c r="I212" s="2"/>
      <c r="J212" s="2"/>
      <c r="K212" s="2"/>
      <c r="L212" s="2"/>
      <c r="M212" s="2"/>
      <c r="N212" s="2"/>
      <c r="O212" s="2"/>
      <c r="P212" s="2"/>
      <c r="Q212" s="2"/>
      <c r="R212" s="2"/>
      <c r="S212" s="2"/>
      <c r="T212" s="2"/>
      <c r="U212" s="2"/>
      <c r="V212" s="2"/>
      <c r="W212" s="2"/>
      <c r="X212" s="2"/>
      <c r="Y212" s="2"/>
      <c r="Z212" s="2"/>
    </row>
    <row r="213" customHeight="1" spans="1:26">
      <c r="A213" s="52" t="s">
        <v>867</v>
      </c>
      <c r="B213" s="52" t="s">
        <v>2066</v>
      </c>
      <c r="C213" s="184"/>
      <c r="D213" s="184"/>
      <c r="E213" s="184"/>
      <c r="F213" s="52" t="s">
        <v>1986</v>
      </c>
      <c r="G213" s="52" t="s">
        <v>2067</v>
      </c>
      <c r="H213" s="2"/>
      <c r="I213" s="2"/>
      <c r="J213" s="2"/>
      <c r="K213" s="2"/>
      <c r="L213" s="2"/>
      <c r="M213" s="2"/>
      <c r="N213" s="2"/>
      <c r="O213" s="2"/>
      <c r="P213" s="2"/>
      <c r="Q213" s="2"/>
      <c r="R213" s="2"/>
      <c r="S213" s="2"/>
      <c r="T213" s="2"/>
      <c r="U213" s="2"/>
      <c r="V213" s="2"/>
      <c r="W213" s="2"/>
      <c r="X213" s="2"/>
      <c r="Y213" s="2"/>
      <c r="Z213" s="2"/>
    </row>
    <row r="214" customHeight="1" spans="1:26">
      <c r="A214" s="52" t="s">
        <v>867</v>
      </c>
      <c r="B214" s="52" t="s">
        <v>95</v>
      </c>
      <c r="C214" s="184"/>
      <c r="D214" s="184"/>
      <c r="E214" s="184"/>
      <c r="F214" s="52" t="s">
        <v>1986</v>
      </c>
      <c r="G214" s="52" t="s">
        <v>2068</v>
      </c>
      <c r="H214" s="2"/>
      <c r="I214" s="2"/>
      <c r="J214" s="2"/>
      <c r="K214" s="2"/>
      <c r="L214" s="2"/>
      <c r="M214" s="2"/>
      <c r="N214" s="2"/>
      <c r="O214" s="2"/>
      <c r="P214" s="2"/>
      <c r="Q214" s="2"/>
      <c r="R214" s="2"/>
      <c r="S214" s="2"/>
      <c r="T214" s="2"/>
      <c r="U214" s="2"/>
      <c r="V214" s="2"/>
      <c r="W214" s="2"/>
      <c r="X214" s="2"/>
      <c r="Y214" s="2"/>
      <c r="Z214" s="2"/>
    </row>
    <row r="215" customHeight="1" spans="1:26">
      <c r="A215" s="52" t="s">
        <v>867</v>
      </c>
      <c r="B215" s="52" t="s">
        <v>100</v>
      </c>
      <c r="C215" s="184"/>
      <c r="D215" s="184"/>
      <c r="E215" s="184"/>
      <c r="F215" s="52" t="s">
        <v>1986</v>
      </c>
      <c r="G215" s="52" t="s">
        <v>2069</v>
      </c>
      <c r="H215" s="2"/>
      <c r="I215" s="2"/>
      <c r="J215" s="2"/>
      <c r="K215" s="2"/>
      <c r="L215" s="2"/>
      <c r="M215" s="2"/>
      <c r="N215" s="2"/>
      <c r="O215" s="2"/>
      <c r="P215" s="2"/>
      <c r="Q215" s="2"/>
      <c r="R215" s="2"/>
      <c r="S215" s="2"/>
      <c r="T215" s="2"/>
      <c r="U215" s="2"/>
      <c r="V215" s="2"/>
      <c r="W215" s="2"/>
      <c r="X215" s="2"/>
      <c r="Y215" s="2"/>
      <c r="Z215" s="2"/>
    </row>
    <row r="216" ht="13.5" customHeight="1"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43 B147:B148 B155:B156">
      <formula1>ValidLondonCounterpartyNames</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tabSelected="1" topLeftCell="A13" workbookViewId="0">
      <selection activeCell="E34" sqref="E34"/>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2070</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52" t="s">
        <v>10</v>
      </c>
      <c r="B4" s="62" t="s">
        <v>2071</v>
      </c>
      <c r="C4" s="13" t="s">
        <v>12</v>
      </c>
      <c r="D4" s="57"/>
      <c r="E4" s="57"/>
      <c r="F4" s="13" t="s">
        <v>2072</v>
      </c>
      <c r="G4" s="13" t="s">
        <v>2073</v>
      </c>
      <c r="H4" s="2"/>
      <c r="I4" s="2"/>
      <c r="J4" s="2"/>
      <c r="K4" s="2"/>
      <c r="L4" s="2"/>
      <c r="M4" s="2"/>
      <c r="N4" s="2"/>
      <c r="O4" s="2"/>
      <c r="P4" s="2"/>
      <c r="Q4" s="2"/>
      <c r="R4" s="2"/>
      <c r="S4" s="2"/>
      <c r="T4" s="2"/>
      <c r="U4" s="2"/>
      <c r="V4" s="2"/>
      <c r="W4" s="2"/>
      <c r="X4" s="2"/>
      <c r="Y4" s="2"/>
      <c r="Z4" s="2"/>
    </row>
    <row r="5" customHeight="1" spans="1:26">
      <c r="A5" s="63" t="s">
        <v>15</v>
      </c>
      <c r="B5" s="13" t="s">
        <v>16</v>
      </c>
      <c r="C5" s="13" t="s">
        <v>12</v>
      </c>
      <c r="D5" s="57"/>
      <c r="E5" s="57"/>
      <c r="F5" s="13" t="s">
        <v>17</v>
      </c>
      <c r="G5" s="13" t="s">
        <v>2074</v>
      </c>
      <c r="H5" s="2"/>
      <c r="I5" s="2"/>
      <c r="J5" s="2"/>
      <c r="K5" s="2"/>
      <c r="L5" s="2"/>
      <c r="M5" s="2"/>
      <c r="N5" s="2"/>
      <c r="O5" s="2"/>
      <c r="P5" s="2"/>
      <c r="Q5" s="2"/>
      <c r="R5" s="2"/>
      <c r="S5" s="2"/>
      <c r="T5" s="2"/>
      <c r="U5" s="2"/>
      <c r="V5" s="2"/>
      <c r="W5" s="2"/>
      <c r="X5" s="2"/>
      <c r="Y5" s="2"/>
      <c r="Z5" s="2"/>
    </row>
    <row r="6" customHeight="1" spans="1:26">
      <c r="A6" s="13" t="s">
        <v>18</v>
      </c>
      <c r="B6" s="13" t="s">
        <v>2075</v>
      </c>
      <c r="C6" s="13" t="s">
        <v>20</v>
      </c>
      <c r="D6" s="14">
        <v>340</v>
      </c>
      <c r="E6" s="13" t="s">
        <v>21</v>
      </c>
      <c r="F6" s="13" t="s">
        <v>2076</v>
      </c>
      <c r="G6" s="13" t="s">
        <v>2077</v>
      </c>
      <c r="H6" s="2"/>
      <c r="I6" s="2"/>
      <c r="J6" s="2"/>
      <c r="K6" s="2"/>
      <c r="L6" s="2"/>
      <c r="M6" s="2"/>
      <c r="N6" s="2"/>
      <c r="O6" s="2"/>
      <c r="P6" s="2"/>
      <c r="Q6" s="2"/>
      <c r="R6" s="2"/>
      <c r="S6" s="2"/>
      <c r="T6" s="2"/>
      <c r="U6" s="2"/>
      <c r="V6" s="2"/>
      <c r="W6" s="2"/>
      <c r="X6" s="2"/>
      <c r="Y6" s="2"/>
      <c r="Z6" s="2"/>
    </row>
    <row r="7" customHeight="1" spans="1:26">
      <c r="A7" s="13" t="s">
        <v>24</v>
      </c>
      <c r="B7" s="13" t="s">
        <v>2078</v>
      </c>
      <c r="C7" s="13" t="s">
        <v>1654</v>
      </c>
      <c r="D7" s="14">
        <v>85</v>
      </c>
      <c r="E7" s="13" t="s">
        <v>21</v>
      </c>
      <c r="F7" s="13" t="s">
        <v>2079</v>
      </c>
      <c r="G7" s="13" t="s">
        <v>2080</v>
      </c>
      <c r="H7" s="2"/>
      <c r="I7" s="2"/>
      <c r="J7" s="2"/>
      <c r="K7" s="2"/>
      <c r="L7" s="2"/>
      <c r="M7" s="2"/>
      <c r="N7" s="2"/>
      <c r="O7" s="2"/>
      <c r="P7" s="2"/>
      <c r="Q7" s="2"/>
      <c r="R7" s="2"/>
      <c r="S7" s="2"/>
      <c r="T7" s="2"/>
      <c r="U7" s="2"/>
      <c r="V7" s="2"/>
      <c r="W7" s="2"/>
      <c r="X7" s="2"/>
      <c r="Y7" s="2"/>
      <c r="Z7" s="2"/>
    </row>
    <row r="8" customHeight="1" spans="1:26">
      <c r="A8" s="64" t="s">
        <v>29</v>
      </c>
      <c r="B8" s="13" t="s">
        <v>2081</v>
      </c>
      <c r="C8" s="13" t="s">
        <v>31</v>
      </c>
      <c r="D8" s="65">
        <v>30</v>
      </c>
      <c r="E8" s="13" t="s">
        <v>32</v>
      </c>
      <c r="F8" s="13" t="s">
        <v>2082</v>
      </c>
      <c r="G8" s="13" t="s">
        <v>2083</v>
      </c>
      <c r="H8" s="2"/>
      <c r="I8" s="2"/>
      <c r="J8" s="2"/>
      <c r="K8" s="2"/>
      <c r="L8" s="2"/>
      <c r="M8" s="2"/>
      <c r="N8" s="2"/>
      <c r="O8" s="2"/>
      <c r="P8" s="2"/>
      <c r="Q8" s="2"/>
      <c r="R8" s="2"/>
      <c r="S8" s="2"/>
      <c r="T8" s="2"/>
      <c r="U8" s="2"/>
      <c r="V8" s="2"/>
      <c r="W8" s="2"/>
      <c r="X8" s="2"/>
      <c r="Y8" s="2"/>
      <c r="Z8" s="2"/>
    </row>
    <row r="9" customHeight="1" spans="1:26">
      <c r="A9" s="64" t="s">
        <v>35</v>
      </c>
      <c r="B9" s="13" t="s">
        <v>2084</v>
      </c>
      <c r="C9" s="13" t="s">
        <v>31</v>
      </c>
      <c r="D9" s="65">
        <v>30</v>
      </c>
      <c r="E9" s="13" t="s">
        <v>37</v>
      </c>
      <c r="F9" s="13" t="s">
        <v>2085</v>
      </c>
      <c r="G9" s="13" t="s">
        <v>2086</v>
      </c>
      <c r="H9" s="2"/>
      <c r="I9" s="2"/>
      <c r="J9" s="2"/>
      <c r="K9" s="2"/>
      <c r="L9" s="2"/>
      <c r="M9" s="2"/>
      <c r="N9" s="2"/>
      <c r="O9" s="2"/>
      <c r="P9" s="2"/>
      <c r="Q9" s="2"/>
      <c r="R9" s="2"/>
      <c r="S9" s="2"/>
      <c r="T9" s="2"/>
      <c r="U9" s="2"/>
      <c r="V9" s="2"/>
      <c r="W9" s="2"/>
      <c r="X9" s="2"/>
      <c r="Y9" s="2"/>
      <c r="Z9" s="2"/>
    </row>
    <row r="10" customHeight="1" spans="1:26">
      <c r="A10" s="64" t="s">
        <v>40</v>
      </c>
      <c r="B10" s="13" t="s">
        <v>41</v>
      </c>
      <c r="C10" s="13" t="s">
        <v>41</v>
      </c>
      <c r="D10" s="65">
        <v>106</v>
      </c>
      <c r="E10" s="13" t="s">
        <v>21</v>
      </c>
      <c r="F10" s="13" t="s">
        <v>42</v>
      </c>
      <c r="G10" s="13" t="s">
        <v>43</v>
      </c>
      <c r="H10" s="2"/>
      <c r="I10" s="2"/>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13" t="s">
        <v>2087</v>
      </c>
      <c r="H11" s="2"/>
      <c r="I11" s="2"/>
      <c r="J11" s="2"/>
      <c r="K11" s="2"/>
      <c r="L11" s="2"/>
      <c r="M11" s="2"/>
      <c r="N11" s="2"/>
      <c r="O11" s="2"/>
      <c r="P11" s="2"/>
      <c r="Q11" s="2"/>
      <c r="R11" s="2"/>
      <c r="S11" s="2"/>
      <c r="T11" s="2"/>
      <c r="U11" s="2"/>
      <c r="V11" s="2"/>
      <c r="W11" s="2"/>
      <c r="X11" s="2"/>
      <c r="Y11" s="2"/>
      <c r="Z11" s="2"/>
    </row>
    <row r="12" customHeight="1" spans="1:26">
      <c r="A12" s="13" t="s">
        <v>49</v>
      </c>
      <c r="B12" s="13" t="s">
        <v>2088</v>
      </c>
      <c r="C12" s="13" t="s">
        <v>51</v>
      </c>
      <c r="D12" s="57"/>
      <c r="E12" s="57"/>
      <c r="F12" s="13" t="s">
        <v>2089</v>
      </c>
      <c r="G12" s="13" t="s">
        <v>2090</v>
      </c>
      <c r="H12" s="2"/>
      <c r="I12" s="2"/>
      <c r="J12" s="2"/>
      <c r="K12" s="2"/>
      <c r="L12" s="2"/>
      <c r="M12" s="2"/>
      <c r="N12" s="2"/>
      <c r="O12" s="2"/>
      <c r="P12" s="2"/>
      <c r="Q12" s="2"/>
      <c r="R12" s="2"/>
      <c r="S12" s="2"/>
      <c r="T12" s="2"/>
      <c r="U12" s="2"/>
      <c r="V12" s="2"/>
      <c r="W12" s="2"/>
      <c r="X12" s="2"/>
      <c r="Y12" s="2"/>
      <c r="Z12" s="2"/>
    </row>
    <row r="13" customHeight="1" spans="1:26">
      <c r="A13" s="13" t="s">
        <v>54</v>
      </c>
      <c r="B13" s="13" t="s">
        <v>1667</v>
      </c>
      <c r="C13" s="13" t="s">
        <v>56</v>
      </c>
      <c r="D13" s="57"/>
      <c r="E13" s="57"/>
      <c r="F13" s="13" t="s">
        <v>1668</v>
      </c>
      <c r="G13" s="13" t="s">
        <v>2089</v>
      </c>
      <c r="H13" s="2"/>
      <c r="I13" s="2"/>
      <c r="J13" s="2"/>
      <c r="K13" s="2"/>
      <c r="L13" s="2"/>
      <c r="M13" s="2"/>
      <c r="N13" s="2"/>
      <c r="O13" s="2"/>
      <c r="P13" s="2"/>
      <c r="Q13" s="2"/>
      <c r="R13" s="2"/>
      <c r="S13" s="2"/>
      <c r="T13" s="2"/>
      <c r="U13" s="2"/>
      <c r="V13" s="2"/>
      <c r="W13" s="2"/>
      <c r="X13" s="2"/>
      <c r="Y13" s="2"/>
      <c r="Z13" s="2"/>
    </row>
    <row r="14" customHeight="1" spans="1:26">
      <c r="A14" s="64" t="s">
        <v>59</v>
      </c>
      <c r="B14" s="13" t="s">
        <v>2091</v>
      </c>
      <c r="C14" s="13" t="s">
        <v>61</v>
      </c>
      <c r="D14" s="65">
        <v>13</v>
      </c>
      <c r="E14" s="13" t="s">
        <v>37</v>
      </c>
      <c r="F14" s="13" t="s">
        <v>2092</v>
      </c>
      <c r="G14" s="13" t="s">
        <v>2093</v>
      </c>
      <c r="H14" s="2"/>
      <c r="I14" s="2"/>
      <c r="J14" s="2"/>
      <c r="K14" s="2"/>
      <c r="L14" s="2"/>
      <c r="M14" s="2"/>
      <c r="N14" s="2"/>
      <c r="O14" s="2"/>
      <c r="P14" s="2"/>
      <c r="Q14" s="2"/>
      <c r="R14" s="2"/>
      <c r="S14" s="2"/>
      <c r="T14" s="2"/>
      <c r="U14" s="2"/>
      <c r="V14" s="2"/>
      <c r="W14" s="2"/>
      <c r="X14" s="2"/>
      <c r="Y14" s="2"/>
      <c r="Z14" s="2"/>
    </row>
    <row r="15" customHeight="1" spans="1:26">
      <c r="A15" s="64" t="s">
        <v>64</v>
      </c>
      <c r="B15" s="13" t="s">
        <v>2094</v>
      </c>
      <c r="C15" s="13" t="s">
        <v>66</v>
      </c>
      <c r="D15" s="65">
        <v>13</v>
      </c>
      <c r="E15" s="13" t="s">
        <v>32</v>
      </c>
      <c r="F15" s="13" t="s">
        <v>2095</v>
      </c>
      <c r="G15" s="13" t="s">
        <v>2096</v>
      </c>
      <c r="H15" s="2"/>
      <c r="I15" s="2"/>
      <c r="J15" s="2"/>
      <c r="K15" s="2"/>
      <c r="L15" s="2"/>
      <c r="M15" s="2"/>
      <c r="N15" s="2"/>
      <c r="O15" s="2"/>
      <c r="P15" s="2"/>
      <c r="Q15" s="2"/>
      <c r="R15" s="2"/>
      <c r="S15" s="2"/>
      <c r="T15" s="2"/>
      <c r="U15" s="2"/>
      <c r="V15" s="2"/>
      <c r="W15" s="2"/>
      <c r="X15" s="2"/>
      <c r="Y15" s="2"/>
      <c r="Z15" s="2"/>
    </row>
    <row r="16" customHeight="1" spans="1:26">
      <c r="A16" s="64" t="s">
        <v>69</v>
      </c>
      <c r="B16" s="13" t="s">
        <v>2097</v>
      </c>
      <c r="C16" s="13" t="s">
        <v>66</v>
      </c>
      <c r="D16" s="65">
        <v>12</v>
      </c>
      <c r="E16" s="13" t="s">
        <v>71</v>
      </c>
      <c r="F16" s="13" t="s">
        <v>2098</v>
      </c>
      <c r="G16" s="13" t="s">
        <v>2099</v>
      </c>
      <c r="H16" s="2"/>
      <c r="I16" s="2"/>
      <c r="J16" s="2"/>
      <c r="K16" s="2"/>
      <c r="L16" s="2"/>
      <c r="M16" s="2"/>
      <c r="N16" s="2"/>
      <c r="O16" s="2"/>
      <c r="P16" s="2"/>
      <c r="Q16" s="2"/>
      <c r="R16" s="2"/>
      <c r="S16" s="2"/>
      <c r="T16" s="2"/>
      <c r="U16" s="2"/>
      <c r="V16" s="2"/>
      <c r="W16" s="2"/>
      <c r="X16" s="2"/>
      <c r="Y16" s="2"/>
      <c r="Z16" s="2"/>
    </row>
    <row r="17" customHeight="1" spans="1:26">
      <c r="A17" s="13" t="s">
        <v>74</v>
      </c>
      <c r="B17" s="13" t="s">
        <v>2100</v>
      </c>
      <c r="C17" s="13" t="s">
        <v>76</v>
      </c>
      <c r="D17" s="57"/>
      <c r="E17" s="57"/>
      <c r="F17" s="13" t="s">
        <v>2101</v>
      </c>
      <c r="G17" s="13" t="s">
        <v>2102</v>
      </c>
      <c r="H17" s="2"/>
      <c r="I17" s="2"/>
      <c r="J17" s="2"/>
      <c r="K17" s="2"/>
      <c r="L17" s="2"/>
      <c r="M17" s="2"/>
      <c r="N17" s="2"/>
      <c r="O17" s="2"/>
      <c r="P17" s="2"/>
      <c r="Q17" s="2"/>
      <c r="R17" s="2"/>
      <c r="S17" s="2"/>
      <c r="T17" s="2"/>
      <c r="U17" s="2"/>
      <c r="V17" s="2"/>
      <c r="W17" s="2"/>
      <c r="X17" s="2"/>
      <c r="Y17" s="2"/>
      <c r="Z17" s="2"/>
    </row>
    <row r="18" customHeight="1" spans="1:26">
      <c r="A18" s="64" t="s">
        <v>79</v>
      </c>
      <c r="B18" s="13" t="s">
        <v>81</v>
      </c>
      <c r="C18" s="13" t="s">
        <v>81</v>
      </c>
      <c r="D18" s="65">
        <v>30</v>
      </c>
      <c r="E18" s="13" t="s">
        <v>37</v>
      </c>
      <c r="F18" s="68" t="str">
        <f>HYPERLINK("http://www.ambervalley.gov.uk/images/doItOnline/council_tax_icon.png","http://www.ambervalley.gov.uk/images/doItOnline/council_tax_icon.png")</f>
        <v>http://www.ambervalley.gov.uk/images/doItOnline/council_tax_icon.png</v>
      </c>
      <c r="G18" s="13" t="s">
        <v>2103</v>
      </c>
      <c r="H18" s="2"/>
      <c r="I18" s="2"/>
      <c r="J18" s="2"/>
      <c r="K18" s="2"/>
      <c r="L18" s="2"/>
      <c r="M18" s="2"/>
      <c r="N18" s="2"/>
      <c r="O18" s="2"/>
      <c r="P18" s="2"/>
      <c r="Q18" s="2"/>
      <c r="R18" s="2"/>
      <c r="S18" s="2"/>
      <c r="T18" s="2"/>
      <c r="U18" s="2"/>
      <c r="V18" s="2"/>
      <c r="W18" s="2"/>
      <c r="X18" s="2"/>
      <c r="Y18" s="2"/>
      <c r="Z18" s="2"/>
    </row>
    <row r="19" customHeight="1" spans="1:26">
      <c r="A19" s="13" t="s">
        <v>84</v>
      </c>
      <c r="B19" s="13" t="s">
        <v>2104</v>
      </c>
      <c r="C19" s="13" t="s">
        <v>86</v>
      </c>
      <c r="D19" s="14">
        <v>134</v>
      </c>
      <c r="E19" s="13" t="s">
        <v>21</v>
      </c>
      <c r="F19" s="13" t="s">
        <v>2105</v>
      </c>
      <c r="G19" s="13" t="s">
        <v>2106</v>
      </c>
      <c r="H19" s="2"/>
      <c r="I19" s="2"/>
      <c r="J19" s="2"/>
      <c r="K19" s="2"/>
      <c r="L19" s="2"/>
      <c r="M19" s="2"/>
      <c r="N19" s="2"/>
      <c r="O19" s="2"/>
      <c r="P19" s="2"/>
      <c r="Q19" s="2"/>
      <c r="R19" s="2"/>
      <c r="S19" s="2"/>
      <c r="T19" s="2"/>
      <c r="U19" s="2"/>
      <c r="V19" s="2"/>
      <c r="W19" s="2"/>
      <c r="X19" s="2"/>
      <c r="Y19" s="2"/>
      <c r="Z19" s="2"/>
    </row>
    <row r="20" customHeight="1" spans="1:26">
      <c r="A20" s="13" t="s">
        <v>89</v>
      </c>
      <c r="B20" s="13" t="s">
        <v>1688</v>
      </c>
      <c r="C20" s="13" t="s">
        <v>91</v>
      </c>
      <c r="D20" s="57"/>
      <c r="E20" s="57"/>
      <c r="F20" s="13" t="s">
        <v>1689</v>
      </c>
      <c r="G20" s="13" t="s">
        <v>2107</v>
      </c>
      <c r="H20" s="2"/>
      <c r="I20" s="2"/>
      <c r="J20" s="2"/>
      <c r="K20" s="2"/>
      <c r="L20" s="2"/>
      <c r="M20" s="2"/>
      <c r="N20" s="2"/>
      <c r="O20" s="2"/>
      <c r="P20" s="2"/>
      <c r="Q20" s="2"/>
      <c r="R20" s="2"/>
      <c r="S20" s="2"/>
      <c r="T20" s="2"/>
      <c r="U20" s="2"/>
      <c r="V20" s="2"/>
      <c r="W20" s="2"/>
      <c r="X20" s="2"/>
      <c r="Y20" s="2"/>
      <c r="Z20" s="2"/>
    </row>
    <row r="21" customHeight="1" spans="1:26">
      <c r="A21" s="64" t="s">
        <v>94</v>
      </c>
      <c r="B21" s="13" t="s">
        <v>2108</v>
      </c>
      <c r="C21" s="13" t="s">
        <v>925</v>
      </c>
      <c r="D21" s="65">
        <v>60</v>
      </c>
      <c r="E21" s="13" t="s">
        <v>71</v>
      </c>
      <c r="F21" s="13" t="s">
        <v>2109</v>
      </c>
      <c r="G21" s="13" t="s">
        <v>2110</v>
      </c>
      <c r="H21" s="2"/>
      <c r="I21" s="2"/>
      <c r="J21" s="2"/>
      <c r="K21" s="2"/>
      <c r="L21" s="2"/>
      <c r="M21" s="2"/>
      <c r="N21" s="2"/>
      <c r="O21" s="2"/>
      <c r="P21" s="2"/>
      <c r="Q21" s="2"/>
      <c r="R21" s="2"/>
      <c r="S21" s="2"/>
      <c r="T21" s="2"/>
      <c r="U21" s="2"/>
      <c r="V21" s="2"/>
      <c r="W21" s="2"/>
      <c r="X21" s="2"/>
      <c r="Y21" s="2"/>
      <c r="Z21" s="2"/>
    </row>
    <row r="22" customHeight="1" spans="1:26">
      <c r="A22" s="64" t="s">
        <v>99</v>
      </c>
      <c r="B22" s="13" t="s">
        <v>928</v>
      </c>
      <c r="C22" s="13" t="s">
        <v>925</v>
      </c>
      <c r="D22" s="65">
        <v>70</v>
      </c>
      <c r="E22" s="13" t="s">
        <v>32</v>
      </c>
      <c r="F22" s="13" t="s">
        <v>929</v>
      </c>
      <c r="G22" s="13" t="s">
        <v>2111</v>
      </c>
      <c r="H22" s="2"/>
      <c r="I22" s="2"/>
      <c r="J22" s="2"/>
      <c r="K22" s="2"/>
      <c r="L22" s="2"/>
      <c r="M22" s="2"/>
      <c r="N22" s="2"/>
      <c r="O22" s="2"/>
      <c r="P22" s="2"/>
      <c r="Q22" s="2"/>
      <c r="R22" s="2"/>
      <c r="S22" s="2"/>
      <c r="T22" s="2"/>
      <c r="U22" s="2"/>
      <c r="V22" s="2"/>
      <c r="W22" s="2"/>
      <c r="X22" s="2"/>
      <c r="Y22" s="2"/>
      <c r="Z22" s="2"/>
    </row>
    <row r="23" customHeight="1" spans="1:26">
      <c r="A23" s="64" t="s">
        <v>102</v>
      </c>
      <c r="B23" s="13" t="s">
        <v>16</v>
      </c>
      <c r="C23" s="13" t="s">
        <v>108</v>
      </c>
      <c r="D23" s="65">
        <v>123</v>
      </c>
      <c r="E23" s="13" t="s">
        <v>21</v>
      </c>
      <c r="F23" s="13" t="s">
        <v>109</v>
      </c>
      <c r="G23" s="13" t="s">
        <v>1695</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2112</v>
      </c>
      <c r="H24" s="2"/>
      <c r="I24" s="2"/>
      <c r="J24" s="2"/>
      <c r="K24" s="2"/>
      <c r="L24" s="2"/>
      <c r="M24" s="2"/>
      <c r="N24" s="2"/>
      <c r="O24" s="2"/>
      <c r="P24" s="2"/>
      <c r="Q24" s="2"/>
      <c r="R24" s="2"/>
      <c r="S24" s="2"/>
      <c r="T24" s="2"/>
      <c r="U24" s="2"/>
      <c r="V24" s="2"/>
      <c r="W24" s="2"/>
      <c r="X24" s="2"/>
      <c r="Y24" s="2"/>
      <c r="Z24" s="2"/>
    </row>
    <row r="25" customHeight="1" spans="1:26">
      <c r="A25" s="13" t="s">
        <v>110</v>
      </c>
      <c r="B25" s="13" t="s">
        <v>2113</v>
      </c>
      <c r="C25" s="13" t="s">
        <v>112</v>
      </c>
      <c r="D25" s="57"/>
      <c r="E25" s="57"/>
      <c r="F25" s="13" t="s">
        <v>2114</v>
      </c>
      <c r="G25" s="13" t="s">
        <v>2115</v>
      </c>
      <c r="H25" s="2"/>
      <c r="I25" s="2"/>
      <c r="J25" s="2"/>
      <c r="K25" s="2"/>
      <c r="L25" s="2"/>
      <c r="M25" s="2"/>
      <c r="N25" s="2"/>
      <c r="O25" s="2"/>
      <c r="P25" s="2"/>
      <c r="Q25" s="2"/>
      <c r="R25" s="2"/>
      <c r="S25" s="2"/>
      <c r="T25" s="2"/>
      <c r="U25" s="2"/>
      <c r="V25" s="2"/>
      <c r="W25" s="2"/>
      <c r="X25" s="2"/>
      <c r="Y25" s="2"/>
      <c r="Z25" s="2"/>
    </row>
    <row r="26" customHeight="1" spans="1:26">
      <c r="A26" s="13" t="s">
        <v>115</v>
      </c>
      <c r="B26" s="13" t="s">
        <v>2116</v>
      </c>
      <c r="C26" s="13" t="s">
        <v>117</v>
      </c>
      <c r="D26" s="65">
        <v>90</v>
      </c>
      <c r="E26" s="13" t="s">
        <v>32</v>
      </c>
      <c r="F26" s="68" t="str">
        <f>HYPERLINK("http://i.forbesimg.com/media/lists/companies/marks-spencer_416x416.jpg","http://i.forbesimg.com/media/lists/companies/marks-spencer_416x416.jpg")</f>
        <v>http://i.forbesimg.com/media/lists/companies/marks-spencer_416x416.jpg</v>
      </c>
      <c r="G26" s="68" t="str">
        <f>HYPERLINK("http://www.marksandspencer.com/","http://www.marksandspencer.com/")</f>
        <v>http://www.marksandspencer.com/</v>
      </c>
      <c r="H26" s="2"/>
      <c r="I26" s="2"/>
      <c r="J26" s="2"/>
      <c r="K26" s="2"/>
      <c r="L26" s="2"/>
      <c r="M26" s="2"/>
      <c r="N26" s="2"/>
      <c r="O26" s="2"/>
      <c r="P26" s="2"/>
      <c r="Q26" s="2"/>
      <c r="R26" s="2"/>
      <c r="S26" s="2"/>
      <c r="T26" s="2"/>
      <c r="U26" s="2"/>
      <c r="V26" s="2"/>
      <c r="W26" s="2"/>
      <c r="X26" s="2"/>
      <c r="Y26" s="2"/>
      <c r="Z26" s="2"/>
    </row>
    <row r="27" customHeight="1" spans="1:26">
      <c r="A27" s="64" t="s">
        <v>120</v>
      </c>
      <c r="B27" s="13" t="s">
        <v>2117</v>
      </c>
      <c r="C27" s="13" t="s">
        <v>117</v>
      </c>
      <c r="D27" s="65">
        <v>60</v>
      </c>
      <c r="E27" s="13" t="s">
        <v>37</v>
      </c>
      <c r="F27" s="13" t="s">
        <v>2118</v>
      </c>
      <c r="G27" s="13" t="s">
        <v>2119</v>
      </c>
      <c r="H27" s="2"/>
      <c r="I27" s="2"/>
      <c r="J27" s="2"/>
      <c r="K27" s="2"/>
      <c r="L27" s="2"/>
      <c r="M27" s="2"/>
      <c r="N27" s="2"/>
      <c r="O27" s="2"/>
      <c r="P27" s="2"/>
      <c r="Q27" s="2"/>
      <c r="R27" s="2"/>
      <c r="S27" s="2"/>
      <c r="T27" s="2"/>
      <c r="U27" s="2"/>
      <c r="V27" s="2"/>
      <c r="W27" s="2"/>
      <c r="X27" s="2"/>
      <c r="Y27" s="2"/>
      <c r="Z27" s="2"/>
    </row>
    <row r="28" customHeight="1" spans="1:26">
      <c r="A28" s="13" t="s">
        <v>123</v>
      </c>
      <c r="B28" s="13" t="s">
        <v>2120</v>
      </c>
      <c r="C28" s="13" t="s">
        <v>117</v>
      </c>
      <c r="D28" s="65">
        <v>80</v>
      </c>
      <c r="E28" s="13" t="s">
        <v>245</v>
      </c>
      <c r="F28" s="13" t="s">
        <v>2121</v>
      </c>
      <c r="G28" s="13" t="s">
        <v>2122</v>
      </c>
      <c r="H28" s="2"/>
      <c r="I28" s="2"/>
      <c r="J28" s="2"/>
      <c r="K28" s="2"/>
      <c r="L28" s="2"/>
      <c r="M28" s="2"/>
      <c r="N28" s="2"/>
      <c r="O28" s="2"/>
      <c r="P28" s="2"/>
      <c r="Q28" s="2"/>
      <c r="R28" s="2"/>
      <c r="S28" s="2"/>
      <c r="T28" s="2"/>
      <c r="U28" s="2"/>
      <c r="V28" s="2"/>
      <c r="W28" s="2"/>
      <c r="X28" s="2"/>
      <c r="Y28" s="2"/>
      <c r="Z28" s="2"/>
    </row>
    <row r="29" customHeight="1" spans="1:26">
      <c r="A29" s="64" t="s">
        <v>127</v>
      </c>
      <c r="B29" s="13" t="s">
        <v>2123</v>
      </c>
      <c r="C29" s="13" t="s">
        <v>117</v>
      </c>
      <c r="D29" s="65">
        <v>50</v>
      </c>
      <c r="E29" s="13" t="s">
        <v>37</v>
      </c>
      <c r="F29" s="13" t="s">
        <v>2124</v>
      </c>
      <c r="G29" s="13" t="s">
        <v>2125</v>
      </c>
      <c r="H29" s="2"/>
      <c r="I29" s="2"/>
      <c r="J29" s="2"/>
      <c r="K29" s="2"/>
      <c r="L29" s="2"/>
      <c r="M29" s="2"/>
      <c r="N29" s="2"/>
      <c r="O29" s="2"/>
      <c r="P29" s="2"/>
      <c r="Q29" s="2"/>
      <c r="R29" s="2"/>
      <c r="S29" s="2"/>
      <c r="T29" s="2"/>
      <c r="U29" s="2"/>
      <c r="V29" s="2"/>
      <c r="W29" s="2"/>
      <c r="X29" s="2"/>
      <c r="Y29" s="2"/>
      <c r="Z29" s="2"/>
    </row>
    <row r="30" customHeight="1" spans="1:26">
      <c r="A30" s="64" t="s">
        <v>131</v>
      </c>
      <c r="B30" s="13" t="s">
        <v>2126</v>
      </c>
      <c r="C30" s="13" t="s">
        <v>117</v>
      </c>
      <c r="D30" s="65">
        <v>50</v>
      </c>
      <c r="E30" s="13" t="s">
        <v>32</v>
      </c>
      <c r="F30" s="13" t="s">
        <v>2127</v>
      </c>
      <c r="G30" s="13" t="s">
        <v>2128</v>
      </c>
      <c r="H30" s="2"/>
      <c r="I30" s="2"/>
      <c r="J30" s="2"/>
      <c r="K30" s="2"/>
      <c r="L30" s="2"/>
      <c r="M30" s="2"/>
      <c r="N30" s="2"/>
      <c r="O30" s="2"/>
      <c r="P30" s="2"/>
      <c r="Q30" s="2"/>
      <c r="R30" s="2"/>
      <c r="S30" s="2"/>
      <c r="T30" s="2"/>
      <c r="U30" s="2"/>
      <c r="V30" s="2"/>
      <c r="W30" s="2"/>
      <c r="X30" s="2"/>
      <c r="Y30" s="2"/>
      <c r="Z30" s="2"/>
    </row>
    <row r="31" customHeight="1" spans="1:26">
      <c r="A31" s="64" t="s">
        <v>135</v>
      </c>
      <c r="B31" s="13" t="s">
        <v>2129</v>
      </c>
      <c r="C31" s="13" t="s">
        <v>117</v>
      </c>
      <c r="D31" s="65">
        <v>30</v>
      </c>
      <c r="E31" s="13" t="s">
        <v>32</v>
      </c>
      <c r="F31" s="13" t="s">
        <v>2130</v>
      </c>
      <c r="G31" s="13" t="s">
        <v>2131</v>
      </c>
      <c r="H31" s="2"/>
      <c r="I31" s="2"/>
      <c r="J31" s="2"/>
      <c r="K31" s="2"/>
      <c r="L31" s="2"/>
      <c r="M31" s="2"/>
      <c r="N31" s="2"/>
      <c r="O31" s="2"/>
      <c r="P31" s="2"/>
      <c r="Q31" s="2"/>
      <c r="R31" s="2"/>
      <c r="S31" s="2"/>
      <c r="T31" s="2"/>
      <c r="U31" s="2"/>
      <c r="V31" s="2"/>
      <c r="W31" s="2"/>
      <c r="X31" s="2"/>
      <c r="Y31" s="2"/>
      <c r="Z31" s="2"/>
    </row>
    <row r="32" customHeight="1" spans="1:26">
      <c r="A32" s="13" t="s">
        <v>139</v>
      </c>
      <c r="B32" s="13" t="s">
        <v>954</v>
      </c>
      <c r="C32" s="13" t="s">
        <v>141</v>
      </c>
      <c r="D32" s="14">
        <v>55</v>
      </c>
      <c r="E32" s="13" t="s">
        <v>37</v>
      </c>
      <c r="F32" s="13" t="s">
        <v>2132</v>
      </c>
      <c r="G32" s="13" t="s">
        <v>2133</v>
      </c>
      <c r="H32" s="2"/>
      <c r="I32" s="2"/>
      <c r="J32" s="2"/>
      <c r="K32" s="2"/>
      <c r="L32" s="2"/>
      <c r="M32" s="2"/>
      <c r="N32" s="2"/>
      <c r="O32" s="2"/>
      <c r="P32" s="2"/>
      <c r="Q32" s="2"/>
      <c r="R32" s="2"/>
      <c r="S32" s="2"/>
      <c r="T32" s="2"/>
      <c r="U32" s="2"/>
      <c r="V32" s="2"/>
      <c r="W32" s="2"/>
      <c r="X32" s="2"/>
      <c r="Y32" s="2"/>
      <c r="Z32" s="2"/>
    </row>
    <row r="33" customHeight="1" spans="1:26">
      <c r="A33" s="13" t="s">
        <v>144</v>
      </c>
      <c r="B33" s="13" t="s">
        <v>2134</v>
      </c>
      <c r="C33" s="13" t="s">
        <v>146</v>
      </c>
      <c r="D33" s="57"/>
      <c r="E33" s="57"/>
      <c r="F33" s="13" t="s">
        <v>2135</v>
      </c>
      <c r="G33" s="13" t="s">
        <v>2136</v>
      </c>
      <c r="H33" s="2"/>
      <c r="I33" s="2"/>
      <c r="J33" s="2"/>
      <c r="K33" s="2"/>
      <c r="L33" s="2"/>
      <c r="M33" s="2"/>
      <c r="N33" s="2"/>
      <c r="O33" s="2"/>
      <c r="P33" s="2"/>
      <c r="Q33" s="2"/>
      <c r="R33" s="2"/>
      <c r="S33" s="2"/>
      <c r="T33" s="2"/>
      <c r="U33" s="2"/>
      <c r="V33" s="2"/>
      <c r="W33" s="2"/>
      <c r="X33" s="2"/>
      <c r="Y33" s="2"/>
      <c r="Z33" s="2"/>
    </row>
    <row r="34" customHeight="1" spans="1:26">
      <c r="A34" s="13" t="s">
        <v>149</v>
      </c>
      <c r="B34" s="13" t="s">
        <v>150</v>
      </c>
      <c r="C34" s="13" t="s">
        <v>151</v>
      </c>
      <c r="D34" s="57"/>
      <c r="E34" s="57"/>
      <c r="F34" s="13" t="s">
        <v>2137</v>
      </c>
      <c r="G34" s="13" t="s">
        <v>2138</v>
      </c>
      <c r="H34" s="2"/>
      <c r="I34" s="2"/>
      <c r="J34" s="2"/>
      <c r="K34" s="2"/>
      <c r="L34" s="2"/>
      <c r="M34" s="2"/>
      <c r="N34" s="2"/>
      <c r="O34" s="2"/>
      <c r="P34" s="2"/>
      <c r="Q34" s="2"/>
      <c r="R34" s="2"/>
      <c r="S34" s="2"/>
      <c r="T34" s="2"/>
      <c r="U34" s="2"/>
      <c r="V34" s="2"/>
      <c r="W34" s="2"/>
      <c r="X34" s="2"/>
      <c r="Y34" s="2"/>
      <c r="Z34" s="2"/>
    </row>
    <row r="35" customHeight="1" spans="1:26">
      <c r="A35" s="64" t="s">
        <v>154</v>
      </c>
      <c r="B35" s="13" t="s">
        <v>2139</v>
      </c>
      <c r="C35" s="13" t="s">
        <v>156</v>
      </c>
      <c r="D35" s="65">
        <v>30</v>
      </c>
      <c r="E35" s="13" t="s">
        <v>37</v>
      </c>
      <c r="F35" s="13" t="s">
        <v>2140</v>
      </c>
      <c r="G35" s="13" t="s">
        <v>2141</v>
      </c>
      <c r="H35" s="2"/>
      <c r="I35" s="2"/>
      <c r="J35" s="2"/>
      <c r="K35" s="2"/>
      <c r="L35" s="2"/>
      <c r="M35" s="2"/>
      <c r="N35" s="2"/>
      <c r="O35" s="2"/>
      <c r="P35" s="2"/>
      <c r="Q35" s="2"/>
      <c r="R35" s="2"/>
      <c r="S35" s="2"/>
      <c r="T35" s="2"/>
      <c r="U35" s="2"/>
      <c r="V35" s="2"/>
      <c r="W35" s="2"/>
      <c r="X35" s="2"/>
      <c r="Y35" s="2"/>
      <c r="Z35" s="2"/>
    </row>
    <row r="36" customHeight="1" spans="1:26">
      <c r="A36" s="13" t="s">
        <v>159</v>
      </c>
      <c r="B36" s="13" t="s">
        <v>1727</v>
      </c>
      <c r="C36" s="13" t="s">
        <v>161</v>
      </c>
      <c r="D36" s="57"/>
      <c r="E36" s="57"/>
      <c r="F36" s="13" t="s">
        <v>2142</v>
      </c>
      <c r="G36" s="13" t="s">
        <v>2143</v>
      </c>
      <c r="H36" s="2"/>
      <c r="I36" s="2"/>
      <c r="J36" s="2"/>
      <c r="K36" s="2"/>
      <c r="L36" s="2"/>
      <c r="M36" s="2"/>
      <c r="N36" s="2"/>
      <c r="O36" s="2"/>
      <c r="P36" s="2"/>
      <c r="Q36" s="2"/>
      <c r="R36" s="2"/>
      <c r="S36" s="2"/>
      <c r="T36" s="2"/>
      <c r="U36" s="2"/>
      <c r="V36" s="2"/>
      <c r="W36" s="2"/>
      <c r="X36" s="2"/>
      <c r="Y36" s="2"/>
      <c r="Z36" s="2"/>
    </row>
    <row r="37" customHeight="1" spans="1:26">
      <c r="A37" s="13" t="s">
        <v>164</v>
      </c>
      <c r="B37" s="13" t="s">
        <v>1730</v>
      </c>
      <c r="C37" s="13" t="s">
        <v>166</v>
      </c>
      <c r="D37" s="57"/>
      <c r="E37" s="57"/>
      <c r="F37" s="13" t="s">
        <v>1731</v>
      </c>
      <c r="G37" s="13" t="s">
        <v>1732</v>
      </c>
      <c r="H37" s="2"/>
      <c r="I37" s="2"/>
      <c r="J37" s="2"/>
      <c r="K37" s="2"/>
      <c r="L37" s="2"/>
      <c r="M37" s="2"/>
      <c r="N37" s="2"/>
      <c r="O37" s="2"/>
      <c r="P37" s="2"/>
      <c r="Q37" s="2"/>
      <c r="R37" s="2"/>
      <c r="S37" s="2"/>
      <c r="T37" s="2"/>
      <c r="U37" s="2"/>
      <c r="V37" s="2"/>
      <c r="W37" s="2"/>
      <c r="X37" s="2"/>
      <c r="Y37" s="2"/>
      <c r="Z37" s="2"/>
    </row>
    <row r="38" customHeight="1" spans="1:26">
      <c r="A38" s="64" t="s">
        <v>169</v>
      </c>
      <c r="B38" s="13" t="s">
        <v>170</v>
      </c>
      <c r="C38" s="13" t="s">
        <v>171</v>
      </c>
      <c r="D38" s="65">
        <v>46</v>
      </c>
      <c r="E38" s="13" t="s">
        <v>37</v>
      </c>
      <c r="F38" s="13" t="s">
        <v>1733</v>
      </c>
      <c r="G38" s="13" t="s">
        <v>2144</v>
      </c>
      <c r="H38" s="2"/>
      <c r="I38" s="2"/>
      <c r="J38" s="2"/>
      <c r="K38" s="2"/>
      <c r="L38" s="2"/>
      <c r="M38" s="2"/>
      <c r="N38" s="2"/>
      <c r="O38" s="2"/>
      <c r="P38" s="2"/>
      <c r="Q38" s="2"/>
      <c r="R38" s="2"/>
      <c r="S38" s="2"/>
      <c r="T38" s="2"/>
      <c r="U38" s="2"/>
      <c r="V38" s="2"/>
      <c r="W38" s="2"/>
      <c r="X38" s="2"/>
      <c r="Y38" s="2"/>
      <c r="Z38" s="2"/>
    </row>
    <row r="39" customHeight="1" spans="1:26">
      <c r="A39" s="64" t="s">
        <v>174</v>
      </c>
      <c r="B39" s="13" t="s">
        <v>2145</v>
      </c>
      <c r="C39" s="13" t="s">
        <v>171</v>
      </c>
      <c r="D39" s="65">
        <v>30</v>
      </c>
      <c r="E39" s="13" t="s">
        <v>37</v>
      </c>
      <c r="F39" s="13" t="s">
        <v>976</v>
      </c>
      <c r="G39" s="13" t="s">
        <v>2146</v>
      </c>
      <c r="H39" s="2"/>
      <c r="I39" s="2"/>
      <c r="J39" s="2"/>
      <c r="K39" s="2"/>
      <c r="L39" s="2"/>
      <c r="M39" s="2"/>
      <c r="N39" s="2"/>
      <c r="O39" s="2"/>
      <c r="P39" s="2"/>
      <c r="Q39" s="2"/>
      <c r="R39" s="2"/>
      <c r="S39" s="2"/>
      <c r="T39" s="2"/>
      <c r="U39" s="2"/>
      <c r="V39" s="2"/>
      <c r="W39" s="2"/>
      <c r="X39" s="2"/>
      <c r="Y39" s="2"/>
      <c r="Z39" s="2"/>
    </row>
    <row r="40" customHeight="1" spans="1:26">
      <c r="A40" s="64" t="s">
        <v>178</v>
      </c>
      <c r="B40" s="13" t="s">
        <v>2147</v>
      </c>
      <c r="C40" s="13" t="s">
        <v>180</v>
      </c>
      <c r="D40" s="65">
        <v>45</v>
      </c>
      <c r="E40" s="13" t="s">
        <v>37</v>
      </c>
      <c r="F40" s="57"/>
      <c r="G40" s="68" t="str">
        <f>HYPERLINK("http://www.duddingstongolfclub.co.uk/","http://www.duddingstongolfclub.co.uk/")</f>
        <v>http://www.duddingstongolfclub.co.uk/</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customHeight="1" spans="1:26">
      <c r="A42" s="64" t="s">
        <v>188</v>
      </c>
      <c r="B42" s="13" t="s">
        <v>189</v>
      </c>
      <c r="C42" s="13" t="s">
        <v>190</v>
      </c>
      <c r="D42" s="65">
        <v>650</v>
      </c>
      <c r="E42" s="13" t="s">
        <v>37</v>
      </c>
      <c r="F42" s="13" t="s">
        <v>191</v>
      </c>
      <c r="G42" s="13" t="s">
        <v>192</v>
      </c>
      <c r="H42" s="2"/>
      <c r="I42" s="2"/>
      <c r="J42" s="2"/>
      <c r="K42" s="2"/>
      <c r="L42" s="2"/>
      <c r="M42" s="2"/>
      <c r="N42" s="2"/>
      <c r="O42" s="2"/>
      <c r="P42" s="2"/>
      <c r="Q42" s="2"/>
      <c r="R42" s="2"/>
      <c r="S42" s="2"/>
      <c r="T42" s="2"/>
      <c r="U42" s="2"/>
      <c r="V42" s="2"/>
      <c r="W42" s="2"/>
      <c r="X42" s="2"/>
      <c r="Y42" s="2"/>
      <c r="Z42" s="2"/>
    </row>
    <row r="43" customHeight="1" spans="1:26">
      <c r="A43" s="13" t="s">
        <v>193</v>
      </c>
      <c r="B43" s="13" t="s">
        <v>982</v>
      </c>
      <c r="C43" s="13" t="s">
        <v>195</v>
      </c>
      <c r="D43" s="57"/>
      <c r="E43" s="57"/>
      <c r="F43" s="13" t="s">
        <v>983</v>
      </c>
      <c r="G43" s="13" t="s">
        <v>2148</v>
      </c>
      <c r="H43" s="2"/>
      <c r="I43" s="2"/>
      <c r="J43" s="2"/>
      <c r="K43" s="2"/>
      <c r="L43" s="2"/>
      <c r="M43" s="2"/>
      <c r="N43" s="2"/>
      <c r="O43" s="2"/>
      <c r="P43" s="2"/>
      <c r="Q43" s="2"/>
      <c r="R43" s="2"/>
      <c r="S43" s="2"/>
      <c r="T43" s="2"/>
      <c r="U43" s="2"/>
      <c r="V43" s="2"/>
      <c r="W43" s="2"/>
      <c r="X43" s="2"/>
      <c r="Y43" s="2"/>
      <c r="Z43" s="2"/>
    </row>
    <row r="44" customHeight="1" spans="1:26">
      <c r="A44" s="64" t="s">
        <v>198</v>
      </c>
      <c r="B44" s="13" t="s">
        <v>2149</v>
      </c>
      <c r="C44" s="13" t="s">
        <v>200</v>
      </c>
      <c r="D44" s="65">
        <v>30</v>
      </c>
      <c r="E44" s="13" t="s">
        <v>21</v>
      </c>
      <c r="F44" s="13" t="s">
        <v>2150</v>
      </c>
      <c r="G44" s="13" t="s">
        <v>2151</v>
      </c>
      <c r="H44" s="2"/>
      <c r="I44" s="2"/>
      <c r="J44" s="2"/>
      <c r="K44" s="2"/>
      <c r="L44" s="2"/>
      <c r="M44" s="2"/>
      <c r="N44" s="2"/>
      <c r="O44" s="2"/>
      <c r="P44" s="2"/>
      <c r="Q44" s="2"/>
      <c r="R44" s="2"/>
      <c r="S44" s="2"/>
      <c r="T44" s="2"/>
      <c r="U44" s="2"/>
      <c r="V44" s="2"/>
      <c r="W44" s="2"/>
      <c r="X44" s="2"/>
      <c r="Y44" s="2"/>
      <c r="Z44" s="2"/>
    </row>
    <row r="45" customHeight="1" spans="1:26">
      <c r="A45" s="13" t="s">
        <v>203</v>
      </c>
      <c r="B45" s="13" t="s">
        <v>988</v>
      </c>
      <c r="C45" s="13" t="s">
        <v>200</v>
      </c>
      <c r="D45" s="14">
        <v>80</v>
      </c>
      <c r="E45" s="13" t="s">
        <v>21</v>
      </c>
      <c r="F45" s="13" t="s">
        <v>2152</v>
      </c>
      <c r="G45" s="13" t="s">
        <v>2153</v>
      </c>
      <c r="H45" s="2"/>
      <c r="I45" s="2"/>
      <c r="J45" s="2"/>
      <c r="K45" s="2"/>
      <c r="L45" s="2"/>
      <c r="M45" s="2"/>
      <c r="N45" s="2"/>
      <c r="O45" s="2"/>
      <c r="P45" s="2"/>
      <c r="Q45" s="2"/>
      <c r="R45" s="2"/>
      <c r="S45" s="2"/>
      <c r="T45" s="2"/>
      <c r="U45" s="2"/>
      <c r="V45" s="2"/>
      <c r="W45" s="2"/>
      <c r="X45" s="2"/>
      <c r="Y45" s="2"/>
      <c r="Z45" s="2"/>
    </row>
    <row r="46" customHeight="1" spans="1:26">
      <c r="A46" s="64" t="s">
        <v>207</v>
      </c>
      <c r="B46" s="13" t="s">
        <v>2154</v>
      </c>
      <c r="C46" s="13" t="s">
        <v>209</v>
      </c>
      <c r="D46" s="65">
        <v>5</v>
      </c>
      <c r="E46" s="13" t="s">
        <v>37</v>
      </c>
      <c r="F46" s="68" t="str">
        <f>HYPERLINK("http://www.ncp.co.uk/graphics/logo.png","http://www.ncp.co.uk/graphics/logo.png")</f>
        <v>http://www.ncp.co.uk/graphics/logo.png</v>
      </c>
      <c r="G46" s="13" t="s">
        <v>2155</v>
      </c>
      <c r="H46" s="2"/>
      <c r="I46" s="2"/>
      <c r="J46" s="2"/>
      <c r="K46" s="2"/>
      <c r="L46" s="2"/>
      <c r="M46" s="2"/>
      <c r="N46" s="2"/>
      <c r="O46" s="2"/>
      <c r="P46" s="2"/>
      <c r="Q46" s="2"/>
      <c r="R46" s="2"/>
      <c r="S46" s="2"/>
      <c r="T46" s="2"/>
      <c r="U46" s="2"/>
      <c r="V46" s="2"/>
      <c r="W46" s="2"/>
      <c r="X46" s="2"/>
      <c r="Y46" s="2"/>
      <c r="Z46" s="2"/>
    </row>
    <row r="47" customHeight="1" spans="1:26">
      <c r="A47" s="13" t="s">
        <v>212</v>
      </c>
      <c r="B47" s="13" t="s">
        <v>2156</v>
      </c>
      <c r="C47" s="13" t="s">
        <v>214</v>
      </c>
      <c r="D47" s="14">
        <v>20</v>
      </c>
      <c r="E47" s="13" t="s">
        <v>37</v>
      </c>
      <c r="F47" s="13" t="s">
        <v>2157</v>
      </c>
      <c r="G47" s="13" t="s">
        <v>2158</v>
      </c>
      <c r="H47" s="2"/>
      <c r="I47" s="2"/>
      <c r="J47" s="2"/>
      <c r="K47" s="2"/>
      <c r="L47" s="2"/>
      <c r="M47" s="2"/>
      <c r="N47" s="2"/>
      <c r="O47" s="2"/>
      <c r="P47" s="2"/>
      <c r="Q47" s="2"/>
      <c r="R47" s="2"/>
      <c r="S47" s="2"/>
      <c r="T47" s="2"/>
      <c r="U47" s="2"/>
      <c r="V47" s="2"/>
      <c r="W47" s="2"/>
      <c r="X47" s="2"/>
      <c r="Y47" s="2"/>
      <c r="Z47" s="2"/>
    </row>
    <row r="48" customHeight="1" spans="1:26">
      <c r="A48" s="13" t="s">
        <v>217</v>
      </c>
      <c r="B48" s="13" t="s">
        <v>2159</v>
      </c>
      <c r="C48" s="13" t="s">
        <v>219</v>
      </c>
      <c r="D48" s="57"/>
      <c r="E48" s="57"/>
      <c r="F48" s="13" t="s">
        <v>2160</v>
      </c>
      <c r="G48" s="13" t="s">
        <v>2161</v>
      </c>
      <c r="H48" s="2"/>
      <c r="I48" s="2"/>
      <c r="J48" s="2"/>
      <c r="K48" s="2"/>
      <c r="L48" s="2"/>
      <c r="M48" s="2"/>
      <c r="N48" s="2"/>
      <c r="O48" s="2"/>
      <c r="P48" s="2"/>
      <c r="Q48" s="2"/>
      <c r="R48" s="2"/>
      <c r="S48" s="2"/>
      <c r="T48" s="2"/>
      <c r="U48" s="2"/>
      <c r="V48" s="2"/>
      <c r="W48" s="2"/>
      <c r="X48" s="2"/>
      <c r="Y48" s="2"/>
      <c r="Z48" s="2"/>
    </row>
    <row r="49" customHeight="1" spans="1:26">
      <c r="A49" s="13" t="s">
        <v>222</v>
      </c>
      <c r="B49" s="13" t="s">
        <v>2162</v>
      </c>
      <c r="C49" s="13" t="s">
        <v>224</v>
      </c>
      <c r="D49" s="14">
        <v>96</v>
      </c>
      <c r="E49" s="13" t="s">
        <v>21</v>
      </c>
      <c r="F49" s="13" t="s">
        <v>2163</v>
      </c>
      <c r="G49" s="13" t="s">
        <v>2164</v>
      </c>
      <c r="H49" s="2"/>
      <c r="I49" s="2"/>
      <c r="J49" s="2"/>
      <c r="K49" s="2"/>
      <c r="L49" s="2"/>
      <c r="M49" s="2"/>
      <c r="N49" s="2"/>
      <c r="O49" s="2"/>
      <c r="P49" s="2"/>
      <c r="Q49" s="2"/>
      <c r="R49" s="2"/>
      <c r="S49" s="2"/>
      <c r="T49" s="2"/>
      <c r="U49" s="2"/>
      <c r="V49" s="2"/>
      <c r="W49" s="2"/>
      <c r="X49" s="2"/>
      <c r="Y49" s="2"/>
      <c r="Z49" s="2"/>
    </row>
    <row r="50" customHeight="1" spans="1:26">
      <c r="A50" s="13" t="s">
        <v>227</v>
      </c>
      <c r="B50" s="13" t="s">
        <v>2165</v>
      </c>
      <c r="C50" s="13" t="s">
        <v>229</v>
      </c>
      <c r="D50" s="14">
        <v>66</v>
      </c>
      <c r="E50" s="13" t="s">
        <v>21</v>
      </c>
      <c r="F50" s="13" t="s">
        <v>2166</v>
      </c>
      <c r="G50" s="13" t="s">
        <v>2167</v>
      </c>
      <c r="H50" s="2"/>
      <c r="I50" s="2"/>
      <c r="J50" s="2"/>
      <c r="K50" s="2"/>
      <c r="L50" s="2"/>
      <c r="M50" s="2"/>
      <c r="N50" s="2"/>
      <c r="O50" s="2"/>
      <c r="P50" s="2"/>
      <c r="Q50" s="2"/>
      <c r="R50" s="2"/>
      <c r="S50" s="2"/>
      <c r="T50" s="2"/>
      <c r="U50" s="2"/>
      <c r="V50" s="2"/>
      <c r="W50" s="2"/>
      <c r="X50" s="2"/>
      <c r="Y50" s="2"/>
      <c r="Z50" s="2"/>
    </row>
    <row r="51" customHeight="1" spans="1:26">
      <c r="A51" s="13" t="s">
        <v>231</v>
      </c>
      <c r="B51" s="13" t="s">
        <v>2168</v>
      </c>
      <c r="C51" s="13" t="s">
        <v>224</v>
      </c>
      <c r="D51" s="14">
        <v>156</v>
      </c>
      <c r="E51" s="13" t="s">
        <v>21</v>
      </c>
      <c r="F51" s="13" t="s">
        <v>2169</v>
      </c>
      <c r="G51" s="13" t="s">
        <v>2170</v>
      </c>
      <c r="H51" s="2"/>
      <c r="I51" s="2"/>
      <c r="J51" s="2"/>
      <c r="K51" s="2"/>
      <c r="L51" s="2"/>
      <c r="M51" s="2"/>
      <c r="N51" s="2"/>
      <c r="O51" s="2"/>
      <c r="P51" s="2"/>
      <c r="Q51" s="2"/>
      <c r="R51" s="2"/>
      <c r="S51" s="2"/>
      <c r="T51" s="2"/>
      <c r="U51" s="2"/>
      <c r="V51" s="2"/>
      <c r="W51" s="2"/>
      <c r="X51" s="2"/>
      <c r="Y51" s="2"/>
      <c r="Z51" s="2"/>
    </row>
    <row r="52" customHeight="1" spans="1:26">
      <c r="A52" s="64" t="s">
        <v>234</v>
      </c>
      <c r="B52" s="13" t="s">
        <v>2171</v>
      </c>
      <c r="C52" s="13" t="s">
        <v>236</v>
      </c>
      <c r="D52" s="65">
        <v>30</v>
      </c>
      <c r="E52" s="13" t="s">
        <v>37</v>
      </c>
      <c r="F52" s="13" t="s">
        <v>2172</v>
      </c>
      <c r="G52" s="57"/>
      <c r="H52" s="2"/>
      <c r="I52" s="2"/>
      <c r="J52" s="2"/>
      <c r="K52" s="2"/>
      <c r="L52" s="2"/>
      <c r="M52" s="2"/>
      <c r="N52" s="2"/>
      <c r="O52" s="2"/>
      <c r="P52" s="2"/>
      <c r="Q52" s="2"/>
      <c r="R52" s="2"/>
      <c r="S52" s="2"/>
      <c r="T52" s="2"/>
      <c r="U52" s="2"/>
      <c r="V52" s="2"/>
      <c r="W52" s="2"/>
      <c r="X52" s="2"/>
      <c r="Y52" s="2"/>
      <c r="Z52" s="2"/>
    </row>
    <row r="53" customHeight="1" spans="1:26">
      <c r="A53" s="13" t="s">
        <v>239</v>
      </c>
      <c r="B53" s="13" t="s">
        <v>2173</v>
      </c>
      <c r="C53" s="13" t="s">
        <v>236</v>
      </c>
      <c r="D53" s="14">
        <v>230</v>
      </c>
      <c r="E53" s="13" t="s">
        <v>21</v>
      </c>
      <c r="F53" s="13" t="s">
        <v>2174</v>
      </c>
      <c r="G53" s="13" t="s">
        <v>2175</v>
      </c>
      <c r="H53" s="2"/>
      <c r="I53" s="2"/>
      <c r="J53" s="2"/>
      <c r="K53" s="2"/>
      <c r="L53" s="2"/>
      <c r="M53" s="2"/>
      <c r="N53" s="2"/>
      <c r="O53" s="2"/>
      <c r="P53" s="2"/>
      <c r="Q53" s="2"/>
      <c r="R53" s="2"/>
      <c r="S53" s="2"/>
      <c r="T53" s="2"/>
      <c r="U53" s="2"/>
      <c r="V53" s="2"/>
      <c r="W53" s="2"/>
      <c r="X53" s="2"/>
      <c r="Y53" s="2"/>
      <c r="Z53" s="2"/>
    </row>
    <row r="54" customHeight="1" spans="1:26">
      <c r="A54" s="13" t="s">
        <v>243</v>
      </c>
      <c r="B54" s="13" t="s">
        <v>2176</v>
      </c>
      <c r="C54" s="13" t="s">
        <v>236</v>
      </c>
      <c r="D54" s="14">
        <v>100</v>
      </c>
      <c r="E54" s="13" t="s">
        <v>245</v>
      </c>
      <c r="F54" s="57"/>
      <c r="G54" s="57"/>
      <c r="H54" s="2"/>
      <c r="I54" s="2"/>
      <c r="J54" s="2"/>
      <c r="K54" s="2"/>
      <c r="L54" s="2"/>
      <c r="M54" s="2"/>
      <c r="N54" s="2"/>
      <c r="O54" s="2"/>
      <c r="P54" s="2"/>
      <c r="Q54" s="2"/>
      <c r="R54" s="2"/>
      <c r="S54" s="2"/>
      <c r="T54" s="2"/>
      <c r="U54" s="2"/>
      <c r="V54" s="2"/>
      <c r="W54" s="2"/>
      <c r="X54" s="2"/>
      <c r="Y54" s="2"/>
      <c r="Z54" s="2"/>
    </row>
    <row r="55" customHeight="1" spans="1:26">
      <c r="A55" s="13" t="s">
        <v>248</v>
      </c>
      <c r="B55" s="13" t="s">
        <v>2177</v>
      </c>
      <c r="C55" s="13" t="s">
        <v>236</v>
      </c>
      <c r="D55" s="14">
        <v>100</v>
      </c>
      <c r="E55" s="13" t="s">
        <v>245</v>
      </c>
      <c r="F55" s="57"/>
      <c r="G55" s="57"/>
      <c r="H55" s="2"/>
      <c r="I55" s="2"/>
      <c r="J55" s="2"/>
      <c r="K55" s="2"/>
      <c r="L55" s="2"/>
      <c r="M55" s="2"/>
      <c r="N55" s="2"/>
      <c r="O55" s="2"/>
      <c r="P55" s="2"/>
      <c r="Q55" s="2"/>
      <c r="R55" s="2"/>
      <c r="S55" s="2"/>
      <c r="T55" s="2"/>
      <c r="U55" s="2"/>
      <c r="V55" s="2"/>
      <c r="W55" s="2"/>
      <c r="X55" s="2"/>
      <c r="Y55" s="2"/>
      <c r="Z55" s="2"/>
    </row>
    <row r="56" customHeight="1" spans="1:26">
      <c r="A56" s="64" t="s">
        <v>252</v>
      </c>
      <c r="B56" s="13" t="s">
        <v>2178</v>
      </c>
      <c r="C56" s="13" t="s">
        <v>236</v>
      </c>
      <c r="D56" s="65">
        <v>35</v>
      </c>
      <c r="E56" s="13" t="s">
        <v>37</v>
      </c>
      <c r="F56" s="13" t="s">
        <v>2179</v>
      </c>
      <c r="G56" s="13" t="s">
        <v>2180</v>
      </c>
      <c r="H56" s="2"/>
      <c r="I56" s="2"/>
      <c r="J56" s="2"/>
      <c r="K56" s="2"/>
      <c r="L56" s="2"/>
      <c r="M56" s="2"/>
      <c r="N56" s="2"/>
      <c r="O56" s="2"/>
      <c r="P56" s="2"/>
      <c r="Q56" s="2"/>
      <c r="R56" s="2"/>
      <c r="S56" s="2"/>
      <c r="T56" s="2"/>
      <c r="U56" s="2"/>
      <c r="V56" s="2"/>
      <c r="W56" s="2"/>
      <c r="X56" s="2"/>
      <c r="Y56" s="2"/>
      <c r="Z56" s="2"/>
    </row>
    <row r="57" customHeight="1" spans="1:26">
      <c r="A57" s="64" t="s">
        <v>256</v>
      </c>
      <c r="B57" s="13" t="s">
        <v>1026</v>
      </c>
      <c r="C57" s="13" t="s">
        <v>236</v>
      </c>
      <c r="D57" s="65">
        <v>40</v>
      </c>
      <c r="E57" s="13" t="s">
        <v>37</v>
      </c>
      <c r="F57" s="13" t="s">
        <v>1027</v>
      </c>
      <c r="G57" s="13" t="s">
        <v>1028</v>
      </c>
      <c r="H57" s="2"/>
      <c r="I57" s="2"/>
      <c r="J57" s="2"/>
      <c r="K57" s="2"/>
      <c r="L57" s="2"/>
      <c r="M57" s="2"/>
      <c r="N57" s="2"/>
      <c r="O57" s="2"/>
      <c r="P57" s="2"/>
      <c r="Q57" s="2"/>
      <c r="R57" s="2"/>
      <c r="S57" s="2"/>
      <c r="T57" s="2"/>
      <c r="U57" s="2"/>
      <c r="V57" s="2"/>
      <c r="W57" s="2"/>
      <c r="X57" s="2"/>
      <c r="Y57" s="2"/>
      <c r="Z57" s="2"/>
    </row>
    <row r="58" customHeight="1" spans="1:26">
      <c r="A58" s="64" t="s">
        <v>260</v>
      </c>
      <c r="B58" s="13" t="s">
        <v>261</v>
      </c>
      <c r="C58" s="13" t="s">
        <v>236</v>
      </c>
      <c r="D58" s="65">
        <v>8</v>
      </c>
      <c r="E58" s="13" t="s">
        <v>262</v>
      </c>
      <c r="F58" s="13" t="s">
        <v>263</v>
      </c>
      <c r="G58" s="13" t="s">
        <v>2181</v>
      </c>
      <c r="H58" s="2"/>
      <c r="I58" s="2"/>
      <c r="J58" s="2"/>
      <c r="K58" s="2"/>
      <c r="L58" s="2"/>
      <c r="M58" s="2"/>
      <c r="N58" s="2"/>
      <c r="O58" s="2"/>
      <c r="P58" s="2"/>
      <c r="Q58" s="2"/>
      <c r="R58" s="2"/>
      <c r="S58" s="2"/>
      <c r="T58" s="2"/>
      <c r="U58" s="2"/>
      <c r="V58" s="2"/>
      <c r="W58" s="2"/>
      <c r="X58" s="2"/>
      <c r="Y58" s="2"/>
      <c r="Z58" s="2"/>
    </row>
    <row r="59" customHeight="1" spans="1:26">
      <c r="A59" s="64" t="s">
        <v>265</v>
      </c>
      <c r="B59" s="13" t="s">
        <v>2182</v>
      </c>
      <c r="C59" s="13" t="s">
        <v>236</v>
      </c>
      <c r="D59" s="65">
        <v>30</v>
      </c>
      <c r="E59" s="13" t="s">
        <v>37</v>
      </c>
      <c r="F59" s="13" t="s">
        <v>2183</v>
      </c>
      <c r="G59" s="13" t="s">
        <v>2184</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13" t="s">
        <v>2185</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2186</v>
      </c>
      <c r="H61" s="2"/>
      <c r="I61" s="2"/>
      <c r="J61" s="2"/>
      <c r="K61" s="2"/>
      <c r="L61" s="2"/>
      <c r="M61" s="2"/>
      <c r="N61" s="2"/>
      <c r="O61" s="2"/>
      <c r="P61" s="2"/>
      <c r="Q61" s="2"/>
      <c r="R61" s="2"/>
      <c r="S61" s="2"/>
      <c r="T61" s="2"/>
      <c r="U61" s="2"/>
      <c r="V61" s="2"/>
      <c r="W61" s="2"/>
      <c r="X61" s="2"/>
      <c r="Y61" s="2"/>
      <c r="Z61" s="2"/>
    </row>
    <row r="62" ht="16.5" customHeight="1" spans="1:26">
      <c r="A62" s="64" t="s">
        <v>277</v>
      </c>
      <c r="B62" s="13" t="s">
        <v>2187</v>
      </c>
      <c r="C62" s="13" t="s">
        <v>236</v>
      </c>
      <c r="D62" s="65">
        <v>37</v>
      </c>
      <c r="E62" s="13" t="s">
        <v>37</v>
      </c>
      <c r="F62" s="13" t="s">
        <v>2188</v>
      </c>
      <c r="G62" s="13" t="s">
        <v>2189</v>
      </c>
      <c r="H62" s="2"/>
      <c r="I62" s="2"/>
      <c r="J62" s="2"/>
      <c r="K62" s="2"/>
      <c r="L62" s="2"/>
      <c r="M62" s="2"/>
      <c r="N62" s="2"/>
      <c r="O62" s="2"/>
      <c r="P62" s="2"/>
      <c r="Q62" s="2"/>
      <c r="R62" s="2"/>
      <c r="S62" s="2"/>
      <c r="T62" s="2"/>
      <c r="U62" s="2"/>
      <c r="V62" s="2"/>
      <c r="W62" s="2"/>
      <c r="X62" s="2"/>
      <c r="Y62" s="2"/>
      <c r="Z62" s="2"/>
    </row>
    <row r="63" customHeight="1" spans="1:26">
      <c r="A63" s="64" t="s">
        <v>281</v>
      </c>
      <c r="B63" s="13" t="s">
        <v>2190</v>
      </c>
      <c r="C63" s="13" t="s">
        <v>236</v>
      </c>
      <c r="D63" s="65">
        <v>40</v>
      </c>
      <c r="E63" s="13" t="s">
        <v>37</v>
      </c>
      <c r="F63" s="13" t="s">
        <v>2191</v>
      </c>
      <c r="G63" s="13" t="s">
        <v>2192</v>
      </c>
      <c r="H63" s="2"/>
      <c r="I63" s="2"/>
      <c r="J63" s="2"/>
      <c r="K63" s="2"/>
      <c r="L63" s="2"/>
      <c r="M63" s="2"/>
      <c r="N63" s="2"/>
      <c r="O63" s="2"/>
      <c r="P63" s="2"/>
      <c r="Q63" s="2"/>
      <c r="R63" s="2"/>
      <c r="S63" s="2"/>
      <c r="T63" s="2"/>
      <c r="U63" s="2"/>
      <c r="V63" s="2"/>
      <c r="W63" s="2"/>
      <c r="X63" s="2"/>
      <c r="Y63" s="2"/>
      <c r="Z63" s="2"/>
    </row>
    <row r="64" customHeight="1" spans="1:26">
      <c r="A64" s="13" t="s">
        <v>285</v>
      </c>
      <c r="B64" s="13" t="s">
        <v>2193</v>
      </c>
      <c r="C64" s="13" t="s">
        <v>286</v>
      </c>
      <c r="D64" s="14">
        <v>35</v>
      </c>
      <c r="E64" s="13" t="s">
        <v>37</v>
      </c>
      <c r="F64" s="13" t="s">
        <v>2194</v>
      </c>
      <c r="G64" s="13" t="s">
        <v>2195</v>
      </c>
      <c r="H64" s="2"/>
      <c r="I64" s="2"/>
      <c r="J64" s="2"/>
      <c r="K64" s="2"/>
      <c r="L64" s="2"/>
      <c r="M64" s="2"/>
      <c r="N64" s="2"/>
      <c r="O64" s="2"/>
      <c r="P64" s="2"/>
      <c r="Q64" s="2"/>
      <c r="R64" s="2"/>
      <c r="S64" s="2"/>
      <c r="T64" s="2"/>
      <c r="U64" s="2"/>
      <c r="V64" s="2"/>
      <c r="W64" s="2"/>
      <c r="X64" s="2"/>
      <c r="Y64" s="2"/>
      <c r="Z64" s="2"/>
    </row>
    <row r="65" customHeight="1" spans="1:26">
      <c r="A65" s="64" t="s">
        <v>288</v>
      </c>
      <c r="B65" s="13" t="s">
        <v>289</v>
      </c>
      <c r="C65" s="13" t="s">
        <v>290</v>
      </c>
      <c r="D65" s="65">
        <v>300</v>
      </c>
      <c r="E65" s="13" t="s">
        <v>37</v>
      </c>
      <c r="F65" s="68" t="str">
        <f>HYPERLINK("http://financematters.co/wp-content/uploads/2015/05/RBS-logo-logotype.png","http://financematters.co/wp-content/uploads/2015/05/RBS-logo-logotype.png")</f>
        <v>http://financematters.co/wp-content/uploads/2015/05/RBS-logo-logotype.png</v>
      </c>
      <c r="G65" s="13" t="s">
        <v>2196</v>
      </c>
      <c r="H65" s="2"/>
      <c r="I65" s="2"/>
      <c r="J65" s="2"/>
      <c r="K65" s="2"/>
      <c r="L65" s="2"/>
      <c r="M65" s="2"/>
      <c r="N65" s="2"/>
      <c r="O65" s="2"/>
      <c r="P65" s="2"/>
      <c r="Q65" s="2"/>
      <c r="R65" s="2"/>
      <c r="S65" s="2"/>
      <c r="T65" s="2"/>
      <c r="U65" s="2"/>
      <c r="V65" s="2"/>
      <c r="W65" s="2"/>
      <c r="X65" s="2"/>
      <c r="Y65" s="2"/>
      <c r="Z65" s="2"/>
    </row>
    <row r="66" customHeight="1" spans="1:26">
      <c r="A66" s="64" t="s">
        <v>293</v>
      </c>
      <c r="B66" s="13" t="s">
        <v>2197</v>
      </c>
      <c r="C66" s="13" t="s">
        <v>290</v>
      </c>
      <c r="D66" s="65">
        <v>35</v>
      </c>
      <c r="E66" s="13" t="s">
        <v>37</v>
      </c>
      <c r="F66" s="68" t="str">
        <f>HYPERLINK("http://www.twyningstores.co.uk/js/plugins/imagemanager/files/instore/ourlogo_ENGLISH_COLOUR_LOGO_REF3_2.jpg","http://www.twyningstores.co.uk/js/plugins/imagemanager/files/instore/ourlogo_ENGLISH_COLOUR_LOGO_REF3_2.jpg")</f>
        <v>http://www.twyningstores.co.uk/js/plugins/imagemanager/files/instore/ourlogo_ENGLISH_COLOUR_LOGO_REF3_2.jpg</v>
      </c>
      <c r="G66" s="13" t="s">
        <v>2198</v>
      </c>
      <c r="H66" s="2"/>
      <c r="I66" s="2"/>
      <c r="J66" s="2"/>
      <c r="K66" s="2"/>
      <c r="L66" s="2"/>
      <c r="M66" s="2"/>
      <c r="N66" s="2"/>
      <c r="O66" s="2"/>
      <c r="P66" s="2"/>
      <c r="Q66" s="2"/>
      <c r="R66" s="2"/>
      <c r="S66" s="2"/>
      <c r="T66" s="2"/>
      <c r="U66" s="2"/>
      <c r="V66" s="2"/>
      <c r="W66" s="2"/>
      <c r="X66" s="2"/>
      <c r="Y66" s="2"/>
      <c r="Z66" s="2"/>
    </row>
    <row r="67" customHeight="1" spans="1:26">
      <c r="A67" s="13" t="s">
        <v>297</v>
      </c>
      <c r="B67" s="13" t="s">
        <v>2199</v>
      </c>
      <c r="C67" s="13" t="s">
        <v>1807</v>
      </c>
      <c r="D67" s="14">
        <v>1000</v>
      </c>
      <c r="E67" s="13" t="s">
        <v>37</v>
      </c>
      <c r="F67" s="13" t="s">
        <v>2200</v>
      </c>
      <c r="G67" s="13" t="s">
        <v>2201</v>
      </c>
      <c r="H67" s="2"/>
      <c r="I67" s="2"/>
      <c r="J67" s="2"/>
      <c r="K67" s="2"/>
      <c r="L67" s="2"/>
      <c r="M67" s="2"/>
      <c r="N67" s="2"/>
      <c r="O67" s="2"/>
      <c r="P67" s="2"/>
      <c r="Q67" s="2"/>
      <c r="R67" s="2"/>
      <c r="S67" s="2"/>
      <c r="T67" s="2"/>
      <c r="U67" s="2"/>
      <c r="V67" s="2"/>
      <c r="W67" s="2"/>
      <c r="X67" s="2"/>
      <c r="Y67" s="2"/>
      <c r="Z67" s="2"/>
    </row>
    <row r="68" customHeight="1" spans="1:26">
      <c r="A68" s="13" t="s">
        <v>302</v>
      </c>
      <c r="B68" s="13" t="s">
        <v>303</v>
      </c>
      <c r="C68" s="13" t="s">
        <v>304</v>
      </c>
      <c r="D68" s="57"/>
      <c r="E68" s="57"/>
      <c r="F68" s="13" t="s">
        <v>305</v>
      </c>
      <c r="G68" s="13" t="s">
        <v>306</v>
      </c>
      <c r="H68" s="2"/>
      <c r="I68" s="2"/>
      <c r="J68" s="2"/>
      <c r="K68" s="2"/>
      <c r="L68" s="2"/>
      <c r="M68" s="2"/>
      <c r="N68" s="2"/>
      <c r="O68" s="2"/>
      <c r="P68" s="2"/>
      <c r="Q68" s="2"/>
      <c r="R68" s="2"/>
      <c r="S68" s="2"/>
      <c r="T68" s="2"/>
      <c r="U68" s="2"/>
      <c r="V68" s="2"/>
      <c r="W68" s="2"/>
      <c r="X68" s="2"/>
      <c r="Y68" s="2"/>
      <c r="Z68" s="2"/>
    </row>
    <row r="69" customHeight="1" spans="1:26">
      <c r="A69" s="70" t="s">
        <v>307</v>
      </c>
      <c r="B69" s="63" t="s">
        <v>308</v>
      </c>
      <c r="C69" s="63" t="s">
        <v>309</v>
      </c>
      <c r="D69" s="71">
        <v>45</v>
      </c>
      <c r="E69" s="63" t="s">
        <v>310</v>
      </c>
      <c r="F69" s="63" t="s">
        <v>311</v>
      </c>
      <c r="G69" s="63" t="s">
        <v>2202</v>
      </c>
      <c r="H69" s="2"/>
      <c r="I69" s="2"/>
      <c r="J69" s="2"/>
      <c r="K69" s="2"/>
      <c r="L69" s="2"/>
      <c r="M69" s="2"/>
      <c r="N69" s="2"/>
      <c r="O69" s="2"/>
      <c r="P69" s="2"/>
      <c r="Q69" s="2"/>
      <c r="R69" s="2"/>
      <c r="S69" s="2"/>
      <c r="T69" s="2"/>
      <c r="U69" s="2"/>
      <c r="V69" s="2"/>
      <c r="W69" s="2"/>
      <c r="X69" s="2"/>
      <c r="Y69" s="2"/>
      <c r="Z69" s="2"/>
    </row>
    <row r="70" customHeight="1" spans="1:26">
      <c r="A70" s="13" t="s">
        <v>313</v>
      </c>
      <c r="B70" s="13" t="s">
        <v>314</v>
      </c>
      <c r="C70" s="13" t="s">
        <v>315</v>
      </c>
      <c r="D70" s="65">
        <v>90</v>
      </c>
      <c r="E70" s="13" t="s">
        <v>32</v>
      </c>
      <c r="F70" s="73" t="s">
        <v>316</v>
      </c>
      <c r="G70" s="13" t="s">
        <v>2203</v>
      </c>
      <c r="H70" s="2"/>
      <c r="I70" s="2"/>
      <c r="J70" s="2"/>
      <c r="K70" s="2"/>
      <c r="L70" s="2"/>
      <c r="M70" s="2"/>
      <c r="N70" s="2"/>
      <c r="O70" s="2"/>
      <c r="P70" s="2"/>
      <c r="Q70" s="2"/>
      <c r="R70" s="2"/>
      <c r="S70" s="2"/>
      <c r="T70" s="2"/>
      <c r="U70" s="2"/>
      <c r="V70" s="2"/>
      <c r="W70" s="2"/>
      <c r="X70" s="2"/>
      <c r="Y70" s="2"/>
      <c r="Z70" s="2"/>
    </row>
    <row r="71" customHeight="1" spans="1:26">
      <c r="A71" s="13" t="s">
        <v>317</v>
      </c>
      <c r="B71" s="13" t="s">
        <v>2204</v>
      </c>
      <c r="C71" s="13" t="s">
        <v>319</v>
      </c>
      <c r="D71" s="65">
        <v>400</v>
      </c>
      <c r="E71" s="13" t="s">
        <v>245</v>
      </c>
      <c r="F71" s="13" t="s">
        <v>2205</v>
      </c>
      <c r="G71" s="13" t="s">
        <v>2206</v>
      </c>
      <c r="H71" s="2"/>
      <c r="I71" s="2"/>
      <c r="J71" s="2"/>
      <c r="K71" s="2"/>
      <c r="L71" s="2"/>
      <c r="M71" s="2"/>
      <c r="N71" s="2"/>
      <c r="O71" s="2"/>
      <c r="P71" s="2"/>
      <c r="Q71" s="2"/>
      <c r="R71" s="2"/>
      <c r="S71" s="2"/>
      <c r="T71" s="2"/>
      <c r="U71" s="2"/>
      <c r="V71" s="2"/>
      <c r="W71" s="2"/>
      <c r="X71" s="2"/>
      <c r="Y71" s="2"/>
      <c r="Z71" s="2"/>
    </row>
    <row r="72" customHeight="1" spans="1:26">
      <c r="A72" s="64" t="s">
        <v>321</v>
      </c>
      <c r="B72" s="13" t="s">
        <v>2207</v>
      </c>
      <c r="C72" s="13" t="s">
        <v>315</v>
      </c>
      <c r="D72" s="65">
        <v>13</v>
      </c>
      <c r="E72" s="13" t="s">
        <v>262</v>
      </c>
      <c r="F72" s="68" t="str">
        <f>HYPERLINK("http://www.voucherfox.co.uk/images/image_1919683395.jpg","http://www.voucherfox.co.uk/images/image_1919683395.jpg")</f>
        <v>http://www.voucherfox.co.uk/images/image_1919683395.jpg</v>
      </c>
      <c r="G72" s="13" t="s">
        <v>2208</v>
      </c>
      <c r="H72" s="2"/>
      <c r="I72" s="2"/>
      <c r="J72" s="2"/>
      <c r="K72" s="2"/>
      <c r="L72" s="2"/>
      <c r="M72" s="2"/>
      <c r="N72" s="2"/>
      <c r="O72" s="2"/>
      <c r="P72" s="2"/>
      <c r="Q72" s="2"/>
      <c r="R72" s="2"/>
      <c r="S72" s="2"/>
      <c r="T72" s="2"/>
      <c r="U72" s="2"/>
      <c r="V72" s="2"/>
      <c r="W72" s="2"/>
      <c r="X72" s="2"/>
      <c r="Y72" s="2"/>
      <c r="Z72" s="2"/>
    </row>
    <row r="73" customHeight="1" spans="1:26">
      <c r="A73" s="13" t="s">
        <v>325</v>
      </c>
      <c r="B73" s="13" t="s">
        <v>2209</v>
      </c>
      <c r="C73" s="13" t="s">
        <v>327</v>
      </c>
      <c r="D73" s="14">
        <v>25</v>
      </c>
      <c r="E73" s="13" t="s">
        <v>310</v>
      </c>
      <c r="F73" s="13" t="s">
        <v>2210</v>
      </c>
      <c r="G73" s="13" t="s">
        <v>2211</v>
      </c>
      <c r="H73" s="2"/>
      <c r="I73" s="2"/>
      <c r="J73" s="2"/>
      <c r="K73" s="2"/>
      <c r="L73" s="2"/>
      <c r="M73" s="2"/>
      <c r="N73" s="2"/>
      <c r="O73" s="2"/>
      <c r="P73" s="2"/>
      <c r="Q73" s="2"/>
      <c r="R73" s="2"/>
      <c r="S73" s="2"/>
      <c r="T73" s="2"/>
      <c r="U73" s="2"/>
      <c r="V73" s="2"/>
      <c r="W73" s="2"/>
      <c r="X73" s="2"/>
      <c r="Y73" s="2"/>
      <c r="Z73" s="2"/>
    </row>
    <row r="74" customHeight="1" spans="1:26">
      <c r="A74" s="64" t="s">
        <v>330</v>
      </c>
      <c r="B74" s="13" t="s">
        <v>331</v>
      </c>
      <c r="C74" s="13" t="s">
        <v>315</v>
      </c>
      <c r="D74" s="65">
        <v>50</v>
      </c>
      <c r="E74" s="13" t="s">
        <v>37</v>
      </c>
      <c r="F74" s="13" t="s">
        <v>332</v>
      </c>
      <c r="G74" s="68" t="str">
        <f>HYPERLINK("http://www.topman.com/","www.topman.com")</f>
        <v>www.topman.com</v>
      </c>
      <c r="H74" s="2"/>
      <c r="I74" s="2"/>
      <c r="J74" s="2"/>
      <c r="K74" s="2"/>
      <c r="L74" s="2"/>
      <c r="M74" s="2"/>
      <c r="N74" s="2"/>
      <c r="O74" s="2"/>
      <c r="P74" s="2"/>
      <c r="Q74" s="2"/>
      <c r="R74" s="2"/>
      <c r="S74" s="2"/>
      <c r="T74" s="2"/>
      <c r="U74" s="2"/>
      <c r="V74" s="2"/>
      <c r="W74" s="2"/>
      <c r="X74" s="2"/>
      <c r="Y74" s="2"/>
      <c r="Z74" s="2"/>
    </row>
    <row r="75" customHeight="1" spans="1:26">
      <c r="A75" s="64" t="s">
        <v>334</v>
      </c>
      <c r="B75" s="13" t="s">
        <v>335</v>
      </c>
      <c r="C75" s="13" t="s">
        <v>315</v>
      </c>
      <c r="D75" s="65">
        <v>50</v>
      </c>
      <c r="E75" s="13" t="s">
        <v>37</v>
      </c>
      <c r="F75" s="13" t="s">
        <v>336</v>
      </c>
      <c r="G75" s="74" t="s">
        <v>2212</v>
      </c>
      <c r="H75" s="2"/>
      <c r="I75" s="2"/>
      <c r="J75" s="2"/>
      <c r="K75" s="2"/>
      <c r="L75" s="2"/>
      <c r="M75" s="2"/>
      <c r="N75" s="2"/>
      <c r="O75" s="2"/>
      <c r="P75" s="2"/>
      <c r="Q75" s="2"/>
      <c r="R75" s="2"/>
      <c r="S75" s="2"/>
      <c r="T75" s="2"/>
      <c r="U75" s="2"/>
      <c r="V75" s="2"/>
      <c r="W75" s="2"/>
      <c r="X75" s="2"/>
      <c r="Y75" s="2"/>
      <c r="Z75" s="2"/>
    </row>
    <row r="76" customHeight="1" spans="1:26">
      <c r="A76" s="64" t="s">
        <v>338</v>
      </c>
      <c r="B76" s="13" t="s">
        <v>339</v>
      </c>
      <c r="C76" s="13" t="s">
        <v>315</v>
      </c>
      <c r="D76" s="65">
        <v>125</v>
      </c>
      <c r="E76" s="13" t="s">
        <v>262</v>
      </c>
      <c r="F76" s="13" t="s">
        <v>340</v>
      </c>
      <c r="G76" s="13" t="s">
        <v>2213</v>
      </c>
      <c r="H76" s="2"/>
      <c r="I76" s="2"/>
      <c r="J76" s="2"/>
      <c r="K76" s="2"/>
      <c r="L76" s="2"/>
      <c r="M76" s="2"/>
      <c r="N76" s="2"/>
      <c r="O76" s="2"/>
      <c r="P76" s="2"/>
      <c r="Q76" s="2"/>
      <c r="R76" s="2"/>
      <c r="S76" s="2"/>
      <c r="T76" s="2"/>
      <c r="U76" s="2"/>
      <c r="V76" s="2"/>
      <c r="W76" s="2"/>
      <c r="X76" s="2"/>
      <c r="Y76" s="2"/>
      <c r="Z76" s="2"/>
    </row>
    <row r="77" customHeight="1" spans="1:26">
      <c r="A77" s="64" t="s">
        <v>342</v>
      </c>
      <c r="B77" s="13" t="s">
        <v>343</v>
      </c>
      <c r="C77" s="13" t="s">
        <v>315</v>
      </c>
      <c r="D77" s="65">
        <v>45</v>
      </c>
      <c r="E77" s="13" t="s">
        <v>262</v>
      </c>
      <c r="F77" s="13" t="s">
        <v>344</v>
      </c>
      <c r="G77" s="13" t="s">
        <v>2214</v>
      </c>
      <c r="H77" s="2"/>
      <c r="I77" s="2"/>
      <c r="J77" s="2"/>
      <c r="K77" s="2"/>
      <c r="L77" s="2"/>
      <c r="M77" s="2"/>
      <c r="N77" s="2"/>
      <c r="O77" s="2"/>
      <c r="P77" s="2"/>
      <c r="Q77" s="2"/>
      <c r="R77" s="2"/>
      <c r="S77" s="2"/>
      <c r="T77" s="2"/>
      <c r="U77" s="2"/>
      <c r="V77" s="2"/>
      <c r="W77" s="2"/>
      <c r="X77" s="2"/>
      <c r="Y77" s="2"/>
      <c r="Z77" s="2"/>
    </row>
    <row r="78" customHeight="1" spans="1:26">
      <c r="A78" s="64" t="s">
        <v>346</v>
      </c>
      <c r="B78" s="13" t="s">
        <v>347</v>
      </c>
      <c r="C78" s="13" t="s">
        <v>315</v>
      </c>
      <c r="D78" s="65">
        <v>55</v>
      </c>
      <c r="E78" s="13" t="s">
        <v>37</v>
      </c>
      <c r="F78" s="13" t="s">
        <v>348</v>
      </c>
      <c r="G78" s="74" t="s">
        <v>2215</v>
      </c>
      <c r="H78" s="2"/>
      <c r="I78" s="2"/>
      <c r="J78" s="2"/>
      <c r="K78" s="2"/>
      <c r="L78" s="2"/>
      <c r="M78" s="2"/>
      <c r="N78" s="2"/>
      <c r="O78" s="2"/>
      <c r="P78" s="2"/>
      <c r="Q78" s="2"/>
      <c r="R78" s="2"/>
      <c r="S78" s="2"/>
      <c r="T78" s="2"/>
      <c r="U78" s="2"/>
      <c r="V78" s="2"/>
      <c r="W78" s="2"/>
      <c r="X78" s="2"/>
      <c r="Y78" s="2"/>
      <c r="Z78" s="2"/>
    </row>
    <row r="79" customHeight="1" spans="1:26">
      <c r="A79" s="64" t="s">
        <v>350</v>
      </c>
      <c r="B79" s="13" t="s">
        <v>351</v>
      </c>
      <c r="C79" s="13" t="s">
        <v>315</v>
      </c>
      <c r="D79" s="65">
        <v>20</v>
      </c>
      <c r="E79" s="13" t="s">
        <v>262</v>
      </c>
      <c r="F79" s="13" t="s">
        <v>352</v>
      </c>
      <c r="G79" s="13" t="s">
        <v>2216</v>
      </c>
      <c r="H79" s="2"/>
      <c r="I79" s="2"/>
      <c r="J79" s="2"/>
      <c r="K79" s="2"/>
      <c r="L79" s="2"/>
      <c r="M79" s="2"/>
      <c r="N79" s="2"/>
      <c r="O79" s="2"/>
      <c r="P79" s="2"/>
      <c r="Q79" s="2"/>
      <c r="R79" s="2"/>
      <c r="S79" s="2"/>
      <c r="T79" s="2"/>
      <c r="U79" s="2"/>
      <c r="V79" s="2"/>
      <c r="W79" s="2"/>
      <c r="X79" s="2"/>
      <c r="Y79" s="2"/>
      <c r="Z79" s="2"/>
    </row>
    <row r="80" customHeight="1" spans="1:26">
      <c r="A80" s="13" t="s">
        <v>354</v>
      </c>
      <c r="B80" s="13" t="s">
        <v>355</v>
      </c>
      <c r="C80" s="13" t="s">
        <v>356</v>
      </c>
      <c r="D80" s="65">
        <v>123</v>
      </c>
      <c r="E80" s="13" t="s">
        <v>310</v>
      </c>
      <c r="F80" s="13" t="s">
        <v>357</v>
      </c>
      <c r="G80" s="13" t="s">
        <v>2217</v>
      </c>
      <c r="H80" s="2"/>
      <c r="I80" s="2"/>
      <c r="J80" s="2"/>
      <c r="K80" s="2"/>
      <c r="L80" s="2"/>
      <c r="M80" s="2"/>
      <c r="N80" s="2"/>
      <c r="O80" s="2"/>
      <c r="P80" s="2"/>
      <c r="Q80" s="2"/>
      <c r="R80" s="2"/>
      <c r="S80" s="2"/>
      <c r="T80" s="2"/>
      <c r="U80" s="2"/>
      <c r="V80" s="2"/>
      <c r="W80" s="2"/>
      <c r="X80" s="2"/>
      <c r="Y80" s="2"/>
      <c r="Z80" s="2"/>
    </row>
    <row r="81" customHeight="1" spans="1:26">
      <c r="A81" s="13" t="s">
        <v>359</v>
      </c>
      <c r="B81" s="13" t="s">
        <v>360</v>
      </c>
      <c r="C81" s="13" t="s">
        <v>361</v>
      </c>
      <c r="D81" s="65">
        <v>55</v>
      </c>
      <c r="E81" s="13" t="s">
        <v>310</v>
      </c>
      <c r="F81" s="13" t="s">
        <v>2218</v>
      </c>
      <c r="G81" s="13" t="s">
        <v>2219</v>
      </c>
      <c r="H81" s="2"/>
      <c r="I81" s="2"/>
      <c r="J81" s="2"/>
      <c r="K81" s="2"/>
      <c r="L81" s="2"/>
      <c r="M81" s="2"/>
      <c r="N81" s="2"/>
      <c r="O81" s="2"/>
      <c r="P81" s="2"/>
      <c r="Q81" s="2"/>
      <c r="R81" s="2"/>
      <c r="S81" s="2"/>
      <c r="T81" s="2"/>
      <c r="U81" s="2"/>
      <c r="V81" s="2"/>
      <c r="W81" s="2"/>
      <c r="X81" s="2"/>
      <c r="Y81" s="2"/>
      <c r="Z81" s="2"/>
    </row>
    <row r="82" customHeight="1" spans="1:26">
      <c r="A82" s="64" t="s">
        <v>364</v>
      </c>
      <c r="B82" s="13" t="s">
        <v>365</v>
      </c>
      <c r="C82" s="13" t="s">
        <v>366</v>
      </c>
      <c r="D82" s="65">
        <v>35</v>
      </c>
      <c r="E82" s="13" t="s">
        <v>262</v>
      </c>
      <c r="F82" s="13" t="s">
        <v>367</v>
      </c>
      <c r="G82" s="13" t="s">
        <v>2220</v>
      </c>
      <c r="H82" s="2"/>
      <c r="I82" s="2"/>
      <c r="J82" s="2"/>
      <c r="K82" s="2"/>
      <c r="L82" s="2"/>
      <c r="M82" s="2"/>
      <c r="N82" s="2"/>
      <c r="O82" s="2"/>
      <c r="P82" s="2"/>
      <c r="Q82" s="2"/>
      <c r="R82" s="2"/>
      <c r="S82" s="2"/>
      <c r="T82" s="2"/>
      <c r="U82" s="2"/>
      <c r="V82" s="2"/>
      <c r="W82" s="2"/>
      <c r="X82" s="2"/>
      <c r="Y82" s="2"/>
      <c r="Z82" s="2"/>
    </row>
    <row r="83" customHeight="1" spans="1:26">
      <c r="A83" s="64" t="s">
        <v>368</v>
      </c>
      <c r="B83" s="13" t="s">
        <v>369</v>
      </c>
      <c r="C83" s="13" t="s">
        <v>366</v>
      </c>
      <c r="D83" s="65">
        <v>30</v>
      </c>
      <c r="E83" s="13" t="s">
        <v>262</v>
      </c>
      <c r="F83" s="13" t="s">
        <v>370</v>
      </c>
      <c r="G83" s="13" t="s">
        <v>2221</v>
      </c>
      <c r="H83" s="2"/>
      <c r="I83" s="2"/>
      <c r="J83" s="2"/>
      <c r="K83" s="2"/>
      <c r="L83" s="2"/>
      <c r="M83" s="2"/>
      <c r="N83" s="2"/>
      <c r="O83" s="2"/>
      <c r="P83" s="2"/>
      <c r="Q83" s="2"/>
      <c r="R83" s="2"/>
      <c r="S83" s="2"/>
      <c r="T83" s="2"/>
      <c r="U83" s="2"/>
      <c r="V83" s="2"/>
      <c r="W83" s="2"/>
      <c r="X83" s="2"/>
      <c r="Y83" s="2"/>
      <c r="Z83" s="2"/>
    </row>
    <row r="84" customHeight="1" spans="1:26">
      <c r="A84" s="64" t="s">
        <v>371</v>
      </c>
      <c r="B84" s="13" t="s">
        <v>372</v>
      </c>
      <c r="C84" s="13" t="s">
        <v>373</v>
      </c>
      <c r="D84" s="65">
        <v>35</v>
      </c>
      <c r="E84" s="13" t="s">
        <v>37</v>
      </c>
      <c r="F84" s="13" t="s">
        <v>374</v>
      </c>
      <c r="G84" s="13" t="s">
        <v>2222</v>
      </c>
      <c r="H84" s="2"/>
      <c r="I84" s="2"/>
      <c r="J84" s="2"/>
      <c r="K84" s="2"/>
      <c r="L84" s="2"/>
      <c r="M84" s="2"/>
      <c r="N84" s="2"/>
      <c r="O84" s="2"/>
      <c r="P84" s="2"/>
      <c r="Q84" s="2"/>
      <c r="R84" s="2"/>
      <c r="S84" s="2"/>
      <c r="T84" s="2"/>
      <c r="U84" s="2"/>
      <c r="V84" s="2"/>
      <c r="W84" s="2"/>
      <c r="X84" s="2"/>
      <c r="Y84" s="2"/>
      <c r="Z84" s="2"/>
    </row>
    <row r="85" customHeight="1" spans="1:26">
      <c r="A85" s="64" t="s">
        <v>375</v>
      </c>
      <c r="B85" s="13" t="s">
        <v>2223</v>
      </c>
      <c r="C85" s="13" t="s">
        <v>373</v>
      </c>
      <c r="D85" s="65">
        <v>90</v>
      </c>
      <c r="E85" s="13" t="s">
        <v>37</v>
      </c>
      <c r="F85" s="13" t="s">
        <v>2224</v>
      </c>
      <c r="G85" s="13" t="s">
        <v>2225</v>
      </c>
      <c r="H85" s="2"/>
      <c r="I85" s="2"/>
      <c r="J85" s="2"/>
      <c r="K85" s="2"/>
      <c r="L85" s="2"/>
      <c r="M85" s="2"/>
      <c r="N85" s="2"/>
      <c r="O85" s="2"/>
      <c r="P85" s="2"/>
      <c r="Q85" s="2"/>
      <c r="R85" s="2"/>
      <c r="S85" s="2"/>
      <c r="T85" s="2"/>
      <c r="U85" s="2"/>
      <c r="V85" s="2"/>
      <c r="W85" s="2"/>
      <c r="X85" s="2"/>
      <c r="Y85" s="2"/>
      <c r="Z85" s="2"/>
    </row>
    <row r="86" customHeight="1" spans="1:26">
      <c r="A86" s="64" t="s">
        <v>379</v>
      </c>
      <c r="B86" s="13" t="s">
        <v>2226</v>
      </c>
      <c r="C86" s="13" t="s">
        <v>373</v>
      </c>
      <c r="D86" s="65">
        <v>66</v>
      </c>
      <c r="E86" s="13" t="s">
        <v>21</v>
      </c>
      <c r="F86" s="13" t="s">
        <v>2227</v>
      </c>
      <c r="G86" s="13" t="s">
        <v>2228</v>
      </c>
      <c r="H86" s="2"/>
      <c r="I86" s="2"/>
      <c r="J86" s="2"/>
      <c r="K86" s="2"/>
      <c r="L86" s="2"/>
      <c r="M86" s="2"/>
      <c r="N86" s="2"/>
      <c r="O86" s="2"/>
      <c r="P86" s="2"/>
      <c r="Q86" s="2"/>
      <c r="R86" s="2"/>
      <c r="S86" s="2"/>
      <c r="T86" s="2"/>
      <c r="U86" s="2"/>
      <c r="V86" s="2"/>
      <c r="W86" s="2"/>
      <c r="X86" s="2"/>
      <c r="Y86" s="2"/>
      <c r="Z86" s="2"/>
    </row>
    <row r="87" customHeight="1" spans="1:26">
      <c r="A87" s="13" t="s">
        <v>383</v>
      </c>
      <c r="B87" s="13" t="s">
        <v>1838</v>
      </c>
      <c r="C87" s="13" t="s">
        <v>373</v>
      </c>
      <c r="D87" s="65">
        <v>150</v>
      </c>
      <c r="E87" s="13" t="s">
        <v>310</v>
      </c>
      <c r="F87" s="13" t="s">
        <v>1839</v>
      </c>
      <c r="G87" s="13" t="s">
        <v>2229</v>
      </c>
      <c r="H87" s="2"/>
      <c r="I87" s="2"/>
      <c r="J87" s="2"/>
      <c r="K87" s="2"/>
      <c r="L87" s="2"/>
      <c r="M87" s="2"/>
      <c r="N87" s="2"/>
      <c r="O87" s="2"/>
      <c r="P87" s="2"/>
      <c r="Q87" s="2"/>
      <c r="R87" s="2"/>
      <c r="S87" s="2"/>
      <c r="T87" s="2"/>
      <c r="U87" s="2"/>
      <c r="V87" s="2"/>
      <c r="W87" s="2"/>
      <c r="X87" s="2"/>
      <c r="Y87" s="2"/>
      <c r="Z87" s="2"/>
    </row>
    <row r="88" customHeight="1" spans="1:26">
      <c r="A88" s="13" t="s">
        <v>387</v>
      </c>
      <c r="B88" s="13" t="s">
        <v>388</v>
      </c>
      <c r="C88" s="13" t="s">
        <v>373</v>
      </c>
      <c r="D88" s="65">
        <v>76</v>
      </c>
      <c r="E88" s="13" t="s">
        <v>37</v>
      </c>
      <c r="F88" s="13" t="s">
        <v>389</v>
      </c>
      <c r="G88" s="13" t="s">
        <v>2230</v>
      </c>
      <c r="H88" s="2"/>
      <c r="I88" s="2"/>
      <c r="J88" s="2"/>
      <c r="K88" s="2"/>
      <c r="L88" s="2"/>
      <c r="M88" s="2"/>
      <c r="N88" s="2"/>
      <c r="O88" s="2"/>
      <c r="P88" s="2"/>
      <c r="Q88" s="2"/>
      <c r="R88" s="2"/>
      <c r="S88" s="2"/>
      <c r="T88" s="2"/>
      <c r="U88" s="2"/>
      <c r="V88" s="2"/>
      <c r="W88" s="2"/>
      <c r="X88" s="2"/>
      <c r="Y88" s="2"/>
      <c r="Z88" s="2"/>
    </row>
    <row r="89" customHeight="1" spans="1:26">
      <c r="A89" s="13" t="s">
        <v>391</v>
      </c>
      <c r="B89" s="13" t="s">
        <v>392</v>
      </c>
      <c r="C89" s="13" t="s">
        <v>393</v>
      </c>
      <c r="D89" s="14">
        <v>3500</v>
      </c>
      <c r="E89" s="13" t="s">
        <v>21</v>
      </c>
      <c r="F89" s="13" t="s">
        <v>394</v>
      </c>
      <c r="G89" s="13" t="s">
        <v>2231</v>
      </c>
      <c r="H89" s="2"/>
      <c r="I89" s="2"/>
      <c r="J89" s="2"/>
      <c r="K89" s="2"/>
      <c r="L89" s="2"/>
      <c r="M89" s="2"/>
      <c r="N89" s="2"/>
      <c r="O89" s="2"/>
      <c r="P89" s="2"/>
      <c r="Q89" s="2"/>
      <c r="R89" s="2"/>
      <c r="S89" s="2"/>
      <c r="T89" s="2"/>
      <c r="U89" s="2"/>
      <c r="V89" s="2"/>
      <c r="W89" s="2"/>
      <c r="X89" s="2"/>
      <c r="Y89" s="2"/>
      <c r="Z89" s="2"/>
    </row>
    <row r="90" customHeight="1" spans="1:26">
      <c r="A90" s="13" t="s">
        <v>395</v>
      </c>
      <c r="B90" s="13" t="s">
        <v>396</v>
      </c>
      <c r="C90" s="13" t="s">
        <v>393</v>
      </c>
      <c r="D90" s="14">
        <v>1230</v>
      </c>
      <c r="E90" s="13" t="s">
        <v>21</v>
      </c>
      <c r="F90" s="13" t="s">
        <v>397</v>
      </c>
      <c r="G90" s="13" t="s">
        <v>398</v>
      </c>
      <c r="H90" s="2"/>
      <c r="I90" s="2"/>
      <c r="J90" s="2"/>
      <c r="K90" s="2"/>
      <c r="L90" s="2"/>
      <c r="M90" s="2"/>
      <c r="N90" s="2"/>
      <c r="O90" s="2"/>
      <c r="P90" s="2"/>
      <c r="Q90" s="2"/>
      <c r="R90" s="2"/>
      <c r="S90" s="2"/>
      <c r="T90" s="2"/>
      <c r="U90" s="2"/>
      <c r="V90" s="2"/>
      <c r="W90" s="2"/>
      <c r="X90" s="2"/>
      <c r="Y90" s="2"/>
      <c r="Z90" s="2"/>
    </row>
    <row r="91" customHeight="1" spans="1:26">
      <c r="A91" s="13" t="s">
        <v>399</v>
      </c>
      <c r="B91" s="13" t="s">
        <v>2232</v>
      </c>
      <c r="C91" s="13" t="s">
        <v>224</v>
      </c>
      <c r="D91" s="65">
        <v>130</v>
      </c>
      <c r="E91" s="13" t="s">
        <v>262</v>
      </c>
      <c r="F91" s="13" t="s">
        <v>2233</v>
      </c>
      <c r="G91" s="13" t="s">
        <v>2234</v>
      </c>
      <c r="H91" s="2"/>
      <c r="I91" s="2"/>
      <c r="J91" s="2"/>
      <c r="K91" s="2"/>
      <c r="L91" s="2"/>
      <c r="M91" s="2"/>
      <c r="N91" s="2"/>
      <c r="O91" s="2"/>
      <c r="P91" s="2"/>
      <c r="Q91" s="2"/>
      <c r="R91" s="2"/>
      <c r="S91" s="2"/>
      <c r="T91" s="2"/>
      <c r="U91" s="2"/>
      <c r="V91" s="2"/>
      <c r="W91" s="2"/>
      <c r="X91" s="2"/>
      <c r="Y91" s="2"/>
      <c r="Z91" s="2"/>
    </row>
    <row r="92" customHeight="1" spans="1:26">
      <c r="A92" s="13" t="s">
        <v>403</v>
      </c>
      <c r="B92" s="13" t="s">
        <v>2235</v>
      </c>
      <c r="C92" s="13" t="s">
        <v>229</v>
      </c>
      <c r="D92" s="65">
        <v>500</v>
      </c>
      <c r="E92" s="13" t="s">
        <v>21</v>
      </c>
      <c r="F92" s="13" t="s">
        <v>2236</v>
      </c>
      <c r="G92" s="13" t="s">
        <v>2237</v>
      </c>
      <c r="H92" s="2"/>
      <c r="I92" s="2"/>
      <c r="J92" s="2"/>
      <c r="K92" s="2"/>
      <c r="L92" s="2"/>
      <c r="M92" s="2"/>
      <c r="N92" s="2"/>
      <c r="O92" s="2"/>
      <c r="P92" s="2"/>
      <c r="Q92" s="2"/>
      <c r="R92" s="2"/>
      <c r="S92" s="2"/>
      <c r="T92" s="2"/>
      <c r="U92" s="2"/>
      <c r="V92" s="2"/>
      <c r="W92" s="2"/>
      <c r="X92" s="2"/>
      <c r="Y92" s="2"/>
      <c r="Z92" s="2"/>
    </row>
    <row r="93" customHeight="1" spans="1:26">
      <c r="A93" s="13" t="s">
        <v>407</v>
      </c>
      <c r="B93" s="13" t="s">
        <v>1103</v>
      </c>
      <c r="C93" s="13" t="s">
        <v>229</v>
      </c>
      <c r="D93" s="65">
        <v>350</v>
      </c>
      <c r="E93" s="13" t="s">
        <v>21</v>
      </c>
      <c r="F93" s="13" t="s">
        <v>1104</v>
      </c>
      <c r="G93" s="13" t="s">
        <v>2238</v>
      </c>
      <c r="H93" s="2"/>
      <c r="I93" s="2"/>
      <c r="J93" s="2"/>
      <c r="K93" s="2"/>
      <c r="L93" s="2"/>
      <c r="M93" s="2"/>
      <c r="N93" s="2"/>
      <c r="O93" s="2"/>
      <c r="P93" s="2"/>
      <c r="Q93" s="2"/>
      <c r="R93" s="2"/>
      <c r="S93" s="2"/>
      <c r="T93" s="2"/>
      <c r="U93" s="2"/>
      <c r="V93" s="2"/>
      <c r="W93" s="2"/>
      <c r="X93" s="2"/>
      <c r="Y93" s="2"/>
      <c r="Z93" s="2"/>
    </row>
    <row r="94" customHeight="1" spans="1:26">
      <c r="A94" s="13" t="s">
        <v>411</v>
      </c>
      <c r="B94" s="13" t="s">
        <v>2239</v>
      </c>
      <c r="C94" s="13" t="s">
        <v>413</v>
      </c>
      <c r="D94" s="14">
        <v>50</v>
      </c>
      <c r="E94" s="13" t="s">
        <v>310</v>
      </c>
      <c r="F94" s="13" t="s">
        <v>2240</v>
      </c>
      <c r="G94" s="13" t="s">
        <v>2241</v>
      </c>
      <c r="H94" s="2"/>
      <c r="I94" s="2"/>
      <c r="J94" s="2"/>
      <c r="K94" s="2"/>
      <c r="L94" s="2"/>
      <c r="M94" s="2"/>
      <c r="N94" s="2"/>
      <c r="O94" s="2"/>
      <c r="P94" s="2"/>
      <c r="Q94" s="2"/>
      <c r="R94" s="2"/>
      <c r="S94" s="2"/>
      <c r="T94" s="2"/>
      <c r="U94" s="2"/>
      <c r="V94" s="2"/>
      <c r="W94" s="2"/>
      <c r="X94" s="2"/>
      <c r="Y94" s="2"/>
      <c r="Z94" s="2"/>
    </row>
    <row r="95" customHeight="1" spans="1:26">
      <c r="A95" s="13" t="s">
        <v>416</v>
      </c>
      <c r="B95" s="13" t="s">
        <v>1853</v>
      </c>
      <c r="C95" s="13" t="s">
        <v>418</v>
      </c>
      <c r="D95" s="14">
        <v>35</v>
      </c>
      <c r="E95" s="13" t="s">
        <v>310</v>
      </c>
      <c r="F95" s="13" t="s">
        <v>1854</v>
      </c>
      <c r="G95" s="13" t="s">
        <v>1855</v>
      </c>
      <c r="H95" s="2"/>
      <c r="I95" s="2"/>
      <c r="J95" s="2"/>
      <c r="K95" s="2"/>
      <c r="L95" s="2"/>
      <c r="M95" s="2"/>
      <c r="N95" s="2"/>
      <c r="O95" s="2"/>
      <c r="P95" s="2"/>
      <c r="Q95" s="2"/>
      <c r="R95" s="2"/>
      <c r="S95" s="2"/>
      <c r="T95" s="2"/>
      <c r="U95" s="2"/>
      <c r="V95" s="2"/>
      <c r="W95" s="2"/>
      <c r="X95" s="2"/>
      <c r="Y95" s="2"/>
      <c r="Z95" s="2"/>
    </row>
    <row r="96" customHeight="1" spans="1:26">
      <c r="A96" s="13" t="s">
        <v>421</v>
      </c>
      <c r="B96" s="13" t="s">
        <v>2242</v>
      </c>
      <c r="C96" s="13" t="s">
        <v>423</v>
      </c>
      <c r="D96" s="14">
        <v>67</v>
      </c>
      <c r="E96" s="13" t="s">
        <v>310</v>
      </c>
      <c r="F96" s="13" t="s">
        <v>2243</v>
      </c>
      <c r="G96" s="13" t="s">
        <v>2244</v>
      </c>
      <c r="H96" s="2"/>
      <c r="I96" s="2"/>
      <c r="J96" s="2"/>
      <c r="K96" s="2"/>
      <c r="L96" s="2"/>
      <c r="M96" s="2"/>
      <c r="N96" s="2"/>
      <c r="O96" s="2"/>
      <c r="P96" s="2"/>
      <c r="Q96" s="2"/>
      <c r="R96" s="2"/>
      <c r="S96" s="2"/>
      <c r="T96" s="2"/>
      <c r="U96" s="2"/>
      <c r="V96" s="2"/>
      <c r="W96" s="2"/>
      <c r="X96" s="2"/>
      <c r="Y96" s="2"/>
      <c r="Z96" s="2"/>
    </row>
    <row r="97" customHeight="1" spans="1:26">
      <c r="A97" s="13" t="s">
        <v>426</v>
      </c>
      <c r="B97" s="13" t="s">
        <v>2232</v>
      </c>
      <c r="C97" s="13" t="s">
        <v>428</v>
      </c>
      <c r="D97" s="65">
        <v>13</v>
      </c>
      <c r="E97" s="13" t="s">
        <v>262</v>
      </c>
      <c r="F97" s="13" t="s">
        <v>2233</v>
      </c>
      <c r="G97" s="13" t="s">
        <v>2234</v>
      </c>
      <c r="H97" s="2"/>
      <c r="I97" s="2"/>
      <c r="J97" s="2"/>
      <c r="K97" s="2"/>
      <c r="L97" s="2"/>
      <c r="M97" s="2"/>
      <c r="N97" s="2"/>
      <c r="O97" s="2"/>
      <c r="P97" s="2"/>
      <c r="Q97" s="2"/>
      <c r="R97" s="2"/>
      <c r="S97" s="2"/>
      <c r="T97" s="2"/>
      <c r="U97" s="2"/>
      <c r="V97" s="2"/>
      <c r="W97" s="2"/>
      <c r="X97" s="2"/>
      <c r="Y97" s="2"/>
      <c r="Z97" s="2"/>
    </row>
    <row r="98" customHeight="1" spans="1:26">
      <c r="A98" s="13" t="s">
        <v>431</v>
      </c>
      <c r="B98" s="13" t="s">
        <v>2245</v>
      </c>
      <c r="C98" s="13" t="s">
        <v>428</v>
      </c>
      <c r="D98" s="65">
        <v>879</v>
      </c>
      <c r="E98" s="13" t="s">
        <v>21</v>
      </c>
      <c r="F98" s="13" t="s">
        <v>2246</v>
      </c>
      <c r="G98" s="13" t="s">
        <v>481</v>
      </c>
      <c r="H98" s="2"/>
      <c r="I98" s="2"/>
      <c r="J98" s="2"/>
      <c r="K98" s="2"/>
      <c r="L98" s="2"/>
      <c r="M98" s="2"/>
      <c r="N98" s="2"/>
      <c r="O98" s="2"/>
      <c r="P98" s="2"/>
      <c r="Q98" s="2"/>
      <c r="R98" s="2"/>
      <c r="S98" s="2"/>
      <c r="T98" s="2"/>
      <c r="U98" s="2"/>
      <c r="V98" s="2"/>
      <c r="W98" s="2"/>
      <c r="X98" s="2"/>
      <c r="Y98" s="2"/>
      <c r="Z98" s="2"/>
    </row>
    <row r="99" customHeight="1" spans="1:26">
      <c r="A99" s="13" t="s">
        <v>435</v>
      </c>
      <c r="B99" s="13" t="s">
        <v>2247</v>
      </c>
      <c r="C99" s="13" t="s">
        <v>428</v>
      </c>
      <c r="D99" s="14">
        <v>1000</v>
      </c>
      <c r="E99" s="13" t="s">
        <v>21</v>
      </c>
      <c r="F99" s="13" t="s">
        <v>2248</v>
      </c>
      <c r="G99" s="13" t="s">
        <v>2249</v>
      </c>
      <c r="H99" s="2"/>
      <c r="I99" s="2"/>
      <c r="J99" s="2"/>
      <c r="K99" s="2"/>
      <c r="L99" s="2"/>
      <c r="M99" s="2"/>
      <c r="N99" s="2"/>
      <c r="O99" s="2"/>
      <c r="P99" s="2"/>
      <c r="Q99" s="2"/>
      <c r="R99" s="2"/>
      <c r="S99" s="2"/>
      <c r="T99" s="2"/>
      <c r="U99" s="2"/>
      <c r="V99" s="2"/>
      <c r="W99" s="2"/>
      <c r="X99" s="2"/>
      <c r="Y99" s="2"/>
      <c r="Z99" s="2"/>
    </row>
    <row r="100" customHeight="1" spans="1:26">
      <c r="A100" s="64" t="s">
        <v>439</v>
      </c>
      <c r="B100" s="13" t="s">
        <v>2250</v>
      </c>
      <c r="C100" s="13" t="s">
        <v>315</v>
      </c>
      <c r="D100" s="65">
        <v>15</v>
      </c>
      <c r="E100" s="13" t="s">
        <v>37</v>
      </c>
      <c r="F100" s="13" t="s">
        <v>2251</v>
      </c>
      <c r="G100" s="13" t="s">
        <v>2252</v>
      </c>
      <c r="H100" s="2"/>
      <c r="I100" s="2"/>
      <c r="J100" s="2"/>
      <c r="K100" s="2"/>
      <c r="L100" s="2"/>
      <c r="M100" s="2"/>
      <c r="N100" s="2"/>
      <c r="O100" s="2"/>
      <c r="P100" s="2"/>
      <c r="Q100" s="2"/>
      <c r="R100" s="2"/>
      <c r="S100" s="2"/>
      <c r="T100" s="2"/>
      <c r="U100" s="2"/>
      <c r="V100" s="2"/>
      <c r="W100" s="2"/>
      <c r="X100" s="2"/>
      <c r="Y100" s="2"/>
      <c r="Z100" s="2"/>
    </row>
    <row r="101" customHeight="1" spans="1:26">
      <c r="A101" s="13" t="s">
        <v>443</v>
      </c>
      <c r="B101" s="13" t="s">
        <v>1871</v>
      </c>
      <c r="C101" s="13" t="s">
        <v>445</v>
      </c>
      <c r="D101" s="14">
        <v>188</v>
      </c>
      <c r="E101" s="13" t="s">
        <v>310</v>
      </c>
      <c r="F101" s="13" t="s">
        <v>2253</v>
      </c>
      <c r="G101" s="13" t="s">
        <v>2254</v>
      </c>
      <c r="H101" s="2"/>
      <c r="I101" s="2"/>
      <c r="J101" s="2"/>
      <c r="K101" s="2"/>
      <c r="L101" s="2"/>
      <c r="M101" s="2"/>
      <c r="N101" s="2"/>
      <c r="O101" s="2"/>
      <c r="P101" s="2"/>
      <c r="Q101" s="2"/>
      <c r="R101" s="2"/>
      <c r="S101" s="2"/>
      <c r="T101" s="2"/>
      <c r="U101" s="2"/>
      <c r="V101" s="2"/>
      <c r="W101" s="2"/>
      <c r="X101" s="2"/>
      <c r="Y101" s="2"/>
      <c r="Z101" s="2"/>
    </row>
    <row r="102" customHeight="1" spans="1:26">
      <c r="A102" s="13" t="s">
        <v>448</v>
      </c>
      <c r="B102" s="13" t="s">
        <v>2255</v>
      </c>
      <c r="C102" s="13" t="s">
        <v>450</v>
      </c>
      <c r="D102" s="65">
        <v>95</v>
      </c>
      <c r="E102" s="13" t="s">
        <v>310</v>
      </c>
      <c r="F102" s="13" t="s">
        <v>2256</v>
      </c>
      <c r="G102" s="13" t="s">
        <v>2257</v>
      </c>
      <c r="H102" s="2"/>
      <c r="I102" s="2"/>
      <c r="J102" s="2"/>
      <c r="K102" s="2"/>
      <c r="L102" s="2"/>
      <c r="M102" s="2"/>
      <c r="N102" s="2"/>
      <c r="O102" s="2"/>
      <c r="P102" s="2"/>
      <c r="Q102" s="2"/>
      <c r="R102" s="2"/>
      <c r="S102" s="2"/>
      <c r="T102" s="2"/>
      <c r="U102" s="2"/>
      <c r="V102" s="2"/>
      <c r="W102" s="2"/>
      <c r="X102" s="2"/>
      <c r="Y102" s="2"/>
      <c r="Z102" s="2"/>
    </row>
    <row r="103" customHeight="1" spans="1:26">
      <c r="A103" s="13" t="s">
        <v>452</v>
      </c>
      <c r="B103" s="13" t="s">
        <v>314</v>
      </c>
      <c r="C103" s="13" t="s">
        <v>450</v>
      </c>
      <c r="D103" s="65">
        <v>89</v>
      </c>
      <c r="E103" s="13" t="s">
        <v>310</v>
      </c>
      <c r="F103" s="13" t="s">
        <v>1132</v>
      </c>
      <c r="G103" s="13" t="s">
        <v>2258</v>
      </c>
      <c r="H103" s="2"/>
      <c r="I103" s="2"/>
      <c r="J103" s="2"/>
      <c r="K103" s="2"/>
      <c r="L103" s="2"/>
      <c r="M103" s="2"/>
      <c r="N103" s="2"/>
      <c r="O103" s="2"/>
      <c r="P103" s="2"/>
      <c r="Q103" s="2"/>
      <c r="R103" s="2"/>
      <c r="S103" s="2"/>
      <c r="T103" s="2"/>
      <c r="U103" s="2"/>
      <c r="V103" s="2"/>
      <c r="W103" s="2"/>
      <c r="X103" s="2"/>
      <c r="Y103" s="2"/>
      <c r="Z103" s="2"/>
    </row>
    <row r="104" customHeight="1" spans="1:26">
      <c r="A104" s="13" t="s">
        <v>455</v>
      </c>
      <c r="B104" s="13" t="s">
        <v>2259</v>
      </c>
      <c r="C104" s="13" t="s">
        <v>457</v>
      </c>
      <c r="D104" s="14">
        <v>400</v>
      </c>
      <c r="E104" s="13" t="s">
        <v>21</v>
      </c>
      <c r="F104" s="13" t="s">
        <v>2260</v>
      </c>
      <c r="G104" s="13" t="s">
        <v>2261</v>
      </c>
      <c r="H104" s="2"/>
      <c r="I104" s="2"/>
      <c r="J104" s="2"/>
      <c r="K104" s="2"/>
      <c r="L104" s="2"/>
      <c r="M104" s="2"/>
      <c r="N104" s="2"/>
      <c r="O104" s="2"/>
      <c r="P104" s="2"/>
      <c r="Q104" s="2"/>
      <c r="R104" s="2"/>
      <c r="S104" s="2"/>
      <c r="T104" s="2"/>
      <c r="U104" s="2"/>
      <c r="V104" s="2"/>
      <c r="W104" s="2"/>
      <c r="X104" s="2"/>
      <c r="Y104" s="2"/>
      <c r="Z104" s="2"/>
    </row>
    <row r="105" customHeight="1" spans="1:26">
      <c r="A105" s="13" t="s">
        <v>460</v>
      </c>
      <c r="B105" s="13" t="s">
        <v>2262</v>
      </c>
      <c r="C105" s="13" t="s">
        <v>462</v>
      </c>
      <c r="D105" s="14">
        <v>8</v>
      </c>
      <c r="E105" s="13" t="s">
        <v>37</v>
      </c>
      <c r="F105" s="13" t="s">
        <v>2263</v>
      </c>
      <c r="G105" s="13" t="s">
        <v>2264</v>
      </c>
      <c r="H105" s="2"/>
      <c r="I105" s="2"/>
      <c r="J105" s="2"/>
      <c r="K105" s="2"/>
      <c r="L105" s="2"/>
      <c r="M105" s="2"/>
      <c r="N105" s="2"/>
      <c r="O105" s="2"/>
      <c r="P105" s="2"/>
      <c r="Q105" s="2"/>
      <c r="R105" s="2"/>
      <c r="S105" s="2"/>
      <c r="T105" s="2"/>
      <c r="U105" s="2"/>
      <c r="V105" s="2"/>
      <c r="W105" s="2"/>
      <c r="X105" s="2"/>
      <c r="Y105" s="2"/>
      <c r="Z105" s="2"/>
    </row>
    <row r="106" customHeight="1" spans="1:26">
      <c r="A106" s="64" t="s">
        <v>465</v>
      </c>
      <c r="B106" s="13" t="s">
        <v>466</v>
      </c>
      <c r="C106" s="13" t="s">
        <v>315</v>
      </c>
      <c r="D106" s="65">
        <v>30</v>
      </c>
      <c r="E106" s="13" t="s">
        <v>21</v>
      </c>
      <c r="F106" s="13" t="s">
        <v>467</v>
      </c>
      <c r="G106" s="13" t="s">
        <v>2265</v>
      </c>
      <c r="H106" s="2"/>
      <c r="I106" s="2"/>
      <c r="J106" s="2"/>
      <c r="K106" s="2"/>
      <c r="L106" s="2"/>
      <c r="M106" s="2"/>
      <c r="N106" s="2"/>
      <c r="O106" s="2"/>
      <c r="P106" s="2"/>
      <c r="Q106" s="2"/>
      <c r="R106" s="2"/>
      <c r="S106" s="2"/>
      <c r="T106" s="2"/>
      <c r="U106" s="2"/>
      <c r="V106" s="2"/>
      <c r="W106" s="2"/>
      <c r="X106" s="2"/>
      <c r="Y106" s="2"/>
      <c r="Z106" s="2"/>
    </row>
    <row r="107" customHeight="1" spans="1:26">
      <c r="A107" s="13" t="s">
        <v>469</v>
      </c>
      <c r="B107" s="13" t="s">
        <v>2266</v>
      </c>
      <c r="C107" s="13" t="s">
        <v>471</v>
      </c>
      <c r="D107" s="14">
        <v>43</v>
      </c>
      <c r="E107" s="13" t="s">
        <v>310</v>
      </c>
      <c r="F107" s="13" t="s">
        <v>2267</v>
      </c>
      <c r="G107" s="75" t="s">
        <v>2268</v>
      </c>
      <c r="H107" s="2"/>
      <c r="I107" s="2"/>
      <c r="J107" s="2"/>
      <c r="K107" s="2"/>
      <c r="L107" s="2"/>
      <c r="M107" s="2"/>
      <c r="N107" s="2"/>
      <c r="O107" s="2"/>
      <c r="P107" s="2"/>
      <c r="Q107" s="2"/>
      <c r="R107" s="2"/>
      <c r="S107" s="2"/>
      <c r="T107" s="2"/>
      <c r="U107" s="2"/>
      <c r="V107" s="2"/>
      <c r="W107" s="2"/>
      <c r="X107" s="2"/>
      <c r="Y107" s="2"/>
      <c r="Z107" s="2"/>
    </row>
    <row r="108" customHeight="1" spans="1:26">
      <c r="A108" s="13" t="s">
        <v>474</v>
      </c>
      <c r="B108" s="13" t="s">
        <v>475</v>
      </c>
      <c r="C108" s="13" t="s">
        <v>476</v>
      </c>
      <c r="D108" s="65">
        <v>123</v>
      </c>
      <c r="E108" s="13" t="s">
        <v>310</v>
      </c>
      <c r="F108" s="13" t="s">
        <v>477</v>
      </c>
      <c r="G108" s="13" t="s">
        <v>478</v>
      </c>
      <c r="H108" s="2"/>
      <c r="I108" s="2"/>
      <c r="J108" s="2"/>
      <c r="K108" s="2"/>
      <c r="L108" s="2"/>
      <c r="M108" s="2"/>
      <c r="N108" s="2"/>
      <c r="O108" s="2"/>
      <c r="P108" s="2"/>
      <c r="Q108" s="2"/>
      <c r="R108" s="2"/>
      <c r="S108" s="2"/>
      <c r="T108" s="2"/>
      <c r="U108" s="2"/>
      <c r="V108" s="2"/>
      <c r="W108" s="2"/>
      <c r="X108" s="2"/>
      <c r="Y108" s="2"/>
      <c r="Z108" s="2"/>
    </row>
    <row r="109" customHeight="1" spans="1:26">
      <c r="A109" s="13" t="s">
        <v>479</v>
      </c>
      <c r="B109" s="13" t="s">
        <v>480</v>
      </c>
      <c r="C109" s="13" t="s">
        <v>476</v>
      </c>
      <c r="D109" s="65">
        <v>76</v>
      </c>
      <c r="E109" s="13" t="s">
        <v>310</v>
      </c>
      <c r="F109" s="13" t="s">
        <v>481</v>
      </c>
      <c r="G109" s="13" t="s">
        <v>2269</v>
      </c>
      <c r="H109" s="2"/>
      <c r="I109" s="2"/>
      <c r="J109" s="2"/>
      <c r="K109" s="2"/>
      <c r="L109" s="2"/>
      <c r="M109" s="2"/>
      <c r="N109" s="2"/>
      <c r="O109" s="2"/>
      <c r="P109" s="2"/>
      <c r="Q109" s="2"/>
      <c r="R109" s="2"/>
      <c r="S109" s="2"/>
      <c r="T109" s="2"/>
      <c r="U109" s="2"/>
      <c r="V109" s="2"/>
      <c r="W109" s="2"/>
      <c r="X109" s="2"/>
      <c r="Y109" s="2"/>
      <c r="Z109" s="2"/>
    </row>
    <row r="110" customHeight="1" spans="1:26">
      <c r="A110" s="64" t="s">
        <v>483</v>
      </c>
      <c r="B110" s="13" t="s">
        <v>484</v>
      </c>
      <c r="C110" s="13" t="s">
        <v>485</v>
      </c>
      <c r="D110" s="65">
        <v>77</v>
      </c>
      <c r="E110" s="13" t="s">
        <v>37</v>
      </c>
      <c r="F110" s="13" t="s">
        <v>486</v>
      </c>
      <c r="G110" s="13" t="s">
        <v>487</v>
      </c>
      <c r="H110" s="2"/>
      <c r="I110" s="2"/>
      <c r="J110" s="2"/>
      <c r="K110" s="2"/>
      <c r="L110" s="2"/>
      <c r="M110" s="2"/>
      <c r="N110" s="2"/>
      <c r="O110" s="2"/>
      <c r="P110" s="2"/>
      <c r="Q110" s="2"/>
      <c r="R110" s="2"/>
      <c r="S110" s="2"/>
      <c r="T110" s="2"/>
      <c r="U110" s="2"/>
      <c r="V110" s="2"/>
      <c r="W110" s="2"/>
      <c r="X110" s="2"/>
      <c r="Y110" s="2"/>
      <c r="Z110" s="2"/>
    </row>
    <row r="111" customHeight="1" spans="1:26">
      <c r="A111" s="13" t="s">
        <v>488</v>
      </c>
      <c r="B111" s="13" t="s">
        <v>2270</v>
      </c>
      <c r="C111" s="13" t="s">
        <v>490</v>
      </c>
      <c r="D111" s="14">
        <v>50</v>
      </c>
      <c r="E111" s="13" t="s">
        <v>37</v>
      </c>
      <c r="F111" s="13" t="s">
        <v>2271</v>
      </c>
      <c r="G111" s="13" t="s">
        <v>2272</v>
      </c>
      <c r="H111" s="2"/>
      <c r="I111" s="2"/>
      <c r="J111" s="2"/>
      <c r="K111" s="2"/>
      <c r="L111" s="2"/>
      <c r="M111" s="2"/>
      <c r="N111" s="2"/>
      <c r="O111" s="2"/>
      <c r="P111" s="2"/>
      <c r="Q111" s="2"/>
      <c r="R111" s="2"/>
      <c r="S111" s="2"/>
      <c r="T111" s="2"/>
      <c r="U111" s="2"/>
      <c r="V111" s="2"/>
      <c r="W111" s="2"/>
      <c r="X111" s="2"/>
      <c r="Y111" s="2"/>
      <c r="Z111" s="2"/>
    </row>
    <row r="112" customHeight="1" spans="1:26">
      <c r="A112" s="13" t="s">
        <v>493</v>
      </c>
      <c r="B112" s="13" t="s">
        <v>2273</v>
      </c>
      <c r="C112" s="13" t="s">
        <v>495</v>
      </c>
      <c r="D112" s="57"/>
      <c r="E112" s="57"/>
      <c r="F112" s="13" t="s">
        <v>2274</v>
      </c>
      <c r="G112" s="13" t="s">
        <v>2275</v>
      </c>
      <c r="H112" s="2"/>
      <c r="I112" s="2"/>
      <c r="J112" s="2"/>
      <c r="K112" s="2"/>
      <c r="L112" s="2"/>
      <c r="M112" s="2"/>
      <c r="N112" s="2"/>
      <c r="O112" s="2"/>
      <c r="P112" s="2"/>
      <c r="Q112" s="2"/>
      <c r="R112" s="2"/>
      <c r="S112" s="2"/>
      <c r="T112" s="2"/>
      <c r="U112" s="2"/>
      <c r="V112" s="2"/>
      <c r="W112" s="2"/>
      <c r="X112" s="2"/>
      <c r="Y112" s="2"/>
      <c r="Z112" s="2"/>
    </row>
    <row r="113" customHeight="1" spans="1:26">
      <c r="A113" s="13" t="s">
        <v>498</v>
      </c>
      <c r="B113" s="13" t="s">
        <v>499</v>
      </c>
      <c r="C113" s="13" t="s">
        <v>500</v>
      </c>
      <c r="D113" s="57"/>
      <c r="E113" s="57"/>
      <c r="F113" s="13" t="s">
        <v>501</v>
      </c>
      <c r="G113" s="13" t="s">
        <v>2276</v>
      </c>
      <c r="H113" s="2"/>
      <c r="I113" s="2"/>
      <c r="J113" s="2"/>
      <c r="K113" s="2"/>
      <c r="L113" s="2"/>
      <c r="M113" s="2"/>
      <c r="N113" s="2"/>
      <c r="O113" s="2"/>
      <c r="P113" s="2"/>
      <c r="Q113" s="2"/>
      <c r="R113" s="2"/>
      <c r="S113" s="2"/>
      <c r="T113" s="2"/>
      <c r="U113" s="2"/>
      <c r="V113" s="2"/>
      <c r="W113" s="2"/>
      <c r="X113" s="2"/>
      <c r="Y113" s="2"/>
      <c r="Z113" s="2"/>
    </row>
    <row r="114" customHeight="1" spans="1:26">
      <c r="A114" s="64" t="s">
        <v>503</v>
      </c>
      <c r="B114" s="13" t="s">
        <v>504</v>
      </c>
      <c r="C114" s="13" t="s">
        <v>505</v>
      </c>
      <c r="D114" s="65">
        <v>38</v>
      </c>
      <c r="E114" s="13" t="s">
        <v>37</v>
      </c>
      <c r="F114" s="13" t="s">
        <v>506</v>
      </c>
      <c r="G114" s="13" t="s">
        <v>2277</v>
      </c>
      <c r="H114" s="2"/>
      <c r="I114" s="2"/>
      <c r="J114" s="2"/>
      <c r="K114" s="2"/>
      <c r="L114" s="2"/>
      <c r="M114" s="2"/>
      <c r="N114" s="2"/>
      <c r="O114" s="2"/>
      <c r="P114" s="2"/>
      <c r="Q114" s="2"/>
      <c r="R114" s="2"/>
      <c r="S114" s="2"/>
      <c r="T114" s="2"/>
      <c r="U114" s="2"/>
      <c r="V114" s="2"/>
      <c r="W114" s="2"/>
      <c r="X114" s="2"/>
      <c r="Y114" s="2"/>
      <c r="Z114" s="2"/>
    </row>
    <row r="115" customHeight="1" spans="1:26">
      <c r="A115" s="13" t="s">
        <v>508</v>
      </c>
      <c r="B115" s="13" t="s">
        <v>2278</v>
      </c>
      <c r="C115" s="13" t="s">
        <v>510</v>
      </c>
      <c r="D115" s="14">
        <v>40</v>
      </c>
      <c r="E115" s="13" t="s">
        <v>37</v>
      </c>
      <c r="F115" s="13" t="s">
        <v>1165</v>
      </c>
      <c r="G115" s="13" t="s">
        <v>1166</v>
      </c>
      <c r="H115" s="2"/>
      <c r="I115" s="2"/>
      <c r="J115" s="2"/>
      <c r="K115" s="2"/>
      <c r="L115" s="2"/>
      <c r="M115" s="2"/>
      <c r="N115" s="2"/>
      <c r="O115" s="2"/>
      <c r="P115" s="2"/>
      <c r="Q115" s="2"/>
      <c r="R115" s="2"/>
      <c r="S115" s="2"/>
      <c r="T115" s="2"/>
      <c r="U115" s="2"/>
      <c r="V115" s="2"/>
      <c r="W115" s="2"/>
      <c r="X115" s="2"/>
      <c r="Y115" s="2"/>
      <c r="Z115" s="2"/>
    </row>
    <row r="116" customHeight="1" spans="1:26">
      <c r="A116" s="13" t="s">
        <v>513</v>
      </c>
      <c r="B116" s="13" t="s">
        <v>972</v>
      </c>
      <c r="C116" s="13" t="s">
        <v>515</v>
      </c>
      <c r="D116" s="14">
        <v>40</v>
      </c>
      <c r="E116" s="13" t="s">
        <v>37</v>
      </c>
      <c r="F116" s="13" t="s">
        <v>1167</v>
      </c>
      <c r="G116" s="13" t="s">
        <v>2279</v>
      </c>
      <c r="H116" s="2"/>
      <c r="I116" s="2"/>
      <c r="J116" s="2"/>
      <c r="K116" s="2"/>
      <c r="L116" s="2"/>
      <c r="M116" s="2"/>
      <c r="N116" s="2"/>
      <c r="O116" s="2"/>
      <c r="P116" s="2"/>
      <c r="Q116" s="2"/>
      <c r="R116" s="2"/>
      <c r="S116" s="2"/>
      <c r="T116" s="2"/>
      <c r="U116" s="2"/>
      <c r="V116" s="2"/>
      <c r="W116" s="2"/>
      <c r="X116" s="2"/>
      <c r="Y116" s="2"/>
      <c r="Z116" s="2"/>
    </row>
    <row r="117" customHeight="1" spans="1:26">
      <c r="A117" s="13" t="s">
        <v>518</v>
      </c>
      <c r="B117" s="13" t="s">
        <v>2280</v>
      </c>
      <c r="C117" s="13" t="s">
        <v>519</v>
      </c>
      <c r="D117" s="14">
        <v>45</v>
      </c>
      <c r="E117" s="13" t="s">
        <v>37</v>
      </c>
      <c r="F117" s="13" t="s">
        <v>2281</v>
      </c>
      <c r="G117" s="13" t="s">
        <v>2282</v>
      </c>
      <c r="H117" s="2"/>
      <c r="I117" s="2"/>
      <c r="J117" s="2"/>
      <c r="K117" s="2"/>
      <c r="L117" s="2"/>
      <c r="M117" s="2"/>
      <c r="N117" s="2"/>
      <c r="O117" s="2"/>
      <c r="P117" s="2"/>
      <c r="Q117" s="2"/>
      <c r="R117" s="2"/>
      <c r="S117" s="2"/>
      <c r="T117" s="2"/>
      <c r="U117" s="2"/>
      <c r="V117" s="2"/>
      <c r="W117" s="2"/>
      <c r="X117" s="2"/>
      <c r="Y117" s="2"/>
      <c r="Z117" s="2"/>
    </row>
    <row r="118" customHeight="1" spans="1:26">
      <c r="A118" s="13" t="s">
        <v>520</v>
      </c>
      <c r="B118" s="13" t="s">
        <v>1171</v>
      </c>
      <c r="C118" s="13" t="s">
        <v>515</v>
      </c>
      <c r="D118" s="14">
        <v>50</v>
      </c>
      <c r="E118" s="13" t="s">
        <v>37</v>
      </c>
      <c r="F118" s="13" t="s">
        <v>2283</v>
      </c>
      <c r="G118" s="13" t="s">
        <v>2284</v>
      </c>
      <c r="H118" s="2"/>
      <c r="I118" s="2"/>
      <c r="J118" s="2"/>
      <c r="K118" s="2"/>
      <c r="L118" s="2"/>
      <c r="M118" s="2"/>
      <c r="N118" s="2"/>
      <c r="O118" s="2"/>
      <c r="P118" s="2"/>
      <c r="Q118" s="2"/>
      <c r="R118" s="2"/>
      <c r="S118" s="2"/>
      <c r="T118" s="2"/>
      <c r="U118" s="2"/>
      <c r="V118" s="2"/>
      <c r="W118" s="2"/>
      <c r="X118" s="2"/>
      <c r="Y118" s="2"/>
      <c r="Z118" s="2"/>
    </row>
    <row r="119" customHeight="1" spans="1:26">
      <c r="A119" s="64" t="s">
        <v>522</v>
      </c>
      <c r="B119" s="13" t="s">
        <v>523</v>
      </c>
      <c r="C119" s="13" t="s">
        <v>524</v>
      </c>
      <c r="D119" s="65">
        <v>90</v>
      </c>
      <c r="E119" s="13" t="s">
        <v>21</v>
      </c>
      <c r="F119" s="13" t="s">
        <v>525</v>
      </c>
      <c r="G119" s="74" t="s">
        <v>2285</v>
      </c>
      <c r="H119" s="2"/>
      <c r="I119" s="2"/>
      <c r="J119" s="2"/>
      <c r="K119" s="2"/>
      <c r="L119" s="2"/>
      <c r="M119" s="2"/>
      <c r="N119" s="2"/>
      <c r="O119" s="2"/>
      <c r="P119" s="2"/>
      <c r="Q119" s="2"/>
      <c r="R119" s="2"/>
      <c r="S119" s="2"/>
      <c r="T119" s="2"/>
      <c r="U119" s="2"/>
      <c r="V119" s="2"/>
      <c r="W119" s="2"/>
      <c r="X119" s="2"/>
      <c r="Y119" s="2"/>
      <c r="Z119" s="2"/>
    </row>
    <row r="120" customHeight="1" spans="1:26">
      <c r="A120" s="13" t="s">
        <v>527</v>
      </c>
      <c r="B120" s="13" t="s">
        <v>528</v>
      </c>
      <c r="C120" s="13" t="s">
        <v>529</v>
      </c>
      <c r="D120" s="72"/>
      <c r="E120" s="57"/>
      <c r="F120" s="13" t="s">
        <v>530</v>
      </c>
      <c r="G120" s="13" t="s">
        <v>531</v>
      </c>
      <c r="H120" s="2"/>
      <c r="I120" s="2"/>
      <c r="J120" s="2"/>
      <c r="K120" s="2"/>
      <c r="L120" s="2"/>
      <c r="M120" s="2"/>
      <c r="N120" s="2"/>
      <c r="O120" s="2"/>
      <c r="P120" s="2"/>
      <c r="Q120" s="2"/>
      <c r="R120" s="2"/>
      <c r="S120" s="2"/>
      <c r="T120" s="2"/>
      <c r="U120" s="2"/>
      <c r="V120" s="2"/>
      <c r="W120" s="2"/>
      <c r="X120" s="2"/>
      <c r="Y120" s="2"/>
      <c r="Z120" s="2"/>
    </row>
    <row r="121" customHeight="1" spans="1:26">
      <c r="A121" s="13" t="s">
        <v>532</v>
      </c>
      <c r="B121" s="13" t="s">
        <v>2286</v>
      </c>
      <c r="C121" s="13" t="s">
        <v>534</v>
      </c>
      <c r="D121" s="14">
        <v>120</v>
      </c>
      <c r="E121" s="13" t="s">
        <v>37</v>
      </c>
      <c r="F121" s="13" t="s">
        <v>2287</v>
      </c>
      <c r="G121" s="13" t="s">
        <v>2288</v>
      </c>
      <c r="H121" s="2"/>
      <c r="I121" s="2"/>
      <c r="J121" s="2"/>
      <c r="K121" s="2"/>
      <c r="L121" s="2"/>
      <c r="M121" s="2"/>
      <c r="N121" s="2"/>
      <c r="O121" s="2"/>
      <c r="P121" s="2"/>
      <c r="Q121" s="2"/>
      <c r="R121" s="2"/>
      <c r="S121" s="2"/>
      <c r="T121" s="2"/>
      <c r="U121" s="2"/>
      <c r="V121" s="2"/>
      <c r="W121" s="2"/>
      <c r="X121" s="2"/>
      <c r="Y121" s="2"/>
      <c r="Z121" s="2"/>
    </row>
    <row r="122" customHeight="1" spans="1:26">
      <c r="A122" s="64" t="s">
        <v>537</v>
      </c>
      <c r="B122" s="13" t="s">
        <v>1911</v>
      </c>
      <c r="C122" s="13" t="s">
        <v>539</v>
      </c>
      <c r="D122" s="65">
        <v>60</v>
      </c>
      <c r="E122" s="13" t="s">
        <v>37</v>
      </c>
      <c r="F122" s="13" t="s">
        <v>1912</v>
      </c>
      <c r="G122" s="13" t="s">
        <v>2289</v>
      </c>
      <c r="H122" s="2"/>
      <c r="I122" s="2"/>
      <c r="J122" s="2"/>
      <c r="K122" s="2"/>
      <c r="L122" s="2"/>
      <c r="M122" s="2"/>
      <c r="N122" s="2"/>
      <c r="O122" s="2"/>
      <c r="P122" s="2"/>
      <c r="Q122" s="2"/>
      <c r="R122" s="2"/>
      <c r="S122" s="2"/>
      <c r="T122" s="2"/>
      <c r="U122" s="2"/>
      <c r="V122" s="2"/>
      <c r="W122" s="2"/>
      <c r="X122" s="2"/>
      <c r="Y122" s="2"/>
      <c r="Z122" s="2"/>
    </row>
    <row r="123" customHeight="1" spans="1:26">
      <c r="A123" s="64" t="s">
        <v>542</v>
      </c>
      <c r="B123" s="13" t="s">
        <v>2290</v>
      </c>
      <c r="C123" s="13" t="s">
        <v>539</v>
      </c>
      <c r="D123" s="65">
        <v>50</v>
      </c>
      <c r="E123" s="13" t="s">
        <v>37</v>
      </c>
      <c r="F123" s="13" t="s">
        <v>2291</v>
      </c>
      <c r="G123" s="13" t="s">
        <v>2292</v>
      </c>
      <c r="H123" s="2"/>
      <c r="I123" s="2"/>
      <c r="J123" s="2"/>
      <c r="K123" s="2"/>
      <c r="L123" s="2"/>
      <c r="M123" s="2"/>
      <c r="N123" s="2"/>
      <c r="O123" s="2"/>
      <c r="P123" s="2"/>
      <c r="Q123" s="2"/>
      <c r="R123" s="2"/>
      <c r="S123" s="2"/>
      <c r="T123" s="2"/>
      <c r="U123" s="2"/>
      <c r="V123" s="2"/>
      <c r="W123" s="2"/>
      <c r="X123" s="2"/>
      <c r="Y123" s="2"/>
      <c r="Z123" s="2"/>
    </row>
    <row r="124" customHeight="1" spans="1:26">
      <c r="A124" s="13" t="s">
        <v>546</v>
      </c>
      <c r="B124" s="13" t="s">
        <v>2293</v>
      </c>
      <c r="C124" s="13" t="s">
        <v>548</v>
      </c>
      <c r="D124" s="14">
        <v>100</v>
      </c>
      <c r="E124" s="13" t="s">
        <v>37</v>
      </c>
      <c r="F124" s="13" t="s">
        <v>2294</v>
      </c>
      <c r="G124" s="13" t="s">
        <v>2295</v>
      </c>
      <c r="H124" s="2"/>
      <c r="I124" s="2"/>
      <c r="J124" s="2"/>
      <c r="K124" s="2"/>
      <c r="L124" s="2"/>
      <c r="M124" s="2"/>
      <c r="N124" s="2"/>
      <c r="O124" s="2"/>
      <c r="P124" s="2"/>
      <c r="Q124" s="2"/>
      <c r="R124" s="2"/>
      <c r="S124" s="2"/>
      <c r="T124" s="2"/>
      <c r="U124" s="2"/>
      <c r="V124" s="2"/>
      <c r="W124" s="2"/>
      <c r="X124" s="2"/>
      <c r="Y124" s="2"/>
      <c r="Z124" s="2"/>
    </row>
    <row r="125" customHeight="1" spans="1:26">
      <c r="A125" s="64" t="s">
        <v>551</v>
      </c>
      <c r="B125" s="13" t="s">
        <v>2296</v>
      </c>
      <c r="C125" s="13" t="s">
        <v>553</v>
      </c>
      <c r="D125" s="65">
        <v>30</v>
      </c>
      <c r="E125" s="13" t="s">
        <v>37</v>
      </c>
      <c r="F125" s="68" t="str">
        <f>HYPERLINK("http://www.gemserv.com/wp-content/uploads/Severn-Trent-Water.jpg","http://www.gemserv.com/wp-content/uploads/Severn-Trent-Water.jpg")</f>
        <v>http://www.gemserv.com/wp-content/uploads/Severn-Trent-Water.jpg</v>
      </c>
      <c r="G125" s="13" t="s">
        <v>2297</v>
      </c>
      <c r="H125" s="2"/>
      <c r="I125" s="2"/>
      <c r="J125" s="2"/>
      <c r="K125" s="2"/>
      <c r="L125" s="2"/>
      <c r="M125" s="2"/>
      <c r="N125" s="2"/>
      <c r="O125" s="2"/>
      <c r="P125" s="2"/>
      <c r="Q125" s="2"/>
      <c r="R125" s="2"/>
      <c r="S125" s="2"/>
      <c r="T125" s="2"/>
      <c r="U125" s="2"/>
      <c r="V125" s="2"/>
      <c r="W125" s="2"/>
      <c r="X125" s="2"/>
      <c r="Y125" s="2"/>
      <c r="Z125" s="2"/>
    </row>
    <row r="126" customHeight="1" spans="1:26">
      <c r="A126" s="13" t="s">
        <v>556</v>
      </c>
      <c r="B126" s="13" t="s">
        <v>2298</v>
      </c>
      <c r="C126" s="13" t="s">
        <v>557</v>
      </c>
      <c r="D126" s="14">
        <v>30</v>
      </c>
      <c r="E126" s="13" t="s">
        <v>37</v>
      </c>
      <c r="F126" s="13" t="s">
        <v>2299</v>
      </c>
      <c r="G126" s="13" t="s">
        <v>2300</v>
      </c>
      <c r="H126" s="2"/>
      <c r="I126" s="2"/>
      <c r="J126" s="2"/>
      <c r="K126" s="2"/>
      <c r="L126" s="2"/>
      <c r="M126" s="2"/>
      <c r="N126" s="2"/>
      <c r="O126" s="2"/>
      <c r="P126" s="2"/>
      <c r="Q126" s="2"/>
      <c r="R126" s="2"/>
      <c r="S126" s="2"/>
      <c r="T126" s="2"/>
      <c r="U126" s="2"/>
      <c r="V126" s="2"/>
      <c r="W126" s="2"/>
      <c r="X126" s="2"/>
      <c r="Y126" s="2"/>
      <c r="Z126" s="2"/>
    </row>
    <row r="127" customHeight="1" spans="1:26">
      <c r="A127" s="13" t="s">
        <v>558</v>
      </c>
      <c r="B127" s="13" t="s">
        <v>2301</v>
      </c>
      <c r="C127" s="13" t="s">
        <v>560</v>
      </c>
      <c r="D127" s="14">
        <v>40</v>
      </c>
      <c r="E127" s="13" t="s">
        <v>37</v>
      </c>
      <c r="F127" s="13" t="s">
        <v>2302</v>
      </c>
      <c r="G127" s="13" t="s">
        <v>2303</v>
      </c>
      <c r="H127" s="2"/>
      <c r="I127" s="2"/>
      <c r="J127" s="2"/>
      <c r="K127" s="2"/>
      <c r="L127" s="2"/>
      <c r="M127" s="2"/>
      <c r="N127" s="2"/>
      <c r="O127" s="2"/>
      <c r="P127" s="2"/>
      <c r="Q127" s="2"/>
      <c r="R127" s="2"/>
      <c r="S127" s="2"/>
      <c r="T127" s="2"/>
      <c r="U127" s="2"/>
      <c r="V127" s="2"/>
      <c r="W127" s="2"/>
      <c r="X127" s="2"/>
      <c r="Y127" s="2"/>
      <c r="Z127" s="2"/>
    </row>
    <row r="128" customHeight="1" spans="1:26">
      <c r="A128" s="13" t="s">
        <v>563</v>
      </c>
      <c r="B128" s="13" t="s">
        <v>1200</v>
      </c>
      <c r="C128" s="13" t="s">
        <v>565</v>
      </c>
      <c r="D128" s="14">
        <v>80</v>
      </c>
      <c r="E128" s="13" t="s">
        <v>37</v>
      </c>
      <c r="F128" s="13" t="s">
        <v>2304</v>
      </c>
      <c r="G128" s="13" t="s">
        <v>2305</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2306</v>
      </c>
      <c r="C129" s="10" t="s">
        <v>570</v>
      </c>
      <c r="D129" s="2"/>
      <c r="E129" s="2"/>
      <c r="F129" s="2" t="s">
        <v>2307</v>
      </c>
      <c r="G129" s="2"/>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2308</v>
      </c>
      <c r="C130" s="2" t="s">
        <v>570</v>
      </c>
      <c r="D130" s="2"/>
      <c r="E130" s="2"/>
      <c r="F130" s="2" t="s">
        <v>2309</v>
      </c>
      <c r="G130" s="2"/>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2310</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2311</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2312</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2313</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2314</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1209</v>
      </c>
      <c r="C136" s="11" t="s">
        <v>578</v>
      </c>
      <c r="D136" s="2"/>
      <c r="E136" s="2"/>
      <c r="F136" s="2" t="s">
        <v>589</v>
      </c>
      <c r="G136" s="2" t="s">
        <v>1933</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2315</v>
      </c>
      <c r="C137" s="11" t="s">
        <v>578</v>
      </c>
      <c r="D137" s="2"/>
      <c r="E137" s="2"/>
      <c r="F137" s="2" t="s">
        <v>2316</v>
      </c>
      <c r="G137" s="2" t="s">
        <v>2317</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2318</v>
      </c>
      <c r="C138" s="11" t="s">
        <v>578</v>
      </c>
      <c r="D138" s="2"/>
      <c r="E138" s="2"/>
      <c r="F138" s="2" t="s">
        <v>2319</v>
      </c>
      <c r="G138" s="2" t="s">
        <v>2320</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2321</v>
      </c>
      <c r="C139" s="11" t="s">
        <v>578</v>
      </c>
      <c r="D139" s="2"/>
      <c r="E139" s="2"/>
      <c r="F139" s="2" t="s">
        <v>2322</v>
      </c>
      <c r="G139" s="2" t="s">
        <v>2323</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2324</v>
      </c>
      <c r="C140" s="11" t="s">
        <v>578</v>
      </c>
      <c r="D140" s="2"/>
      <c r="E140" s="2"/>
      <c r="F140" s="2" t="s">
        <v>2325</v>
      </c>
      <c r="G140" s="2" t="s">
        <v>2326</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2327</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2328</v>
      </c>
      <c r="C145" s="11" t="s">
        <v>612</v>
      </c>
      <c r="D145" s="2"/>
      <c r="E145" s="2"/>
      <c r="F145" s="2" t="s">
        <v>2329</v>
      </c>
      <c r="G145" s="2" t="s">
        <v>2330</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2331</v>
      </c>
      <c r="C146" s="11" t="s">
        <v>612</v>
      </c>
      <c r="D146" s="2"/>
      <c r="E146" s="2"/>
      <c r="F146" s="2" t="s">
        <v>2332</v>
      </c>
      <c r="G146" s="2" t="s">
        <v>2333</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2334</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2335</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2336</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2337</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1956</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2338</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2339</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1959</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1239</v>
      </c>
      <c r="C157" s="13" t="s">
        <v>648</v>
      </c>
      <c r="D157" s="14">
        <v>120</v>
      </c>
      <c r="E157" s="13" t="s">
        <v>37</v>
      </c>
      <c r="F157" s="13" t="s">
        <v>649</v>
      </c>
      <c r="G157" s="13" t="s">
        <v>650</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1240</v>
      </c>
      <c r="C158" s="11" t="s">
        <v>653</v>
      </c>
      <c r="D158" s="2"/>
      <c r="E158" s="2"/>
      <c r="F158" s="2" t="s">
        <v>2340</v>
      </c>
      <c r="G158" s="2" t="s">
        <v>2341</v>
      </c>
      <c r="H158" s="2"/>
      <c r="I158" s="2"/>
      <c r="J158" s="2"/>
      <c r="K158" s="2"/>
      <c r="L158" s="2"/>
      <c r="M158" s="2"/>
      <c r="N158" s="2"/>
      <c r="O158" s="2"/>
      <c r="P158" s="2"/>
      <c r="Q158" s="2"/>
      <c r="R158" s="2"/>
      <c r="S158" s="2"/>
      <c r="T158" s="2"/>
      <c r="U158" s="2"/>
      <c r="V158" s="2"/>
      <c r="W158" s="2"/>
      <c r="X158" s="2"/>
      <c r="Y158" s="2"/>
      <c r="Z158" s="2"/>
    </row>
    <row r="159" ht="13.5" customHeight="1" spans="1:26">
      <c r="A159" s="37" t="s">
        <v>656</v>
      </c>
      <c r="B159" s="2" t="s">
        <v>2342</v>
      </c>
      <c r="C159" s="37" t="s">
        <v>658</v>
      </c>
      <c r="D159" s="38"/>
      <c r="E159" s="39"/>
      <c r="F159" s="9" t="s">
        <v>659</v>
      </c>
      <c r="G159" s="9" t="s">
        <v>2343</v>
      </c>
      <c r="H159" s="40"/>
      <c r="I159" s="39"/>
      <c r="J159" s="39"/>
      <c r="K159" s="39"/>
      <c r="L159" s="39"/>
      <c r="M159" s="39"/>
      <c r="N159" s="39"/>
      <c r="O159" s="39"/>
      <c r="P159" s="39"/>
      <c r="Q159" s="39"/>
      <c r="R159" s="2"/>
      <c r="S159" s="2"/>
      <c r="T159" s="2"/>
      <c r="U159" s="2"/>
      <c r="V159" s="2"/>
      <c r="W159" s="2"/>
      <c r="X159" s="2"/>
      <c r="Y159" s="2"/>
      <c r="Z159" s="2"/>
    </row>
    <row r="160" ht="13.5" customHeight="1" spans="1:26">
      <c r="A160" s="2" t="s">
        <v>661</v>
      </c>
      <c r="B160" s="2" t="s">
        <v>2344</v>
      </c>
      <c r="C160" s="2" t="s">
        <v>658</v>
      </c>
      <c r="D160" s="39"/>
      <c r="E160" s="39"/>
      <c r="F160" s="9" t="str">
        <f>HYPERLINK("https://seeklogo.com/images/M/mastercard-logo-473B8726A9-seeklogo.com.png","https://seeklogo.com/images/M/mastercard-logo-473B8726A9-seeklogo.com.png")</f>
        <v>https://seeklogo.com/images/M/mastercard-logo-473B8726A9-seeklogo.com.png</v>
      </c>
      <c r="G160" s="9" t="s">
        <v>2345</v>
      </c>
      <c r="H160" s="39"/>
      <c r="I160" s="39"/>
      <c r="J160" s="39"/>
      <c r="K160" s="39"/>
      <c r="L160" s="39"/>
      <c r="M160" s="39"/>
      <c r="N160" s="39"/>
      <c r="O160" s="39"/>
      <c r="P160" s="39"/>
      <c r="Q160" s="39"/>
      <c r="R160" s="2"/>
      <c r="S160" s="2"/>
      <c r="T160" s="2"/>
      <c r="U160" s="2"/>
      <c r="V160" s="2"/>
      <c r="W160" s="2"/>
      <c r="X160" s="2"/>
      <c r="Y160" s="2"/>
      <c r="Z160" s="2"/>
    </row>
    <row r="161" ht="13.5" customHeight="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43 B145:B148 B155:B156">
      <formula1>ValidLondonCounterpartyNames</formula1>
    </dataValidation>
  </dataValidations>
  <hyperlinks>
    <hyperlink ref="G107" r:id="rId1" display="http://officelondon.co.uk"/>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 width="18.1607142857143" customWidth="1"/>
    <col min="2" max="2" width="19.1607142857143" customWidth="1"/>
    <col min="3" max="3" width="11.3303571428571" customWidth="1"/>
    <col min="4" max="17" width="8.16071428571429" customWidth="1"/>
    <col min="18" max="26" width="11.1607142857143" customWidth="1"/>
  </cols>
  <sheetData>
    <row r="1" customHeight="1" spans="1:26">
      <c r="A1" s="56" t="s">
        <v>0</v>
      </c>
      <c r="B1" s="65"/>
      <c r="C1" s="65"/>
      <c r="D1" s="65"/>
      <c r="E1" s="65"/>
      <c r="F1" s="65"/>
      <c r="G1" s="65"/>
      <c r="H1" s="2"/>
      <c r="I1" s="2"/>
      <c r="J1" s="2"/>
      <c r="K1" s="2"/>
      <c r="L1" s="2"/>
      <c r="M1" s="2"/>
      <c r="N1" s="2"/>
      <c r="O1" s="2"/>
      <c r="P1" s="2"/>
      <c r="Q1" s="2"/>
      <c r="R1" s="2"/>
      <c r="S1" s="2"/>
      <c r="T1" s="2"/>
      <c r="U1" s="2"/>
      <c r="V1" s="2"/>
      <c r="W1" s="2"/>
      <c r="X1" s="2"/>
      <c r="Y1" s="2"/>
      <c r="Z1" s="2"/>
    </row>
    <row r="2" customHeight="1" spans="1:26">
      <c r="A2" s="58" t="s">
        <v>2346</v>
      </c>
      <c r="B2" s="182"/>
      <c r="C2" s="182"/>
      <c r="D2" s="59" t="s">
        <v>2</v>
      </c>
      <c r="E2" s="182"/>
      <c r="F2" s="182"/>
      <c r="G2" s="182"/>
      <c r="H2" s="2"/>
      <c r="I2" s="2"/>
      <c r="J2" s="2"/>
      <c r="K2" s="2"/>
      <c r="L2" s="2"/>
      <c r="M2" s="2"/>
      <c r="N2" s="2"/>
      <c r="O2" s="2"/>
      <c r="P2" s="2"/>
      <c r="Q2" s="2"/>
      <c r="R2" s="2"/>
      <c r="S2" s="2"/>
      <c r="T2" s="2"/>
      <c r="U2" s="2"/>
      <c r="V2" s="2"/>
      <c r="W2" s="2"/>
      <c r="X2" s="2"/>
      <c r="Y2" s="2"/>
      <c r="Z2" s="2"/>
    </row>
    <row r="3" customHeight="1" spans="1:26">
      <c r="A3" s="60" t="s">
        <v>1643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183" t="s">
        <v>539</v>
      </c>
      <c r="B4" s="52" t="s">
        <v>2293</v>
      </c>
      <c r="C4" s="52" t="s">
        <v>539</v>
      </c>
      <c r="D4" s="184">
        <v>100</v>
      </c>
      <c r="E4" s="52" t="s">
        <v>37</v>
      </c>
      <c r="F4" s="52" t="s">
        <v>2347</v>
      </c>
      <c r="G4" s="54" t="str">
        <f>HYPERLINK("http://www.britishgas.co.uk/","http://www.britishgas.co.uk/")</f>
        <v>http://www.britishgas.co.uk/</v>
      </c>
      <c r="H4" s="2"/>
      <c r="I4" s="2"/>
      <c r="J4" s="2"/>
      <c r="K4" s="2"/>
      <c r="L4" s="2"/>
      <c r="M4" s="2"/>
      <c r="N4" s="2"/>
      <c r="O4" s="2"/>
      <c r="P4" s="2"/>
      <c r="Q4" s="2"/>
      <c r="R4" s="2"/>
      <c r="S4" s="2"/>
      <c r="T4" s="2"/>
      <c r="U4" s="2"/>
      <c r="V4" s="2"/>
      <c r="W4" s="2"/>
      <c r="X4" s="2"/>
      <c r="Y4" s="2"/>
      <c r="Z4" s="2"/>
    </row>
    <row r="5" customHeight="1" spans="1:26">
      <c r="A5" s="64" t="s">
        <v>553</v>
      </c>
      <c r="B5" s="63" t="s">
        <v>2296</v>
      </c>
      <c r="C5" s="63" t="s">
        <v>553</v>
      </c>
      <c r="D5" s="185">
        <v>30</v>
      </c>
      <c r="E5" s="63" t="s">
        <v>37</v>
      </c>
      <c r="F5" s="95" t="str">
        <f>HYPERLINK("http://www.gemserv.com/wp-content/uploads/Severn-Trent-Water.jpg","http://www.gemserv.com/wp-content/uploads/Severn-Trent-Water.jpg")</f>
        <v>http://www.gemserv.com/wp-content/uploads/Severn-Trent-Water.jpg</v>
      </c>
      <c r="G5" s="63" t="s">
        <v>2297</v>
      </c>
      <c r="H5" s="2"/>
      <c r="I5" s="2"/>
      <c r="J5" s="2"/>
      <c r="K5" s="2"/>
      <c r="L5" s="2"/>
      <c r="M5" s="2"/>
      <c r="N5" s="2"/>
      <c r="O5" s="2"/>
      <c r="P5" s="2"/>
      <c r="Q5" s="2"/>
      <c r="R5" s="2"/>
      <c r="S5" s="2"/>
      <c r="T5" s="2"/>
      <c r="U5" s="2"/>
      <c r="V5" s="2"/>
      <c r="W5" s="2"/>
      <c r="X5" s="2"/>
      <c r="Y5" s="2"/>
      <c r="Z5" s="2"/>
    </row>
    <row r="6" customHeight="1" spans="1:26">
      <c r="A6" s="64" t="s">
        <v>2348</v>
      </c>
      <c r="B6" s="13" t="s">
        <v>2349</v>
      </c>
      <c r="C6" s="13" t="s">
        <v>180</v>
      </c>
      <c r="D6" s="65">
        <v>45</v>
      </c>
      <c r="E6" s="13" t="s">
        <v>37</v>
      </c>
      <c r="F6" s="65"/>
      <c r="G6" s="68" t="str">
        <f>HYPERLINK("http://www.duddingstongolfclub.co.uk/","http://www.duddingstongolfclub.co.uk/")</f>
        <v>http://www.duddingstongolfclub.co.uk/</v>
      </c>
      <c r="H6" s="2"/>
      <c r="I6" s="2"/>
      <c r="J6" s="2"/>
      <c r="K6" s="2"/>
      <c r="L6" s="2"/>
      <c r="M6" s="2"/>
      <c r="N6" s="2"/>
      <c r="O6" s="2"/>
      <c r="P6" s="2"/>
      <c r="Q6" s="2"/>
      <c r="R6" s="2"/>
      <c r="S6" s="2"/>
      <c r="T6" s="2"/>
      <c r="U6" s="2"/>
      <c r="V6" s="2"/>
      <c r="W6" s="2"/>
      <c r="X6" s="2"/>
      <c r="Y6" s="2"/>
      <c r="Z6" s="2"/>
    </row>
    <row r="7" customHeight="1" spans="1:26">
      <c r="A7" s="150" t="s">
        <v>81</v>
      </c>
      <c r="B7" s="13" t="s">
        <v>81</v>
      </c>
      <c r="C7" s="13" t="s">
        <v>81</v>
      </c>
      <c r="D7" s="65">
        <v>30</v>
      </c>
      <c r="E7" s="13" t="s">
        <v>37</v>
      </c>
      <c r="F7" s="68" t="str">
        <f>HYPERLINK("http://www.ambervalley.gov.uk/images/doItOnline/council_tax_icon.png","http://www.ambervalley.gov.uk/images/doItOnline/council_tax_icon.png")</f>
        <v>http://www.ambervalley.gov.uk/images/doItOnline/council_tax_icon.png</v>
      </c>
      <c r="G7" s="13" t="s">
        <v>2103</v>
      </c>
      <c r="H7" s="2"/>
      <c r="I7" s="2"/>
      <c r="J7" s="2"/>
      <c r="K7" s="2"/>
      <c r="L7" s="2"/>
      <c r="M7" s="2"/>
      <c r="N7" s="2"/>
      <c r="O7" s="2"/>
      <c r="P7" s="2"/>
      <c r="Q7" s="2"/>
      <c r="R7" s="2"/>
      <c r="S7" s="2"/>
      <c r="T7" s="2"/>
      <c r="U7" s="2"/>
      <c r="V7" s="2"/>
      <c r="W7" s="2"/>
      <c r="X7" s="2"/>
      <c r="Y7" s="2"/>
      <c r="Z7" s="2"/>
    </row>
    <row r="8" customHeight="1" spans="1:26">
      <c r="A8" s="52" t="s">
        <v>680</v>
      </c>
      <c r="B8" s="62" t="s">
        <v>2116</v>
      </c>
      <c r="C8" s="13" t="s">
        <v>680</v>
      </c>
      <c r="D8" s="65">
        <v>90</v>
      </c>
      <c r="E8" s="13" t="s">
        <v>32</v>
      </c>
      <c r="F8" s="68" t="str">
        <f>HYPERLINK("http://i.forbesimg.com/media/lists/companies/marks-spencer_416x416.jpg","http://i.forbesimg.com/media/lists/companies/marks-spencer_416x416.jpg")</f>
        <v>http://i.forbesimg.com/media/lists/companies/marks-spencer_416x416.jpg</v>
      </c>
      <c r="G8" s="68" t="str">
        <f>HYPERLINK("http://www.marksandspencer.com/","http://www.marksandspencer.com/")</f>
        <v>http://www.marksandspencer.com/</v>
      </c>
      <c r="H8" s="2"/>
      <c r="I8" s="2"/>
      <c r="J8" s="2"/>
      <c r="K8" s="2"/>
      <c r="L8" s="2"/>
      <c r="M8" s="2"/>
      <c r="N8" s="2"/>
      <c r="O8" s="2"/>
      <c r="P8" s="2"/>
      <c r="Q8" s="2"/>
      <c r="R8" s="2"/>
      <c r="S8" s="2"/>
      <c r="T8" s="2"/>
      <c r="U8" s="2"/>
      <c r="V8" s="2"/>
      <c r="W8" s="2"/>
      <c r="X8" s="2"/>
      <c r="Y8" s="2"/>
      <c r="Z8" s="2"/>
    </row>
    <row r="9" customHeight="1" spans="1:26">
      <c r="A9" s="151" t="s">
        <v>925</v>
      </c>
      <c r="B9" s="13" t="s">
        <v>928</v>
      </c>
      <c r="C9" s="13" t="s">
        <v>925</v>
      </c>
      <c r="D9" s="65">
        <v>70</v>
      </c>
      <c r="E9" s="13" t="s">
        <v>32</v>
      </c>
      <c r="F9" s="13" t="s">
        <v>929</v>
      </c>
      <c r="G9" s="13" t="s">
        <v>2111</v>
      </c>
      <c r="H9" s="2"/>
      <c r="I9" s="2"/>
      <c r="J9" s="2"/>
      <c r="K9" s="2"/>
      <c r="L9" s="2"/>
      <c r="M9" s="2"/>
      <c r="N9" s="2"/>
      <c r="O9" s="2"/>
      <c r="P9" s="2"/>
      <c r="Q9" s="2"/>
      <c r="R9" s="2"/>
      <c r="S9" s="2"/>
      <c r="T9" s="2"/>
      <c r="U9" s="2"/>
      <c r="V9" s="2"/>
      <c r="W9" s="2"/>
      <c r="X9" s="2"/>
      <c r="Y9" s="2"/>
      <c r="Z9" s="2"/>
    </row>
    <row r="10" customHeight="1" spans="1:26">
      <c r="A10" s="64" t="s">
        <v>66</v>
      </c>
      <c r="B10" s="13" t="s">
        <v>2097</v>
      </c>
      <c r="C10" s="13" t="s">
        <v>66</v>
      </c>
      <c r="D10" s="65">
        <v>12</v>
      </c>
      <c r="E10" s="13" t="s">
        <v>71</v>
      </c>
      <c r="F10" s="13" t="s">
        <v>2098</v>
      </c>
      <c r="G10" s="13" t="s">
        <v>2099</v>
      </c>
      <c r="H10" s="2"/>
      <c r="I10" s="2"/>
      <c r="J10" s="2"/>
      <c r="K10" s="2"/>
      <c r="L10" s="2"/>
      <c r="M10" s="2"/>
      <c r="N10" s="2"/>
      <c r="O10" s="2"/>
      <c r="P10" s="2"/>
      <c r="Q10" s="2"/>
      <c r="R10" s="2"/>
      <c r="S10" s="2"/>
      <c r="T10" s="2"/>
      <c r="U10" s="2"/>
      <c r="V10" s="2"/>
      <c r="W10" s="2"/>
      <c r="X10" s="2"/>
      <c r="Y10" s="2"/>
      <c r="Z10" s="2"/>
    </row>
    <row r="11" customHeight="1" spans="1:26">
      <c r="A11" s="64" t="s">
        <v>236</v>
      </c>
      <c r="B11" s="13" t="s">
        <v>2190</v>
      </c>
      <c r="C11" s="13" t="s">
        <v>236</v>
      </c>
      <c r="D11" s="65">
        <v>40</v>
      </c>
      <c r="E11" s="13" t="s">
        <v>37</v>
      </c>
      <c r="F11" s="13" t="s">
        <v>2191</v>
      </c>
      <c r="G11" s="65"/>
      <c r="H11" s="2"/>
      <c r="I11" s="2"/>
      <c r="J11" s="2"/>
      <c r="K11" s="2"/>
      <c r="L11" s="2"/>
      <c r="M11" s="2"/>
      <c r="N11" s="2"/>
      <c r="O11" s="2"/>
      <c r="P11" s="2"/>
      <c r="Q11" s="2"/>
      <c r="R11" s="2"/>
      <c r="S11" s="2"/>
      <c r="T11" s="2"/>
      <c r="U11" s="2"/>
      <c r="V11" s="2"/>
      <c r="W11" s="2"/>
      <c r="X11" s="2"/>
      <c r="Y11" s="2"/>
      <c r="Z11" s="2"/>
    </row>
    <row r="12" customHeight="1" spans="1:26">
      <c r="A12" s="64" t="s">
        <v>680</v>
      </c>
      <c r="B12" s="13" t="s">
        <v>2123</v>
      </c>
      <c r="C12" s="13" t="s">
        <v>680</v>
      </c>
      <c r="D12" s="65">
        <v>50</v>
      </c>
      <c r="E12" s="13" t="s">
        <v>37</v>
      </c>
      <c r="F12" s="13" t="s">
        <v>2124</v>
      </c>
      <c r="G12" s="13" t="s">
        <v>2125</v>
      </c>
      <c r="H12" s="2"/>
      <c r="I12" s="2"/>
      <c r="J12" s="2"/>
      <c r="K12" s="2"/>
      <c r="L12" s="2"/>
      <c r="M12" s="2"/>
      <c r="N12" s="2"/>
      <c r="O12" s="2"/>
      <c r="P12" s="2"/>
      <c r="Q12" s="2"/>
      <c r="R12" s="2"/>
      <c r="S12" s="2"/>
      <c r="T12" s="2"/>
      <c r="U12" s="2"/>
      <c r="V12" s="2"/>
      <c r="W12" s="2"/>
      <c r="X12" s="2"/>
      <c r="Y12" s="2"/>
      <c r="Z12" s="2"/>
    </row>
    <row r="13" customHeight="1" spans="1:26">
      <c r="A13" s="64" t="s">
        <v>209</v>
      </c>
      <c r="B13" s="13" t="s">
        <v>2154</v>
      </c>
      <c r="C13" s="13" t="s">
        <v>209</v>
      </c>
      <c r="D13" s="65">
        <v>5</v>
      </c>
      <c r="E13" s="13" t="s">
        <v>37</v>
      </c>
      <c r="F13" s="68" t="str">
        <f>HYPERLINK("http://www.ncp.co.uk/graphics/logo.png","http://www.ncp.co.uk/graphics/logo.png")</f>
        <v>http://www.ncp.co.uk/graphics/logo.png</v>
      </c>
      <c r="G13" s="13" t="s">
        <v>2155</v>
      </c>
      <c r="H13" s="2"/>
      <c r="I13" s="2"/>
      <c r="J13" s="2"/>
      <c r="K13" s="2"/>
      <c r="L13" s="2"/>
      <c r="M13" s="2"/>
      <c r="N13" s="2"/>
      <c r="O13" s="2"/>
      <c r="P13" s="2"/>
      <c r="Q13" s="2"/>
      <c r="R13" s="2"/>
      <c r="S13" s="2"/>
      <c r="T13" s="2"/>
      <c r="U13" s="2"/>
      <c r="V13" s="2"/>
      <c r="W13" s="2"/>
      <c r="X13" s="2"/>
      <c r="Y13" s="2"/>
      <c r="Z13" s="2"/>
    </row>
    <row r="14" customHeight="1" spans="1:26">
      <c r="A14" s="64" t="s">
        <v>519</v>
      </c>
      <c r="B14" s="13" t="s">
        <v>2280</v>
      </c>
      <c r="C14" s="13" t="s">
        <v>519</v>
      </c>
      <c r="D14" s="65">
        <v>30</v>
      </c>
      <c r="E14" s="13" t="s">
        <v>37</v>
      </c>
      <c r="F14" s="13" t="s">
        <v>2350</v>
      </c>
      <c r="G14" s="13" t="s">
        <v>2351</v>
      </c>
      <c r="H14" s="2"/>
      <c r="I14" s="2"/>
      <c r="J14" s="2"/>
      <c r="K14" s="2"/>
      <c r="L14" s="2"/>
      <c r="M14" s="2"/>
      <c r="N14" s="2"/>
      <c r="O14" s="2"/>
      <c r="P14" s="2"/>
      <c r="Q14" s="2"/>
      <c r="R14" s="2"/>
      <c r="S14" s="2"/>
      <c r="T14" s="2"/>
      <c r="U14" s="2"/>
      <c r="V14" s="2"/>
      <c r="W14" s="2"/>
      <c r="X14" s="2"/>
      <c r="Y14" s="2"/>
      <c r="Z14" s="2"/>
    </row>
    <row r="15" customHeight="1" spans="1:26">
      <c r="A15" s="64" t="s">
        <v>315</v>
      </c>
      <c r="B15" s="13" t="s">
        <v>372</v>
      </c>
      <c r="C15" s="13" t="s">
        <v>315</v>
      </c>
      <c r="D15" s="65">
        <v>35</v>
      </c>
      <c r="E15" s="13" t="s">
        <v>37</v>
      </c>
      <c r="F15" s="13" t="s">
        <v>374</v>
      </c>
      <c r="G15" s="13" t="s">
        <v>2222</v>
      </c>
      <c r="H15" s="2"/>
      <c r="I15" s="2"/>
      <c r="J15" s="2"/>
      <c r="K15" s="2"/>
      <c r="L15" s="2"/>
      <c r="M15" s="2"/>
      <c r="N15" s="2"/>
      <c r="O15" s="2"/>
      <c r="P15" s="2"/>
      <c r="Q15" s="2"/>
      <c r="R15" s="2"/>
      <c r="S15" s="2"/>
      <c r="T15" s="2"/>
      <c r="U15" s="2"/>
      <c r="V15" s="2"/>
      <c r="W15" s="2"/>
      <c r="X15" s="2"/>
      <c r="Y15" s="2"/>
      <c r="Z15" s="2"/>
    </row>
    <row r="16" customHeight="1" spans="1:26">
      <c r="A16" s="64" t="s">
        <v>315</v>
      </c>
      <c r="B16" s="13" t="s">
        <v>2223</v>
      </c>
      <c r="C16" s="13" t="s">
        <v>315</v>
      </c>
      <c r="D16" s="65">
        <v>90</v>
      </c>
      <c r="E16" s="13" t="s">
        <v>37</v>
      </c>
      <c r="F16" s="13" t="s">
        <v>2224</v>
      </c>
      <c r="G16" s="13" t="s">
        <v>2225</v>
      </c>
      <c r="H16" s="2"/>
      <c r="I16" s="2"/>
      <c r="J16" s="2"/>
      <c r="K16" s="2"/>
      <c r="L16" s="2"/>
      <c r="M16" s="2"/>
      <c r="N16" s="2"/>
      <c r="O16" s="2"/>
      <c r="P16" s="2"/>
      <c r="Q16" s="2"/>
      <c r="R16" s="2"/>
      <c r="S16" s="2"/>
      <c r="T16" s="2"/>
      <c r="U16" s="2"/>
      <c r="V16" s="2"/>
      <c r="W16" s="2"/>
      <c r="X16" s="2"/>
      <c r="Y16" s="2"/>
      <c r="Z16" s="2"/>
    </row>
    <row r="17" customHeight="1" spans="1:26">
      <c r="A17" s="64" t="s">
        <v>290</v>
      </c>
      <c r="B17" s="13" t="s">
        <v>289</v>
      </c>
      <c r="C17" s="13" t="s">
        <v>290</v>
      </c>
      <c r="D17" s="65">
        <v>300</v>
      </c>
      <c r="E17" s="13" t="s">
        <v>37</v>
      </c>
      <c r="F17" s="68" t="str">
        <f>HYPERLINK("http://financematters.co/wp-content/uploads/2015/05/RBS-logo-logotype.png","http://financematters.co/wp-content/uploads/2015/05/RBS-logo-logotype.png")</f>
        <v>http://financematters.co/wp-content/uploads/2015/05/RBS-logo-logotype.png</v>
      </c>
      <c r="G17" s="13" t="s">
        <v>2196</v>
      </c>
      <c r="H17" s="2"/>
      <c r="I17" s="2"/>
      <c r="J17" s="2"/>
      <c r="K17" s="2"/>
      <c r="L17" s="2"/>
      <c r="M17" s="2"/>
      <c r="N17" s="2"/>
      <c r="O17" s="2"/>
      <c r="P17" s="2"/>
      <c r="Q17" s="2"/>
      <c r="R17" s="2"/>
      <c r="S17" s="2"/>
      <c r="T17" s="2"/>
      <c r="U17" s="2"/>
      <c r="V17" s="2"/>
      <c r="W17" s="2"/>
      <c r="X17" s="2"/>
      <c r="Y17" s="2"/>
      <c r="Z17" s="2"/>
    </row>
    <row r="18" customHeight="1" spans="1:26">
      <c r="A18" s="64" t="s">
        <v>315</v>
      </c>
      <c r="B18" s="13" t="s">
        <v>388</v>
      </c>
      <c r="C18" s="13" t="s">
        <v>315</v>
      </c>
      <c r="D18" s="65">
        <v>80</v>
      </c>
      <c r="E18" s="13" t="s">
        <v>37</v>
      </c>
      <c r="F18" s="13" t="s">
        <v>2352</v>
      </c>
      <c r="G18" s="13" t="s">
        <v>2353</v>
      </c>
      <c r="H18" s="2"/>
      <c r="I18" s="2"/>
      <c r="J18" s="2"/>
      <c r="K18" s="2"/>
      <c r="L18" s="2"/>
      <c r="M18" s="2"/>
      <c r="N18" s="2"/>
      <c r="O18" s="2"/>
      <c r="P18" s="2"/>
      <c r="Q18" s="2"/>
      <c r="R18" s="2"/>
      <c r="S18" s="2"/>
      <c r="T18" s="2"/>
      <c r="U18" s="2"/>
      <c r="V18" s="2"/>
      <c r="W18" s="2"/>
      <c r="X18" s="2"/>
      <c r="Y18" s="2"/>
      <c r="Z18" s="2"/>
    </row>
    <row r="19" customHeight="1" spans="1:26">
      <c r="A19" s="64" t="s">
        <v>236</v>
      </c>
      <c r="B19" s="13" t="s">
        <v>2354</v>
      </c>
      <c r="C19" s="13" t="s">
        <v>236</v>
      </c>
      <c r="D19" s="65">
        <v>37</v>
      </c>
      <c r="E19" s="13" t="s">
        <v>37</v>
      </c>
      <c r="F19" s="13" t="s">
        <v>2188</v>
      </c>
      <c r="G19" s="13" t="s">
        <v>2189</v>
      </c>
      <c r="H19" s="2"/>
      <c r="I19" s="2"/>
      <c r="J19" s="2"/>
      <c r="K19" s="2"/>
      <c r="L19" s="2"/>
      <c r="M19" s="2"/>
      <c r="N19" s="2"/>
      <c r="O19" s="2"/>
      <c r="P19" s="2"/>
      <c r="Q19" s="2"/>
      <c r="R19" s="2"/>
      <c r="S19" s="2"/>
      <c r="T19" s="2"/>
      <c r="U19" s="2"/>
      <c r="V19" s="2"/>
      <c r="W19" s="2"/>
      <c r="X19" s="2"/>
      <c r="Y19" s="2"/>
      <c r="Z19" s="2"/>
    </row>
    <row r="20" customHeight="1" spans="1:26">
      <c r="A20" s="64" t="s">
        <v>2355</v>
      </c>
      <c r="B20" s="13" t="s">
        <v>1911</v>
      </c>
      <c r="C20" s="13" t="s">
        <v>539</v>
      </c>
      <c r="D20" s="65">
        <v>60</v>
      </c>
      <c r="E20" s="13" t="s">
        <v>37</v>
      </c>
      <c r="F20" s="13" t="s">
        <v>1912</v>
      </c>
      <c r="G20" s="13" t="s">
        <v>2289</v>
      </c>
      <c r="H20" s="2"/>
      <c r="I20" s="2"/>
      <c r="J20" s="2"/>
      <c r="K20" s="2"/>
      <c r="L20" s="2"/>
      <c r="M20" s="2"/>
      <c r="N20" s="2"/>
      <c r="O20" s="2"/>
      <c r="P20" s="2"/>
      <c r="Q20" s="2"/>
      <c r="R20" s="2"/>
      <c r="S20" s="2"/>
      <c r="T20" s="2"/>
      <c r="U20" s="2"/>
      <c r="V20" s="2"/>
      <c r="W20" s="2"/>
      <c r="X20" s="2"/>
      <c r="Y20" s="2"/>
      <c r="Z20" s="2"/>
    </row>
    <row r="21" customHeight="1" spans="1:26">
      <c r="A21" s="64" t="s">
        <v>519</v>
      </c>
      <c r="B21" s="13" t="s">
        <v>2278</v>
      </c>
      <c r="C21" s="13" t="s">
        <v>519</v>
      </c>
      <c r="D21" s="65">
        <v>30</v>
      </c>
      <c r="E21" s="13" t="s">
        <v>37</v>
      </c>
      <c r="F21" s="13" t="s">
        <v>2356</v>
      </c>
      <c r="G21" s="13" t="s">
        <v>2357</v>
      </c>
      <c r="H21" s="2"/>
      <c r="I21" s="2"/>
      <c r="J21" s="2"/>
      <c r="K21" s="2"/>
      <c r="L21" s="2"/>
      <c r="M21" s="2"/>
      <c r="N21" s="2"/>
      <c r="O21" s="2"/>
      <c r="P21" s="2"/>
      <c r="Q21" s="2"/>
      <c r="R21" s="2"/>
      <c r="S21" s="2"/>
      <c r="T21" s="2"/>
      <c r="U21" s="2"/>
      <c r="V21" s="2"/>
      <c r="W21" s="2"/>
      <c r="X21" s="2"/>
      <c r="Y21" s="2"/>
      <c r="Z21" s="2"/>
    </row>
    <row r="22" customHeight="1" spans="1:26">
      <c r="A22" s="64" t="s">
        <v>680</v>
      </c>
      <c r="B22" s="13" t="s">
        <v>2126</v>
      </c>
      <c r="C22" s="13" t="s">
        <v>680</v>
      </c>
      <c r="D22" s="65">
        <v>50</v>
      </c>
      <c r="E22" s="13" t="s">
        <v>32</v>
      </c>
      <c r="F22" s="13" t="s">
        <v>2127</v>
      </c>
      <c r="G22" s="13" t="s">
        <v>2128</v>
      </c>
      <c r="H22" s="2"/>
      <c r="I22" s="2"/>
      <c r="J22" s="2"/>
      <c r="K22" s="2"/>
      <c r="L22" s="2"/>
      <c r="M22" s="2"/>
      <c r="N22" s="2"/>
      <c r="O22" s="2"/>
      <c r="P22" s="2"/>
      <c r="Q22" s="2"/>
      <c r="R22" s="2"/>
      <c r="S22" s="2"/>
      <c r="T22" s="2"/>
      <c r="U22" s="2"/>
      <c r="V22" s="2"/>
      <c r="W22" s="2"/>
      <c r="X22" s="2"/>
      <c r="Y22" s="2"/>
      <c r="Z22" s="2"/>
    </row>
    <row r="23" customHeight="1" spans="1:26">
      <c r="A23" s="64" t="s">
        <v>315</v>
      </c>
      <c r="B23" s="13" t="s">
        <v>2250</v>
      </c>
      <c r="C23" s="13" t="s">
        <v>315</v>
      </c>
      <c r="D23" s="65">
        <v>15</v>
      </c>
      <c r="E23" s="13" t="s">
        <v>37</v>
      </c>
      <c r="F23" s="13" t="s">
        <v>2251</v>
      </c>
      <c r="G23" s="13" t="s">
        <v>2252</v>
      </c>
      <c r="H23" s="2"/>
      <c r="I23" s="2"/>
      <c r="J23" s="2"/>
      <c r="K23" s="2"/>
      <c r="L23" s="2"/>
      <c r="M23" s="2"/>
      <c r="N23" s="2"/>
      <c r="O23" s="2"/>
      <c r="P23" s="2"/>
      <c r="Q23" s="2"/>
      <c r="R23" s="2"/>
      <c r="S23" s="2"/>
      <c r="T23" s="2"/>
      <c r="U23" s="2"/>
      <c r="V23" s="2"/>
      <c r="W23" s="2"/>
      <c r="X23" s="2"/>
      <c r="Y23" s="2"/>
      <c r="Z23" s="2"/>
    </row>
    <row r="24" customHeight="1" spans="1:26">
      <c r="A24" s="64" t="s">
        <v>315</v>
      </c>
      <c r="B24" s="13" t="s">
        <v>2358</v>
      </c>
      <c r="C24" s="13" t="s">
        <v>315</v>
      </c>
      <c r="D24" s="65">
        <v>30</v>
      </c>
      <c r="E24" s="13" t="s">
        <v>21</v>
      </c>
      <c r="F24" s="13" t="s">
        <v>2150</v>
      </c>
      <c r="G24" s="13" t="s">
        <v>2151</v>
      </c>
      <c r="H24" s="2"/>
      <c r="I24" s="2"/>
      <c r="J24" s="2"/>
      <c r="K24" s="2"/>
      <c r="L24" s="2"/>
      <c r="M24" s="2"/>
      <c r="N24" s="2"/>
      <c r="O24" s="2"/>
      <c r="P24" s="2"/>
      <c r="Q24" s="2"/>
      <c r="R24" s="2"/>
      <c r="S24" s="2"/>
      <c r="T24" s="2"/>
      <c r="U24" s="2"/>
      <c r="V24" s="2"/>
      <c r="W24" s="2"/>
      <c r="X24" s="2"/>
      <c r="Y24" s="2"/>
      <c r="Z24" s="2"/>
    </row>
    <row r="25" customHeight="1" spans="1:26">
      <c r="A25" s="64" t="s">
        <v>236</v>
      </c>
      <c r="B25" s="13" t="s">
        <v>274</v>
      </c>
      <c r="C25" s="13" t="s">
        <v>236</v>
      </c>
      <c r="D25" s="65">
        <v>30</v>
      </c>
      <c r="E25" s="13" t="s">
        <v>32</v>
      </c>
      <c r="F25" s="13" t="s">
        <v>275</v>
      </c>
      <c r="G25" s="13" t="s">
        <v>2186</v>
      </c>
      <c r="H25" s="2"/>
      <c r="I25" s="2"/>
      <c r="J25" s="2"/>
      <c r="K25" s="2"/>
      <c r="L25" s="2"/>
      <c r="M25" s="2"/>
      <c r="N25" s="2"/>
      <c r="O25" s="2"/>
      <c r="P25" s="2"/>
      <c r="Q25" s="2"/>
      <c r="R25" s="2"/>
      <c r="S25" s="2"/>
      <c r="T25" s="2"/>
      <c r="U25" s="2"/>
      <c r="V25" s="2"/>
      <c r="W25" s="2"/>
      <c r="X25" s="2"/>
      <c r="Y25" s="2"/>
      <c r="Z25" s="2"/>
    </row>
    <row r="26" customHeight="1" spans="1:26">
      <c r="A26" s="64" t="s">
        <v>680</v>
      </c>
      <c r="B26" s="13" t="s">
        <v>2129</v>
      </c>
      <c r="C26" s="13" t="s">
        <v>680</v>
      </c>
      <c r="D26" s="65">
        <v>30</v>
      </c>
      <c r="E26" s="13" t="s">
        <v>32</v>
      </c>
      <c r="F26" s="13" t="s">
        <v>2130</v>
      </c>
      <c r="G26" s="13" t="s">
        <v>2131</v>
      </c>
      <c r="H26" s="2"/>
      <c r="I26" s="2"/>
      <c r="J26" s="2"/>
      <c r="K26" s="2"/>
      <c r="L26" s="2"/>
      <c r="M26" s="2"/>
      <c r="N26" s="2"/>
      <c r="O26" s="2"/>
      <c r="P26" s="2"/>
      <c r="Q26" s="2"/>
      <c r="R26" s="2"/>
      <c r="S26" s="2"/>
      <c r="T26" s="2"/>
      <c r="U26" s="2"/>
      <c r="V26" s="2"/>
      <c r="W26" s="2"/>
      <c r="X26" s="2"/>
      <c r="Y26" s="2"/>
      <c r="Z26" s="2"/>
    </row>
    <row r="27" customHeight="1" spans="1:26">
      <c r="A27" s="64" t="s">
        <v>315</v>
      </c>
      <c r="B27" s="13" t="s">
        <v>466</v>
      </c>
      <c r="C27" s="13" t="s">
        <v>315</v>
      </c>
      <c r="D27" s="65">
        <v>30</v>
      </c>
      <c r="E27" s="13" t="s">
        <v>21</v>
      </c>
      <c r="F27" s="13" t="s">
        <v>467</v>
      </c>
      <c r="G27" s="13" t="s">
        <v>2265</v>
      </c>
      <c r="H27" s="2"/>
      <c r="I27" s="2"/>
      <c r="J27" s="2"/>
      <c r="K27" s="2"/>
      <c r="L27" s="2"/>
      <c r="M27" s="2"/>
      <c r="N27" s="2"/>
      <c r="O27" s="2"/>
      <c r="P27" s="2"/>
      <c r="Q27" s="2"/>
      <c r="R27" s="2"/>
      <c r="S27" s="2"/>
      <c r="T27" s="2"/>
      <c r="U27" s="2"/>
      <c r="V27" s="2"/>
      <c r="W27" s="2"/>
      <c r="X27" s="2"/>
      <c r="Y27" s="2"/>
      <c r="Z27" s="2"/>
    </row>
    <row r="28" customHeight="1" spans="1:26">
      <c r="A28" s="64" t="s">
        <v>236</v>
      </c>
      <c r="B28" s="13" t="s">
        <v>270</v>
      </c>
      <c r="C28" s="13" t="s">
        <v>236</v>
      </c>
      <c r="D28" s="65">
        <v>35</v>
      </c>
      <c r="E28" s="13" t="s">
        <v>37</v>
      </c>
      <c r="F28" s="13" t="s">
        <v>271</v>
      </c>
      <c r="G28" s="13" t="s">
        <v>2185</v>
      </c>
      <c r="H28" s="2"/>
      <c r="I28" s="2"/>
      <c r="J28" s="2"/>
      <c r="K28" s="2"/>
      <c r="L28" s="2"/>
      <c r="M28" s="2"/>
      <c r="N28" s="2"/>
      <c r="O28" s="2"/>
      <c r="P28" s="2"/>
      <c r="Q28" s="2"/>
      <c r="R28" s="2"/>
      <c r="S28" s="2"/>
      <c r="T28" s="2"/>
      <c r="U28" s="2"/>
      <c r="V28" s="2"/>
      <c r="W28" s="2"/>
      <c r="X28" s="2"/>
      <c r="Y28" s="2"/>
      <c r="Z28" s="2"/>
    </row>
    <row r="29" customHeight="1" spans="1:26">
      <c r="A29" s="64" t="s">
        <v>171</v>
      </c>
      <c r="B29" s="13" t="s">
        <v>2145</v>
      </c>
      <c r="C29" s="13" t="s">
        <v>171</v>
      </c>
      <c r="D29" s="65">
        <v>30</v>
      </c>
      <c r="E29" s="13" t="s">
        <v>37</v>
      </c>
      <c r="F29" s="13" t="s">
        <v>976</v>
      </c>
      <c r="G29" s="13" t="s">
        <v>2146</v>
      </c>
      <c r="H29" s="2"/>
      <c r="I29" s="2"/>
      <c r="J29" s="2"/>
      <c r="K29" s="2"/>
      <c r="L29" s="2"/>
      <c r="M29" s="2"/>
      <c r="N29" s="2"/>
      <c r="O29" s="2"/>
      <c r="P29" s="2"/>
      <c r="Q29" s="2"/>
      <c r="R29" s="2"/>
      <c r="S29" s="2"/>
      <c r="T29" s="2"/>
      <c r="U29" s="2"/>
      <c r="V29" s="2"/>
      <c r="W29" s="2"/>
      <c r="X29" s="2"/>
      <c r="Y29" s="2"/>
      <c r="Z29" s="2"/>
    </row>
    <row r="30" customHeight="1" spans="1:26">
      <c r="A30" s="64" t="s">
        <v>290</v>
      </c>
      <c r="B30" s="13" t="s">
        <v>2197</v>
      </c>
      <c r="C30" s="13" t="s">
        <v>290</v>
      </c>
      <c r="D30" s="65">
        <v>35</v>
      </c>
      <c r="E30" s="13" t="s">
        <v>37</v>
      </c>
      <c r="F30" s="68" t="str">
        <f>HYPERLINK("http://www.twyningstores.co.uk/js/plugins/imagemanager/files/instore/ourlogo_ENGLISH_COLOUR_LOGO_REF3_2.jpg","http://www.twyningstores.co.uk/js/plugins/imagemanager/files/instore/ourlogo_ENGLISH_COLOUR_LOGO_REF3_2.jpg")</f>
        <v>http://www.twyningstores.co.uk/js/plugins/imagemanager/files/instore/ourlogo_ENGLISH_COLOUR_LOGO_REF3_2.jpg</v>
      </c>
      <c r="G30" s="13" t="s">
        <v>2198</v>
      </c>
      <c r="H30" s="2"/>
      <c r="I30" s="2"/>
      <c r="J30" s="2"/>
      <c r="K30" s="2"/>
      <c r="L30" s="2"/>
      <c r="M30" s="2"/>
      <c r="N30" s="2"/>
      <c r="O30" s="2"/>
      <c r="P30" s="2"/>
      <c r="Q30" s="2"/>
      <c r="R30" s="2"/>
      <c r="S30" s="2"/>
      <c r="T30" s="2"/>
      <c r="U30" s="2"/>
      <c r="V30" s="2"/>
      <c r="W30" s="2"/>
      <c r="X30" s="2"/>
      <c r="Y30" s="2"/>
      <c r="Z30" s="2"/>
    </row>
    <row r="31" customHeight="1" spans="1:26">
      <c r="A31" s="64" t="s">
        <v>315</v>
      </c>
      <c r="B31" s="13" t="s">
        <v>365</v>
      </c>
      <c r="C31" s="13" t="s">
        <v>315</v>
      </c>
      <c r="D31" s="65">
        <v>35</v>
      </c>
      <c r="E31" s="13" t="s">
        <v>262</v>
      </c>
      <c r="F31" s="13" t="s">
        <v>367</v>
      </c>
      <c r="G31" s="13" t="s">
        <v>2220</v>
      </c>
      <c r="H31" s="2"/>
      <c r="I31" s="2"/>
      <c r="J31" s="2"/>
      <c r="K31" s="2"/>
      <c r="L31" s="2"/>
      <c r="M31" s="2"/>
      <c r="N31" s="2"/>
      <c r="O31" s="2"/>
      <c r="P31" s="2"/>
      <c r="Q31" s="2"/>
      <c r="R31" s="2"/>
      <c r="S31" s="2"/>
      <c r="T31" s="2"/>
      <c r="U31" s="2"/>
      <c r="V31" s="2"/>
      <c r="W31" s="2"/>
      <c r="X31" s="2"/>
      <c r="Y31" s="2"/>
      <c r="Z31" s="2"/>
    </row>
    <row r="32" customHeight="1" spans="1:26">
      <c r="A32" s="64" t="s">
        <v>315</v>
      </c>
      <c r="B32" s="13" t="s">
        <v>2207</v>
      </c>
      <c r="C32" s="13" t="s">
        <v>315</v>
      </c>
      <c r="D32" s="65">
        <v>13</v>
      </c>
      <c r="E32" s="13" t="s">
        <v>262</v>
      </c>
      <c r="F32" s="68" t="str">
        <f>HYPERLINK("http://www.voucherfox.co.uk/images/image_1919683395.jpg","http://www.voucherfox.co.uk/images/image_1919683395.jpg")</f>
        <v>http://www.voucherfox.co.uk/images/image_1919683395.jpg</v>
      </c>
      <c r="G32" s="13" t="s">
        <v>2208</v>
      </c>
      <c r="H32" s="2"/>
      <c r="I32" s="2"/>
      <c r="J32" s="2"/>
      <c r="K32" s="2"/>
      <c r="L32" s="2"/>
      <c r="M32" s="2"/>
      <c r="N32" s="2"/>
      <c r="O32" s="2"/>
      <c r="P32" s="2"/>
      <c r="Q32" s="2"/>
      <c r="R32" s="2"/>
      <c r="S32" s="2"/>
      <c r="T32" s="2"/>
      <c r="U32" s="2"/>
      <c r="V32" s="2"/>
      <c r="W32" s="2"/>
      <c r="X32" s="2"/>
      <c r="Y32" s="2"/>
      <c r="Z32" s="2"/>
    </row>
    <row r="33" customHeight="1" spans="1:26">
      <c r="A33" s="64" t="s">
        <v>505</v>
      </c>
      <c r="B33" s="13" t="s">
        <v>504</v>
      </c>
      <c r="C33" s="13" t="s">
        <v>505</v>
      </c>
      <c r="D33" s="65">
        <v>38</v>
      </c>
      <c r="E33" s="13" t="s">
        <v>37</v>
      </c>
      <c r="F33" s="13" t="s">
        <v>506</v>
      </c>
      <c r="G33" s="13" t="s">
        <v>2277</v>
      </c>
      <c r="H33" s="2"/>
      <c r="I33" s="2"/>
      <c r="J33" s="2"/>
      <c r="K33" s="2"/>
      <c r="L33" s="2"/>
      <c r="M33" s="2"/>
      <c r="N33" s="2"/>
      <c r="O33" s="2"/>
      <c r="P33" s="2"/>
      <c r="Q33" s="2"/>
      <c r="R33" s="2"/>
      <c r="S33" s="2"/>
      <c r="T33" s="2"/>
      <c r="U33" s="2"/>
      <c r="V33" s="2"/>
      <c r="W33" s="2"/>
      <c r="X33" s="2"/>
      <c r="Y33" s="2"/>
      <c r="Z33" s="2"/>
    </row>
    <row r="34" customHeight="1" spans="1:26">
      <c r="A34" s="64" t="s">
        <v>315</v>
      </c>
      <c r="B34" s="13" t="s">
        <v>2232</v>
      </c>
      <c r="C34" s="13" t="s">
        <v>315</v>
      </c>
      <c r="D34" s="65">
        <v>13</v>
      </c>
      <c r="E34" s="13" t="s">
        <v>262</v>
      </c>
      <c r="F34" s="13" t="s">
        <v>2233</v>
      </c>
      <c r="G34" s="13" t="s">
        <v>2234</v>
      </c>
      <c r="H34" s="2"/>
      <c r="I34" s="2"/>
      <c r="J34" s="2"/>
      <c r="K34" s="2"/>
      <c r="L34" s="2"/>
      <c r="M34" s="2"/>
      <c r="N34" s="2"/>
      <c r="O34" s="2"/>
      <c r="P34" s="2"/>
      <c r="Q34" s="2"/>
      <c r="R34" s="2"/>
      <c r="S34" s="2"/>
      <c r="T34" s="2"/>
      <c r="U34" s="2"/>
      <c r="V34" s="2"/>
      <c r="W34" s="2"/>
      <c r="X34" s="2"/>
      <c r="Y34" s="2"/>
      <c r="Z34" s="2"/>
    </row>
    <row r="35" customHeight="1" spans="1:26">
      <c r="A35" s="64" t="s">
        <v>315</v>
      </c>
      <c r="B35" s="13" t="s">
        <v>343</v>
      </c>
      <c r="C35" s="13" t="s">
        <v>315</v>
      </c>
      <c r="D35" s="65">
        <v>45</v>
      </c>
      <c r="E35" s="13" t="s">
        <v>262</v>
      </c>
      <c r="F35" s="13" t="s">
        <v>344</v>
      </c>
      <c r="G35" s="13" t="s">
        <v>2214</v>
      </c>
      <c r="H35" s="2"/>
      <c r="I35" s="2"/>
      <c r="J35" s="2"/>
      <c r="K35" s="2"/>
      <c r="L35" s="2"/>
      <c r="M35" s="2"/>
      <c r="N35" s="2"/>
      <c r="O35" s="2"/>
      <c r="P35" s="2"/>
      <c r="Q35" s="2"/>
      <c r="R35" s="2"/>
      <c r="S35" s="2"/>
      <c r="T35" s="2"/>
      <c r="U35" s="2"/>
      <c r="V35" s="2"/>
      <c r="W35" s="2"/>
      <c r="X35" s="2"/>
      <c r="Y35" s="2"/>
      <c r="Z35" s="2"/>
    </row>
    <row r="36" customHeight="1" spans="1:26">
      <c r="A36" s="64" t="s">
        <v>236</v>
      </c>
      <c r="B36" s="13" t="s">
        <v>261</v>
      </c>
      <c r="C36" s="13" t="s">
        <v>236</v>
      </c>
      <c r="D36" s="65">
        <v>8</v>
      </c>
      <c r="E36" s="13" t="s">
        <v>262</v>
      </c>
      <c r="F36" s="13" t="s">
        <v>263</v>
      </c>
      <c r="G36" s="13" t="s">
        <v>2181</v>
      </c>
      <c r="H36" s="2"/>
      <c r="I36" s="2"/>
      <c r="J36" s="2"/>
      <c r="K36" s="2"/>
      <c r="L36" s="2"/>
      <c r="M36" s="2"/>
      <c r="N36" s="2"/>
      <c r="O36" s="2"/>
      <c r="P36" s="2"/>
      <c r="Q36" s="2"/>
      <c r="R36" s="2"/>
      <c r="S36" s="2"/>
      <c r="T36" s="2"/>
      <c r="U36" s="2"/>
      <c r="V36" s="2"/>
      <c r="W36" s="2"/>
      <c r="X36" s="2"/>
      <c r="Y36" s="2"/>
      <c r="Z36" s="2"/>
    </row>
    <row r="37" customHeight="1" spans="1:26">
      <c r="A37" s="64" t="s">
        <v>31</v>
      </c>
      <c r="B37" s="13" t="s">
        <v>2081</v>
      </c>
      <c r="C37" s="13" t="s">
        <v>31</v>
      </c>
      <c r="D37" s="65">
        <v>30</v>
      </c>
      <c r="E37" s="13" t="s">
        <v>32</v>
      </c>
      <c r="F37" s="13" t="s">
        <v>2082</v>
      </c>
      <c r="G37" s="13" t="s">
        <v>2083</v>
      </c>
      <c r="H37" s="2"/>
      <c r="I37" s="2"/>
      <c r="J37" s="2"/>
      <c r="K37" s="2"/>
      <c r="L37" s="2"/>
      <c r="M37" s="2"/>
      <c r="N37" s="2"/>
      <c r="O37" s="2"/>
      <c r="P37" s="2"/>
      <c r="Q37" s="2"/>
      <c r="R37" s="2"/>
      <c r="S37" s="2"/>
      <c r="T37" s="2"/>
      <c r="U37" s="2"/>
      <c r="V37" s="2"/>
      <c r="W37" s="2"/>
      <c r="X37" s="2"/>
      <c r="Y37" s="2"/>
      <c r="Z37" s="2"/>
    </row>
    <row r="38" customHeight="1" spans="1:26">
      <c r="A38" s="64" t="s">
        <v>66</v>
      </c>
      <c r="B38" s="13" t="s">
        <v>2094</v>
      </c>
      <c r="C38" s="13" t="s">
        <v>66</v>
      </c>
      <c r="D38" s="65">
        <v>13</v>
      </c>
      <c r="E38" s="13" t="s">
        <v>32</v>
      </c>
      <c r="F38" s="13" t="s">
        <v>2095</v>
      </c>
      <c r="G38" s="13" t="s">
        <v>2096</v>
      </c>
      <c r="H38" s="2"/>
      <c r="I38" s="2"/>
      <c r="J38" s="2"/>
      <c r="K38" s="2"/>
      <c r="L38" s="2"/>
      <c r="M38" s="2"/>
      <c r="N38" s="2"/>
      <c r="O38" s="2"/>
      <c r="P38" s="2"/>
      <c r="Q38" s="2"/>
      <c r="R38" s="2"/>
      <c r="S38" s="2"/>
      <c r="T38" s="2"/>
      <c r="U38" s="2"/>
      <c r="V38" s="2"/>
      <c r="W38" s="2"/>
      <c r="X38" s="2"/>
      <c r="Y38" s="2"/>
      <c r="Z38" s="2"/>
    </row>
    <row r="39" customHeight="1" spans="1:26">
      <c r="A39" s="64" t="s">
        <v>185</v>
      </c>
      <c r="B39" s="13" t="s">
        <v>184</v>
      </c>
      <c r="C39" s="13" t="s">
        <v>185</v>
      </c>
      <c r="D39" s="65">
        <v>7</v>
      </c>
      <c r="E39" s="13" t="s">
        <v>37</v>
      </c>
      <c r="F39" s="13" t="s">
        <v>186</v>
      </c>
      <c r="G39" s="13" t="s">
        <v>187</v>
      </c>
      <c r="H39" s="2"/>
      <c r="I39" s="2"/>
      <c r="J39" s="2"/>
      <c r="K39" s="2"/>
      <c r="L39" s="2"/>
      <c r="M39" s="2"/>
      <c r="N39" s="2"/>
      <c r="O39" s="2"/>
      <c r="P39" s="2"/>
      <c r="Q39" s="2"/>
      <c r="R39" s="2"/>
      <c r="S39" s="2"/>
      <c r="T39" s="2"/>
      <c r="U39" s="2"/>
      <c r="V39" s="2"/>
      <c r="W39" s="2"/>
      <c r="X39" s="2"/>
      <c r="Y39" s="2"/>
      <c r="Z39" s="2"/>
    </row>
    <row r="40" customHeight="1" spans="1:26">
      <c r="A40" s="64" t="s">
        <v>315</v>
      </c>
      <c r="B40" s="13" t="s">
        <v>351</v>
      </c>
      <c r="C40" s="13" t="s">
        <v>315</v>
      </c>
      <c r="D40" s="65">
        <v>20</v>
      </c>
      <c r="E40" s="13" t="s">
        <v>262</v>
      </c>
      <c r="F40" s="13" t="s">
        <v>352</v>
      </c>
      <c r="G40" s="13" t="s">
        <v>2216</v>
      </c>
      <c r="H40" s="2"/>
      <c r="I40" s="2"/>
      <c r="J40" s="2"/>
      <c r="K40" s="2"/>
      <c r="L40" s="2"/>
      <c r="M40" s="2"/>
      <c r="N40" s="2"/>
      <c r="O40" s="2"/>
      <c r="P40" s="2"/>
      <c r="Q40" s="2"/>
      <c r="R40" s="2"/>
      <c r="S40" s="2"/>
      <c r="T40" s="2"/>
      <c r="U40" s="2"/>
      <c r="V40" s="2"/>
      <c r="W40" s="2"/>
      <c r="X40" s="2"/>
      <c r="Y40" s="2"/>
      <c r="Z40" s="2"/>
    </row>
    <row r="41" customHeight="1" spans="1:26">
      <c r="A41" s="64" t="s">
        <v>315</v>
      </c>
      <c r="B41" s="13" t="s">
        <v>2359</v>
      </c>
      <c r="C41" s="13" t="s">
        <v>315</v>
      </c>
      <c r="D41" s="65">
        <v>20</v>
      </c>
      <c r="E41" s="13" t="s">
        <v>37</v>
      </c>
      <c r="F41" s="13" t="s">
        <v>2360</v>
      </c>
      <c r="G41" s="13" t="s">
        <v>2361</v>
      </c>
      <c r="H41" s="2"/>
      <c r="I41" s="2"/>
      <c r="J41" s="2"/>
      <c r="K41" s="2"/>
      <c r="L41" s="2"/>
      <c r="M41" s="2"/>
      <c r="N41" s="2"/>
      <c r="O41" s="2"/>
      <c r="P41" s="2"/>
      <c r="Q41" s="2"/>
      <c r="R41" s="2"/>
      <c r="S41" s="2"/>
      <c r="T41" s="2"/>
      <c r="U41" s="2"/>
      <c r="V41" s="2"/>
      <c r="W41" s="2"/>
      <c r="X41" s="2"/>
      <c r="Y41" s="2"/>
      <c r="Z41" s="2"/>
    </row>
    <row r="42" customHeight="1" spans="1:26">
      <c r="A42" s="64" t="s">
        <v>236</v>
      </c>
      <c r="B42" s="13" t="s">
        <v>2182</v>
      </c>
      <c r="C42" s="13" t="s">
        <v>236</v>
      </c>
      <c r="D42" s="65">
        <v>30</v>
      </c>
      <c r="E42" s="13" t="s">
        <v>37</v>
      </c>
      <c r="F42" s="13" t="s">
        <v>2183</v>
      </c>
      <c r="G42" s="13" t="s">
        <v>2184</v>
      </c>
      <c r="H42" s="2"/>
      <c r="I42" s="2"/>
      <c r="J42" s="2"/>
      <c r="K42" s="2"/>
      <c r="L42" s="2"/>
      <c r="M42" s="2"/>
      <c r="N42" s="2"/>
      <c r="O42" s="2"/>
      <c r="P42" s="2"/>
      <c r="Q42" s="2"/>
      <c r="R42" s="2"/>
      <c r="S42" s="2"/>
      <c r="T42" s="2"/>
      <c r="U42" s="2"/>
      <c r="V42" s="2"/>
      <c r="W42" s="2"/>
      <c r="X42" s="2"/>
      <c r="Y42" s="2"/>
      <c r="Z42" s="2"/>
    </row>
    <row r="43" customHeight="1" spans="1:26">
      <c r="A43" s="64" t="s">
        <v>925</v>
      </c>
      <c r="B43" s="13" t="s">
        <v>2108</v>
      </c>
      <c r="C43" s="13" t="s">
        <v>925</v>
      </c>
      <c r="D43" s="65">
        <v>60</v>
      </c>
      <c r="E43" s="13" t="s">
        <v>71</v>
      </c>
      <c r="F43" s="13" t="s">
        <v>2109</v>
      </c>
      <c r="G43" s="13" t="s">
        <v>2110</v>
      </c>
      <c r="H43" s="2"/>
      <c r="I43" s="2"/>
      <c r="J43" s="2"/>
      <c r="K43" s="2"/>
      <c r="L43" s="2"/>
      <c r="M43" s="2"/>
      <c r="N43" s="2"/>
      <c r="O43" s="2"/>
      <c r="P43" s="2"/>
      <c r="Q43" s="2"/>
      <c r="R43" s="2"/>
      <c r="S43" s="2"/>
      <c r="T43" s="2"/>
      <c r="U43" s="2"/>
      <c r="V43" s="2"/>
      <c r="W43" s="2"/>
      <c r="X43" s="2"/>
      <c r="Y43" s="2"/>
      <c r="Z43" s="2"/>
    </row>
    <row r="44" customHeight="1" spans="1:26">
      <c r="A44" s="64" t="s">
        <v>680</v>
      </c>
      <c r="B44" s="13" t="s">
        <v>2120</v>
      </c>
      <c r="C44" s="13" t="s">
        <v>680</v>
      </c>
      <c r="D44" s="65">
        <v>25</v>
      </c>
      <c r="E44" s="13" t="s">
        <v>32</v>
      </c>
      <c r="F44" s="13" t="s">
        <v>2362</v>
      </c>
      <c r="G44" s="13" t="s">
        <v>2363</v>
      </c>
      <c r="H44" s="2"/>
      <c r="I44" s="2"/>
      <c r="J44" s="2"/>
      <c r="K44" s="2"/>
      <c r="L44" s="2"/>
      <c r="M44" s="2"/>
      <c r="N44" s="2"/>
      <c r="O44" s="2"/>
      <c r="P44" s="2"/>
      <c r="Q44" s="2"/>
      <c r="R44" s="2"/>
      <c r="S44" s="2"/>
      <c r="T44" s="2"/>
      <c r="U44" s="2"/>
      <c r="V44" s="2"/>
      <c r="W44" s="2"/>
      <c r="X44" s="2"/>
      <c r="Y44" s="2"/>
      <c r="Z44" s="2"/>
    </row>
    <row r="45" customHeight="1" spans="1:26">
      <c r="A45" s="64" t="s">
        <v>171</v>
      </c>
      <c r="B45" s="13" t="s">
        <v>170</v>
      </c>
      <c r="C45" s="13" t="s">
        <v>171</v>
      </c>
      <c r="D45" s="65">
        <v>46</v>
      </c>
      <c r="E45" s="13" t="s">
        <v>37</v>
      </c>
      <c r="F45" s="13" t="s">
        <v>1733</v>
      </c>
      <c r="G45" s="13" t="s">
        <v>2144</v>
      </c>
      <c r="H45" s="2"/>
      <c r="I45" s="2"/>
      <c r="J45" s="2"/>
      <c r="K45" s="2"/>
      <c r="L45" s="2"/>
      <c r="M45" s="2"/>
      <c r="N45" s="2"/>
      <c r="O45" s="2"/>
      <c r="P45" s="2"/>
      <c r="Q45" s="2"/>
      <c r="R45" s="2"/>
      <c r="S45" s="2"/>
      <c r="T45" s="2"/>
      <c r="U45" s="2"/>
      <c r="V45" s="2"/>
      <c r="W45" s="2"/>
      <c r="X45" s="2"/>
      <c r="Y45" s="2"/>
      <c r="Z45" s="2"/>
    </row>
    <row r="46" customHeight="1" spans="1:26">
      <c r="A46" s="64" t="s">
        <v>315</v>
      </c>
      <c r="B46" s="13" t="s">
        <v>335</v>
      </c>
      <c r="C46" s="13" t="s">
        <v>315</v>
      </c>
      <c r="D46" s="65">
        <v>50</v>
      </c>
      <c r="E46" s="13" t="s">
        <v>37</v>
      </c>
      <c r="F46" s="13" t="s">
        <v>336</v>
      </c>
      <c r="G46" s="74" t="s">
        <v>2212</v>
      </c>
      <c r="H46" s="2"/>
      <c r="I46" s="2"/>
      <c r="J46" s="2"/>
      <c r="K46" s="2"/>
      <c r="L46" s="2"/>
      <c r="M46" s="2"/>
      <c r="N46" s="2"/>
      <c r="O46" s="2"/>
      <c r="P46" s="2"/>
      <c r="Q46" s="2"/>
      <c r="R46" s="2"/>
      <c r="S46" s="2"/>
      <c r="T46" s="2"/>
      <c r="U46" s="2"/>
      <c r="V46" s="2"/>
      <c r="W46" s="2"/>
      <c r="X46" s="2"/>
      <c r="Y46" s="2"/>
      <c r="Z46" s="2"/>
    </row>
    <row r="47" customHeight="1" spans="1:26">
      <c r="A47" s="64" t="s">
        <v>236</v>
      </c>
      <c r="B47" s="13" t="s">
        <v>1026</v>
      </c>
      <c r="C47" s="13" t="s">
        <v>236</v>
      </c>
      <c r="D47" s="65">
        <v>40</v>
      </c>
      <c r="E47" s="13" t="s">
        <v>37</v>
      </c>
      <c r="F47" s="13" t="s">
        <v>1027</v>
      </c>
      <c r="G47" s="13" t="s">
        <v>1028</v>
      </c>
      <c r="H47" s="2"/>
      <c r="I47" s="2"/>
      <c r="J47" s="2"/>
      <c r="K47" s="2"/>
      <c r="L47" s="2"/>
      <c r="M47" s="2"/>
      <c r="N47" s="2"/>
      <c r="O47" s="2"/>
      <c r="P47" s="2"/>
      <c r="Q47" s="2"/>
      <c r="R47" s="2"/>
      <c r="S47" s="2"/>
      <c r="T47" s="2"/>
      <c r="U47" s="2"/>
      <c r="V47" s="2"/>
      <c r="W47" s="2"/>
      <c r="X47" s="2"/>
      <c r="Y47" s="2"/>
      <c r="Z47" s="2"/>
    </row>
    <row r="48" customHeight="1" spans="1:26">
      <c r="A48" s="64" t="s">
        <v>315</v>
      </c>
      <c r="B48" s="13" t="s">
        <v>347</v>
      </c>
      <c r="C48" s="13" t="s">
        <v>315</v>
      </c>
      <c r="D48" s="65">
        <v>55</v>
      </c>
      <c r="E48" s="13" t="s">
        <v>37</v>
      </c>
      <c r="F48" s="13" t="s">
        <v>348</v>
      </c>
      <c r="G48" s="74" t="s">
        <v>2215</v>
      </c>
      <c r="H48" s="2"/>
      <c r="I48" s="2"/>
      <c r="J48" s="2"/>
      <c r="K48" s="2"/>
      <c r="L48" s="2"/>
      <c r="M48" s="2"/>
      <c r="N48" s="2"/>
      <c r="O48" s="2"/>
      <c r="P48" s="2"/>
      <c r="Q48" s="2"/>
      <c r="R48" s="2"/>
      <c r="S48" s="2"/>
      <c r="T48" s="2"/>
      <c r="U48" s="2"/>
      <c r="V48" s="2"/>
      <c r="W48" s="2"/>
      <c r="X48" s="2"/>
      <c r="Y48" s="2"/>
      <c r="Z48" s="2"/>
    </row>
    <row r="49" customHeight="1" spans="1:26">
      <c r="A49" s="64" t="s">
        <v>524</v>
      </c>
      <c r="B49" s="13" t="s">
        <v>523</v>
      </c>
      <c r="C49" s="13" t="s">
        <v>524</v>
      </c>
      <c r="D49" s="65">
        <v>90</v>
      </c>
      <c r="E49" s="13" t="s">
        <v>21</v>
      </c>
      <c r="F49" s="13" t="s">
        <v>525</v>
      </c>
      <c r="G49" s="74" t="s">
        <v>2285</v>
      </c>
      <c r="H49" s="2"/>
      <c r="I49" s="2"/>
      <c r="J49" s="2"/>
      <c r="K49" s="2"/>
      <c r="L49" s="2"/>
      <c r="M49" s="2"/>
      <c r="N49" s="2"/>
      <c r="O49" s="2"/>
      <c r="P49" s="2"/>
      <c r="Q49" s="2"/>
      <c r="R49" s="2"/>
      <c r="S49" s="2"/>
      <c r="T49" s="2"/>
      <c r="U49" s="2"/>
      <c r="V49" s="2"/>
      <c r="W49" s="2"/>
      <c r="X49" s="2"/>
      <c r="Y49" s="2"/>
      <c r="Z49" s="2"/>
    </row>
    <row r="50" customHeight="1" spans="1:26">
      <c r="A50" s="64" t="s">
        <v>61</v>
      </c>
      <c r="B50" s="13" t="s">
        <v>2091</v>
      </c>
      <c r="C50" s="13" t="s">
        <v>61</v>
      </c>
      <c r="D50" s="65">
        <v>13</v>
      </c>
      <c r="E50" s="13" t="s">
        <v>37</v>
      </c>
      <c r="F50" s="13" t="s">
        <v>2092</v>
      </c>
      <c r="G50" s="65"/>
      <c r="H50" s="2"/>
      <c r="I50" s="2"/>
      <c r="J50" s="2"/>
      <c r="K50" s="2"/>
      <c r="L50" s="2"/>
      <c r="M50" s="2"/>
      <c r="N50" s="2"/>
      <c r="O50" s="2"/>
      <c r="P50" s="2"/>
      <c r="Q50" s="2"/>
      <c r="R50" s="2"/>
      <c r="S50" s="2"/>
      <c r="T50" s="2"/>
      <c r="U50" s="2"/>
      <c r="V50" s="2"/>
      <c r="W50" s="2"/>
      <c r="X50" s="2"/>
      <c r="Y50" s="2"/>
      <c r="Z50" s="2"/>
    </row>
    <row r="51" customHeight="1" spans="1:26">
      <c r="A51" s="64" t="s">
        <v>236</v>
      </c>
      <c r="B51" s="13" t="s">
        <v>2171</v>
      </c>
      <c r="C51" s="13" t="s">
        <v>236</v>
      </c>
      <c r="D51" s="65">
        <v>30</v>
      </c>
      <c r="E51" s="13" t="s">
        <v>37</v>
      </c>
      <c r="F51" s="13" t="s">
        <v>2172</v>
      </c>
      <c r="G51" s="65"/>
      <c r="H51" s="2"/>
      <c r="I51" s="2"/>
      <c r="J51" s="2"/>
      <c r="K51" s="2"/>
      <c r="L51" s="2"/>
      <c r="M51" s="2"/>
      <c r="N51" s="2"/>
      <c r="O51" s="2"/>
      <c r="P51" s="2"/>
      <c r="Q51" s="2"/>
      <c r="R51" s="2"/>
      <c r="S51" s="2"/>
      <c r="T51" s="2"/>
      <c r="U51" s="2"/>
      <c r="V51" s="2"/>
      <c r="W51" s="2"/>
      <c r="X51" s="2"/>
      <c r="Y51" s="2"/>
      <c r="Z51" s="2"/>
    </row>
    <row r="52" customHeight="1" spans="1:26">
      <c r="A52" s="64" t="s">
        <v>31</v>
      </c>
      <c r="B52" s="13" t="s">
        <v>2084</v>
      </c>
      <c r="C52" s="13" t="s">
        <v>31</v>
      </c>
      <c r="D52" s="65">
        <v>30</v>
      </c>
      <c r="E52" s="13" t="s">
        <v>37</v>
      </c>
      <c r="F52" s="13" t="s">
        <v>2085</v>
      </c>
      <c r="G52" s="13" t="s">
        <v>2086</v>
      </c>
      <c r="H52" s="2"/>
      <c r="I52" s="2"/>
      <c r="J52" s="2"/>
      <c r="K52" s="2"/>
      <c r="L52" s="2"/>
      <c r="M52" s="2"/>
      <c r="N52" s="2"/>
      <c r="O52" s="2"/>
      <c r="P52" s="2"/>
      <c r="Q52" s="2"/>
      <c r="R52" s="2"/>
      <c r="S52" s="2"/>
      <c r="T52" s="2"/>
      <c r="U52" s="2"/>
      <c r="V52" s="2"/>
      <c r="W52" s="2"/>
      <c r="X52" s="2"/>
      <c r="Y52" s="2"/>
      <c r="Z52" s="2"/>
    </row>
    <row r="53" customHeight="1" spans="1:26">
      <c r="A53" s="64" t="s">
        <v>315</v>
      </c>
      <c r="B53" s="13" t="s">
        <v>339</v>
      </c>
      <c r="C53" s="13" t="s">
        <v>315</v>
      </c>
      <c r="D53" s="65">
        <v>125</v>
      </c>
      <c r="E53" s="13" t="s">
        <v>262</v>
      </c>
      <c r="F53" s="13" t="s">
        <v>340</v>
      </c>
      <c r="G53" s="13" t="s">
        <v>2213</v>
      </c>
      <c r="H53" s="2"/>
      <c r="I53" s="2"/>
      <c r="J53" s="2"/>
      <c r="K53" s="2"/>
      <c r="L53" s="2"/>
      <c r="M53" s="2"/>
      <c r="N53" s="2"/>
      <c r="O53" s="2"/>
      <c r="P53" s="2"/>
      <c r="Q53" s="2"/>
      <c r="R53" s="2"/>
      <c r="S53" s="2"/>
      <c r="T53" s="2"/>
      <c r="U53" s="2"/>
      <c r="V53" s="2"/>
      <c r="W53" s="2"/>
      <c r="X53" s="2"/>
      <c r="Y53" s="2"/>
      <c r="Z53" s="2"/>
    </row>
    <row r="54" customHeight="1" spans="1:26">
      <c r="A54" s="64" t="s">
        <v>315</v>
      </c>
      <c r="B54" s="13" t="s">
        <v>369</v>
      </c>
      <c r="C54" s="13" t="s">
        <v>315</v>
      </c>
      <c r="D54" s="65">
        <v>30</v>
      </c>
      <c r="E54" s="13" t="s">
        <v>262</v>
      </c>
      <c r="F54" s="13" t="s">
        <v>370</v>
      </c>
      <c r="G54" s="13" t="s">
        <v>2221</v>
      </c>
      <c r="H54" s="2"/>
      <c r="I54" s="2"/>
      <c r="J54" s="2"/>
      <c r="K54" s="2"/>
      <c r="L54" s="2"/>
      <c r="M54" s="2"/>
      <c r="N54" s="2"/>
      <c r="O54" s="2"/>
      <c r="P54" s="2"/>
      <c r="Q54" s="2"/>
      <c r="R54" s="2"/>
      <c r="S54" s="2"/>
      <c r="T54" s="2"/>
      <c r="U54" s="2"/>
      <c r="V54" s="2"/>
      <c r="W54" s="2"/>
      <c r="X54" s="2"/>
      <c r="Y54" s="2"/>
      <c r="Z54" s="2"/>
    </row>
    <row r="55" customHeight="1" spans="1:26">
      <c r="A55" s="64" t="s">
        <v>41</v>
      </c>
      <c r="B55" s="13" t="s">
        <v>41</v>
      </c>
      <c r="C55" s="13" t="s">
        <v>41</v>
      </c>
      <c r="D55" s="65">
        <v>106</v>
      </c>
      <c r="E55" s="13" t="s">
        <v>21</v>
      </c>
      <c r="F55" s="13" t="s">
        <v>42</v>
      </c>
      <c r="G55" s="13" t="s">
        <v>43</v>
      </c>
      <c r="H55" s="2"/>
      <c r="I55" s="2"/>
      <c r="J55" s="2"/>
      <c r="K55" s="2"/>
      <c r="L55" s="2"/>
      <c r="M55" s="2"/>
      <c r="N55" s="2"/>
      <c r="O55" s="2"/>
      <c r="P55" s="2"/>
      <c r="Q55" s="2"/>
      <c r="R55" s="2"/>
      <c r="S55" s="2"/>
      <c r="T55" s="2"/>
      <c r="U55" s="2"/>
      <c r="V55" s="2"/>
      <c r="W55" s="2"/>
      <c r="X55" s="2"/>
      <c r="Y55" s="2"/>
      <c r="Z55" s="2"/>
    </row>
    <row r="56" customHeight="1" spans="1:26">
      <c r="A56" s="64" t="s">
        <v>108</v>
      </c>
      <c r="B56" s="13" t="s">
        <v>16</v>
      </c>
      <c r="C56" s="13" t="s">
        <v>108</v>
      </c>
      <c r="D56" s="65">
        <v>123</v>
      </c>
      <c r="E56" s="13" t="s">
        <v>21</v>
      </c>
      <c r="F56" s="13" t="s">
        <v>109</v>
      </c>
      <c r="G56" s="13" t="s">
        <v>1695</v>
      </c>
      <c r="H56" s="2"/>
      <c r="I56" s="2"/>
      <c r="J56" s="2"/>
      <c r="K56" s="2"/>
      <c r="L56" s="2"/>
      <c r="M56" s="2"/>
      <c r="N56" s="2"/>
      <c r="O56" s="2"/>
      <c r="P56" s="2"/>
      <c r="Q56" s="2"/>
      <c r="R56" s="2"/>
      <c r="S56" s="2"/>
      <c r="T56" s="2"/>
      <c r="U56" s="2"/>
      <c r="V56" s="2"/>
      <c r="W56" s="2"/>
      <c r="X56" s="2"/>
      <c r="Y56" s="2"/>
      <c r="Z56" s="2"/>
    </row>
    <row r="57" customHeight="1" spans="1:26">
      <c r="A57" s="64" t="s">
        <v>190</v>
      </c>
      <c r="B57" s="13" t="s">
        <v>189</v>
      </c>
      <c r="C57" s="13" t="s">
        <v>190</v>
      </c>
      <c r="D57" s="65">
        <v>650</v>
      </c>
      <c r="E57" s="13" t="s">
        <v>37</v>
      </c>
      <c r="F57" s="13" t="s">
        <v>191</v>
      </c>
      <c r="G57" s="13" t="s">
        <v>192</v>
      </c>
      <c r="H57" s="2"/>
      <c r="I57" s="2"/>
      <c r="J57" s="2"/>
      <c r="K57" s="2"/>
      <c r="L57" s="2"/>
      <c r="M57" s="2"/>
      <c r="N57" s="2"/>
      <c r="O57" s="2"/>
      <c r="P57" s="2"/>
      <c r="Q57" s="2"/>
      <c r="R57" s="2"/>
      <c r="S57" s="2"/>
      <c r="T57" s="2"/>
      <c r="U57" s="2"/>
      <c r="V57" s="2"/>
      <c r="W57" s="2"/>
      <c r="X57" s="2"/>
      <c r="Y57" s="2"/>
      <c r="Z57" s="2"/>
    </row>
    <row r="58" customHeight="1" spans="1:26">
      <c r="A58" s="64" t="s">
        <v>156</v>
      </c>
      <c r="B58" s="13" t="s">
        <v>2139</v>
      </c>
      <c r="C58" s="13" t="s">
        <v>156</v>
      </c>
      <c r="D58" s="65">
        <v>30</v>
      </c>
      <c r="E58" s="13" t="s">
        <v>37</v>
      </c>
      <c r="F58" s="13" t="s">
        <v>2140</v>
      </c>
      <c r="G58" s="13" t="s">
        <v>2141</v>
      </c>
      <c r="H58" s="2"/>
      <c r="I58" s="2"/>
      <c r="J58" s="2"/>
      <c r="K58" s="2"/>
      <c r="L58" s="2"/>
      <c r="M58" s="2"/>
      <c r="N58" s="2"/>
      <c r="O58" s="2"/>
      <c r="P58" s="2"/>
      <c r="Q58" s="2"/>
      <c r="R58" s="2"/>
      <c r="S58" s="2"/>
      <c r="T58" s="2"/>
      <c r="U58" s="2"/>
      <c r="V58" s="2"/>
      <c r="W58" s="2"/>
      <c r="X58" s="2"/>
      <c r="Y58" s="2"/>
      <c r="Z58" s="2"/>
    </row>
    <row r="59" customHeight="1" spans="1:26">
      <c r="A59" s="64" t="s">
        <v>2355</v>
      </c>
      <c r="B59" s="13" t="s">
        <v>2290</v>
      </c>
      <c r="C59" s="13" t="s">
        <v>539</v>
      </c>
      <c r="D59" s="65">
        <v>50</v>
      </c>
      <c r="E59" s="13" t="s">
        <v>37</v>
      </c>
      <c r="F59" s="13" t="s">
        <v>2291</v>
      </c>
      <c r="G59" s="13" t="s">
        <v>2292</v>
      </c>
      <c r="H59" s="2"/>
      <c r="I59" s="2"/>
      <c r="J59" s="2"/>
      <c r="K59" s="2"/>
      <c r="L59" s="2"/>
      <c r="M59" s="2"/>
      <c r="N59" s="2"/>
      <c r="O59" s="2"/>
      <c r="P59" s="2"/>
      <c r="Q59" s="2"/>
      <c r="R59" s="2"/>
      <c r="S59" s="2"/>
      <c r="T59" s="2"/>
      <c r="U59" s="2"/>
      <c r="V59" s="2"/>
      <c r="W59" s="2"/>
      <c r="X59" s="2"/>
      <c r="Y59" s="2"/>
      <c r="Z59" s="2"/>
    </row>
    <row r="60" customHeight="1" spans="1:26">
      <c r="A60" s="64" t="s">
        <v>485</v>
      </c>
      <c r="B60" s="13" t="s">
        <v>484</v>
      </c>
      <c r="C60" s="13" t="s">
        <v>485</v>
      </c>
      <c r="D60" s="65">
        <v>77</v>
      </c>
      <c r="E60" s="13" t="s">
        <v>37</v>
      </c>
      <c r="F60" s="13" t="s">
        <v>486</v>
      </c>
      <c r="G60" s="13" t="s">
        <v>487</v>
      </c>
      <c r="H60" s="2"/>
      <c r="I60" s="2"/>
      <c r="J60" s="2"/>
      <c r="K60" s="2"/>
      <c r="L60" s="2"/>
      <c r="M60" s="2"/>
      <c r="N60" s="2"/>
      <c r="O60" s="2"/>
      <c r="P60" s="2"/>
      <c r="Q60" s="2"/>
      <c r="R60" s="2"/>
      <c r="S60" s="2"/>
      <c r="T60" s="2"/>
      <c r="U60" s="2"/>
      <c r="V60" s="2"/>
      <c r="W60" s="2"/>
      <c r="X60" s="2"/>
      <c r="Y60" s="2"/>
      <c r="Z60" s="2"/>
    </row>
    <row r="61" customHeight="1" spans="1:26">
      <c r="A61" s="64" t="s">
        <v>680</v>
      </c>
      <c r="B61" s="13" t="s">
        <v>2117</v>
      </c>
      <c r="C61" s="13" t="s">
        <v>680</v>
      </c>
      <c r="D61" s="65">
        <v>60</v>
      </c>
      <c r="E61" s="13" t="s">
        <v>37</v>
      </c>
      <c r="F61" s="13" t="s">
        <v>2118</v>
      </c>
      <c r="G61" s="13" t="s">
        <v>2119</v>
      </c>
      <c r="H61" s="2"/>
      <c r="I61" s="2"/>
      <c r="J61" s="2"/>
      <c r="K61" s="2"/>
      <c r="L61" s="2"/>
      <c r="M61" s="2"/>
      <c r="N61" s="2"/>
      <c r="O61" s="2"/>
      <c r="P61" s="2"/>
      <c r="Q61" s="2"/>
      <c r="R61" s="2"/>
      <c r="S61" s="2"/>
      <c r="T61" s="2"/>
      <c r="U61" s="2"/>
      <c r="V61" s="2"/>
      <c r="W61" s="2"/>
      <c r="X61" s="2"/>
      <c r="Y61" s="2"/>
      <c r="Z61" s="2"/>
    </row>
    <row r="62" customHeight="1" spans="1:26">
      <c r="A62" s="64" t="s">
        <v>315</v>
      </c>
      <c r="B62" s="13" t="s">
        <v>2364</v>
      </c>
      <c r="C62" s="13" t="s">
        <v>315</v>
      </c>
      <c r="D62" s="65">
        <v>66</v>
      </c>
      <c r="E62" s="13" t="s">
        <v>21</v>
      </c>
      <c r="F62" s="13" t="s">
        <v>2227</v>
      </c>
      <c r="G62" s="13" t="s">
        <v>2228</v>
      </c>
      <c r="H62" s="2"/>
      <c r="I62" s="2"/>
      <c r="J62" s="2"/>
      <c r="K62" s="2"/>
      <c r="L62" s="2"/>
      <c r="M62" s="2"/>
      <c r="N62" s="2"/>
      <c r="O62" s="2"/>
      <c r="P62" s="2"/>
      <c r="Q62" s="2"/>
      <c r="R62" s="2"/>
      <c r="S62" s="2"/>
      <c r="T62" s="2"/>
      <c r="U62" s="2"/>
      <c r="V62" s="2"/>
      <c r="W62" s="2"/>
      <c r="X62" s="2"/>
      <c r="Y62" s="2"/>
      <c r="Z62" s="2"/>
    </row>
    <row r="63" customHeight="1" spans="1:26">
      <c r="A63" s="64" t="s">
        <v>315</v>
      </c>
      <c r="B63" s="13" t="s">
        <v>331</v>
      </c>
      <c r="C63" s="13" t="s">
        <v>315</v>
      </c>
      <c r="D63" s="65">
        <v>50</v>
      </c>
      <c r="E63" s="13" t="s">
        <v>37</v>
      </c>
      <c r="F63" s="13" t="s">
        <v>332</v>
      </c>
      <c r="G63" s="68" t="str">
        <f>HYPERLINK("http://www.topman.com/","www.topman.com")</f>
        <v>www.topman.com</v>
      </c>
      <c r="H63" s="2"/>
      <c r="I63" s="2"/>
      <c r="J63" s="2"/>
      <c r="K63" s="2"/>
      <c r="L63" s="2"/>
      <c r="M63" s="2"/>
      <c r="N63" s="2"/>
      <c r="O63" s="2"/>
      <c r="P63" s="2"/>
      <c r="Q63" s="2"/>
      <c r="R63" s="2"/>
      <c r="S63" s="2"/>
      <c r="T63" s="2"/>
      <c r="U63" s="2"/>
      <c r="V63" s="2"/>
      <c r="W63" s="2"/>
      <c r="X63" s="2"/>
      <c r="Y63" s="2"/>
      <c r="Z63" s="2"/>
    </row>
    <row r="64" customHeight="1" spans="1:26">
      <c r="A64" s="64" t="s">
        <v>236</v>
      </c>
      <c r="B64" s="59" t="s">
        <v>2365</v>
      </c>
      <c r="C64" s="13" t="s">
        <v>236</v>
      </c>
      <c r="D64" s="182">
        <v>35</v>
      </c>
      <c r="E64" s="13" t="s">
        <v>37</v>
      </c>
      <c r="F64" s="13" t="s">
        <v>2179</v>
      </c>
      <c r="G64" s="13" t="s">
        <v>2180</v>
      </c>
      <c r="H64" s="2"/>
      <c r="I64" s="2"/>
      <c r="J64" s="2"/>
      <c r="K64" s="2"/>
      <c r="L64" s="2"/>
      <c r="M64" s="2"/>
      <c r="N64" s="2"/>
      <c r="O64" s="2"/>
      <c r="P64" s="2"/>
      <c r="Q64" s="2"/>
      <c r="R64" s="2"/>
      <c r="S64" s="2"/>
      <c r="T64" s="2"/>
      <c r="U64" s="2"/>
      <c r="V64" s="2"/>
      <c r="W64" s="2"/>
      <c r="X64" s="2"/>
      <c r="Y64" s="2"/>
      <c r="Z64" s="2"/>
    </row>
    <row r="65" customHeight="1" spans="1:26">
      <c r="A65" s="186" t="s">
        <v>2366</v>
      </c>
      <c r="B65" s="187" t="s">
        <v>2367</v>
      </c>
      <c r="C65" s="188" t="s">
        <v>117</v>
      </c>
      <c r="D65" s="189">
        <v>-2000</v>
      </c>
      <c r="E65" s="62" t="s">
        <v>245</v>
      </c>
      <c r="F65" s="13" t="s">
        <v>2368</v>
      </c>
      <c r="G65" s="13" t="s">
        <v>2369</v>
      </c>
      <c r="H65" s="2"/>
      <c r="I65" s="2"/>
      <c r="J65" s="2"/>
      <c r="K65" s="2"/>
      <c r="L65" s="2"/>
      <c r="M65" s="2"/>
      <c r="N65" s="2"/>
      <c r="O65" s="2"/>
      <c r="P65" s="2"/>
      <c r="Q65" s="2"/>
      <c r="R65" s="2"/>
      <c r="S65" s="2"/>
      <c r="T65" s="2"/>
      <c r="U65" s="2"/>
      <c r="V65" s="2"/>
      <c r="W65" s="2"/>
      <c r="X65" s="2"/>
      <c r="Y65" s="2"/>
      <c r="Z65" s="2"/>
    </row>
    <row r="66" customHeight="1" spans="1:26">
      <c r="A66" s="186" t="s">
        <v>2370</v>
      </c>
      <c r="B66" s="187" t="s">
        <v>2371</v>
      </c>
      <c r="C66" s="188" t="s">
        <v>373</v>
      </c>
      <c r="D66" s="189">
        <v>10</v>
      </c>
      <c r="E66" s="62" t="s">
        <v>310</v>
      </c>
      <c r="F66" s="57"/>
      <c r="G66" s="13" t="s">
        <v>2372</v>
      </c>
      <c r="H66" s="2"/>
      <c r="I66" s="2"/>
      <c r="J66" s="2"/>
      <c r="K66" s="2"/>
      <c r="L66" s="2"/>
      <c r="M66" s="2"/>
      <c r="N66" s="2"/>
      <c r="O66" s="2"/>
      <c r="P66" s="2"/>
      <c r="Q66" s="2"/>
      <c r="R66" s="2"/>
      <c r="S66" s="2"/>
      <c r="T66" s="2"/>
      <c r="U66" s="2"/>
      <c r="V66" s="2"/>
      <c r="W66" s="2"/>
      <c r="X66" s="2"/>
      <c r="Y66" s="2"/>
      <c r="Z66" s="2"/>
    </row>
    <row r="67" customHeight="1" spans="1:26">
      <c r="A67" s="186" t="s">
        <v>2373</v>
      </c>
      <c r="B67" s="187" t="s">
        <v>2374</v>
      </c>
      <c r="C67" s="188" t="s">
        <v>373</v>
      </c>
      <c r="D67" s="189">
        <v>3</v>
      </c>
      <c r="E67" s="62" t="s">
        <v>37</v>
      </c>
      <c r="F67" s="13" t="s">
        <v>2375</v>
      </c>
      <c r="G67" s="13" t="s">
        <v>2376</v>
      </c>
      <c r="H67" s="2"/>
      <c r="I67" s="2"/>
      <c r="J67" s="2"/>
      <c r="K67" s="2"/>
      <c r="L67" s="2"/>
      <c r="M67" s="2"/>
      <c r="N67" s="2"/>
      <c r="O67" s="2"/>
      <c r="P67" s="2"/>
      <c r="Q67" s="2"/>
      <c r="R67" s="2"/>
      <c r="S67" s="2"/>
      <c r="T67" s="2"/>
      <c r="U67" s="2"/>
      <c r="V67" s="2"/>
      <c r="W67" s="2"/>
      <c r="X67" s="2"/>
      <c r="Y67" s="2"/>
      <c r="Z67" s="2"/>
    </row>
    <row r="68" customHeight="1" spans="1:26">
      <c r="A68" s="186" t="s">
        <v>371</v>
      </c>
      <c r="B68" s="187" t="s">
        <v>2377</v>
      </c>
      <c r="C68" s="188" t="s">
        <v>373</v>
      </c>
      <c r="D68" s="189">
        <v>-80</v>
      </c>
      <c r="E68" s="62" t="s">
        <v>37</v>
      </c>
      <c r="F68" s="57"/>
      <c r="G68" s="57"/>
      <c r="H68" s="2"/>
      <c r="I68" s="2"/>
      <c r="J68" s="2"/>
      <c r="K68" s="2"/>
      <c r="L68" s="2"/>
      <c r="M68" s="2"/>
      <c r="N68" s="2"/>
      <c r="O68" s="2"/>
      <c r="P68" s="2"/>
      <c r="Q68" s="2"/>
      <c r="R68" s="2"/>
      <c r="S68" s="2"/>
      <c r="T68" s="2"/>
      <c r="U68" s="2"/>
      <c r="V68" s="2"/>
      <c r="W68" s="2"/>
      <c r="X68" s="2"/>
      <c r="Y68" s="2"/>
      <c r="Z68" s="2"/>
    </row>
    <row r="69" customHeight="1" spans="1:26">
      <c r="A69" s="186" t="s">
        <v>2378</v>
      </c>
      <c r="B69" s="187" t="s">
        <v>2379</v>
      </c>
      <c r="C69" s="188" t="s">
        <v>356</v>
      </c>
      <c r="D69" s="189">
        <v>-450</v>
      </c>
      <c r="E69" s="62" t="s">
        <v>310</v>
      </c>
      <c r="F69" s="13" t="s">
        <v>2380</v>
      </c>
      <c r="G69" s="13" t="s">
        <v>2381</v>
      </c>
      <c r="H69" s="2"/>
      <c r="I69" s="2"/>
      <c r="J69" s="2"/>
      <c r="K69" s="2"/>
      <c r="L69" s="2"/>
      <c r="M69" s="2"/>
      <c r="N69" s="2"/>
      <c r="O69" s="2"/>
      <c r="P69" s="2"/>
      <c r="Q69" s="2"/>
      <c r="R69" s="2"/>
      <c r="S69" s="2"/>
      <c r="T69" s="2"/>
      <c r="U69" s="2"/>
      <c r="V69" s="2"/>
      <c r="W69" s="2"/>
      <c r="X69" s="2"/>
      <c r="Y69" s="2"/>
      <c r="Z69" s="2"/>
    </row>
    <row r="70" customHeight="1" spans="1:26">
      <c r="A70" s="186" t="s">
        <v>2382</v>
      </c>
      <c r="B70" s="187" t="s">
        <v>351</v>
      </c>
      <c r="C70" s="188" t="s">
        <v>2383</v>
      </c>
      <c r="D70" s="189">
        <v>-500</v>
      </c>
      <c r="E70" s="62" t="s">
        <v>310</v>
      </c>
      <c r="F70" s="13" t="s">
        <v>2384</v>
      </c>
      <c r="G70" s="13" t="s">
        <v>2385</v>
      </c>
      <c r="H70" s="2"/>
      <c r="I70" s="2"/>
      <c r="J70" s="2"/>
      <c r="K70" s="2"/>
      <c r="L70" s="2"/>
      <c r="M70" s="2"/>
      <c r="N70" s="2"/>
      <c r="O70" s="2"/>
      <c r="P70" s="2"/>
      <c r="Q70" s="2"/>
      <c r="R70" s="2"/>
      <c r="S70" s="2"/>
      <c r="T70" s="2"/>
      <c r="U70" s="2"/>
      <c r="V70" s="2"/>
      <c r="W70" s="2"/>
      <c r="X70" s="2"/>
      <c r="Y70" s="2"/>
      <c r="Z70" s="2"/>
    </row>
    <row r="71" customHeight="1" spans="1:26">
      <c r="A71" s="186" t="s">
        <v>2386</v>
      </c>
      <c r="B71" s="187" t="s">
        <v>319</v>
      </c>
      <c r="C71" s="188" t="s">
        <v>319</v>
      </c>
      <c r="D71" s="189">
        <v>-500</v>
      </c>
      <c r="E71" s="62" t="s">
        <v>310</v>
      </c>
      <c r="F71" s="13" t="s">
        <v>2387</v>
      </c>
      <c r="G71" s="13" t="s">
        <v>2388</v>
      </c>
      <c r="H71" s="2"/>
      <c r="I71" s="2"/>
      <c r="J71" s="2"/>
      <c r="K71" s="2"/>
      <c r="L71" s="2"/>
      <c r="M71" s="2"/>
      <c r="N71" s="2"/>
      <c r="O71" s="2"/>
      <c r="P71" s="2"/>
      <c r="Q71" s="2"/>
      <c r="R71" s="2"/>
      <c r="S71" s="2"/>
      <c r="T71" s="2"/>
      <c r="U71" s="2"/>
      <c r="V71" s="2"/>
      <c r="W71" s="2"/>
      <c r="X71" s="2"/>
      <c r="Y71" s="2"/>
      <c r="Z71" s="2"/>
    </row>
    <row r="72" customHeight="1" spans="1:26">
      <c r="A72" s="186" t="s">
        <v>2389</v>
      </c>
      <c r="B72" s="187" t="s">
        <v>2390</v>
      </c>
      <c r="C72" s="188" t="s">
        <v>450</v>
      </c>
      <c r="D72" s="189">
        <v>-700</v>
      </c>
      <c r="E72" s="62" t="s">
        <v>37</v>
      </c>
      <c r="F72" s="13" t="s">
        <v>2391</v>
      </c>
      <c r="G72" s="13" t="s">
        <v>2392</v>
      </c>
      <c r="H72" s="2"/>
      <c r="I72" s="2"/>
      <c r="J72" s="2"/>
      <c r="K72" s="2"/>
      <c r="L72" s="2"/>
      <c r="M72" s="2"/>
      <c r="N72" s="2"/>
      <c r="O72" s="2"/>
      <c r="P72" s="2"/>
      <c r="Q72" s="2"/>
      <c r="R72" s="2"/>
      <c r="S72" s="2"/>
      <c r="T72" s="2"/>
      <c r="U72" s="2"/>
      <c r="V72" s="2"/>
      <c r="W72" s="2"/>
      <c r="X72" s="2"/>
      <c r="Y72" s="2"/>
      <c r="Z72" s="2"/>
    </row>
    <row r="73" customHeight="1" spans="1:26">
      <c r="A73" s="186" t="s">
        <v>2393</v>
      </c>
      <c r="B73" s="187" t="s">
        <v>2394</v>
      </c>
      <c r="C73" s="188" t="s">
        <v>2395</v>
      </c>
      <c r="D73" s="189">
        <v>-1500</v>
      </c>
      <c r="E73" s="62" t="s">
        <v>37</v>
      </c>
      <c r="F73" s="13" t="s">
        <v>2396</v>
      </c>
      <c r="G73" s="13" t="s">
        <v>2397</v>
      </c>
      <c r="H73" s="2"/>
      <c r="I73" s="2"/>
      <c r="J73" s="2"/>
      <c r="K73" s="2"/>
      <c r="L73" s="2"/>
      <c r="M73" s="2"/>
      <c r="N73" s="2"/>
      <c r="O73" s="2"/>
      <c r="P73" s="2"/>
      <c r="Q73" s="2"/>
      <c r="R73" s="2"/>
      <c r="S73" s="2"/>
      <c r="T73" s="2"/>
      <c r="U73" s="2"/>
      <c r="V73" s="2"/>
      <c r="W73" s="2"/>
      <c r="X73" s="2"/>
      <c r="Y73" s="2"/>
      <c r="Z73" s="2"/>
    </row>
    <row r="74" customHeight="1" spans="1:26">
      <c r="A74" s="186" t="s">
        <v>2398</v>
      </c>
      <c r="B74" s="187" t="s">
        <v>2399</v>
      </c>
      <c r="C74" s="188" t="s">
        <v>2400</v>
      </c>
      <c r="D74" s="189">
        <v>-200</v>
      </c>
      <c r="E74" s="62" t="s">
        <v>310</v>
      </c>
      <c r="F74" s="13" t="s">
        <v>2401</v>
      </c>
      <c r="G74" s="13" t="s">
        <v>2402</v>
      </c>
      <c r="H74" s="2"/>
      <c r="I74" s="2"/>
      <c r="J74" s="2"/>
      <c r="K74" s="2"/>
      <c r="L74" s="2"/>
      <c r="M74" s="2"/>
      <c r="N74" s="2"/>
      <c r="O74" s="2"/>
      <c r="P74" s="2"/>
      <c r="Q74" s="2"/>
      <c r="R74" s="2"/>
      <c r="S74" s="2"/>
      <c r="T74" s="2"/>
      <c r="U74" s="2"/>
      <c r="V74" s="2"/>
      <c r="W74" s="2"/>
      <c r="X74" s="2"/>
      <c r="Y74" s="2"/>
      <c r="Z74" s="2"/>
    </row>
    <row r="75" customHeight="1" spans="1:26">
      <c r="A75" s="186" t="s">
        <v>2403</v>
      </c>
      <c r="B75" s="187" t="s">
        <v>2404</v>
      </c>
      <c r="C75" s="188" t="s">
        <v>2405</v>
      </c>
      <c r="D75" s="189">
        <v>-122</v>
      </c>
      <c r="E75" s="62" t="s">
        <v>37</v>
      </c>
      <c r="F75" s="13" t="s">
        <v>2406</v>
      </c>
      <c r="G75" s="13" t="s">
        <v>2407</v>
      </c>
      <c r="H75" s="2"/>
      <c r="I75" s="2"/>
      <c r="J75" s="2"/>
      <c r="K75" s="2"/>
      <c r="L75" s="2"/>
      <c r="M75" s="2"/>
      <c r="N75" s="2"/>
      <c r="O75" s="2"/>
      <c r="P75" s="2"/>
      <c r="Q75" s="2"/>
      <c r="R75" s="2"/>
      <c r="S75" s="2"/>
      <c r="T75" s="2"/>
      <c r="U75" s="2"/>
      <c r="V75" s="2"/>
      <c r="W75" s="2"/>
      <c r="X75" s="2"/>
      <c r="Y75" s="2"/>
      <c r="Z75" s="2"/>
    </row>
    <row r="76" customHeight="1" spans="1:26">
      <c r="A76" s="186" t="s">
        <v>2408</v>
      </c>
      <c r="B76" s="187" t="s">
        <v>404</v>
      </c>
      <c r="C76" s="188" t="s">
        <v>2405</v>
      </c>
      <c r="D76" s="190">
        <v>25000</v>
      </c>
      <c r="E76" s="62" t="s">
        <v>310</v>
      </c>
      <c r="F76" s="13" t="s">
        <v>2409</v>
      </c>
      <c r="G76" s="13" t="s">
        <v>2410</v>
      </c>
      <c r="H76" s="2"/>
      <c r="I76" s="2"/>
      <c r="J76" s="2"/>
      <c r="K76" s="2"/>
      <c r="L76" s="2"/>
      <c r="M76" s="2"/>
      <c r="N76" s="2"/>
      <c r="O76" s="2"/>
      <c r="P76" s="2"/>
      <c r="Q76" s="2"/>
      <c r="R76" s="2"/>
      <c r="S76" s="2"/>
      <c r="T76" s="2"/>
      <c r="U76" s="2"/>
      <c r="V76" s="2"/>
      <c r="W76" s="2"/>
      <c r="X76" s="2"/>
      <c r="Y76" s="2"/>
      <c r="Z76" s="2"/>
    </row>
    <row r="77" customHeight="1" spans="1:26">
      <c r="A77" s="186" t="s">
        <v>2411</v>
      </c>
      <c r="B77" s="187" t="s">
        <v>2412</v>
      </c>
      <c r="C77" s="188" t="s">
        <v>2413</v>
      </c>
      <c r="D77" s="189">
        <v>-1300</v>
      </c>
      <c r="E77" s="62" t="s">
        <v>37</v>
      </c>
      <c r="F77" s="13" t="s">
        <v>2414</v>
      </c>
      <c r="G77" s="13" t="s">
        <v>2415</v>
      </c>
      <c r="H77" s="2"/>
      <c r="I77" s="2"/>
      <c r="J77" s="2"/>
      <c r="K77" s="2"/>
      <c r="L77" s="2"/>
      <c r="M77" s="2"/>
      <c r="N77" s="2"/>
      <c r="O77" s="2"/>
      <c r="P77" s="2"/>
      <c r="Q77" s="2"/>
      <c r="R77" s="2"/>
      <c r="S77" s="2"/>
      <c r="T77" s="2"/>
      <c r="U77" s="2"/>
      <c r="V77" s="2"/>
      <c r="W77" s="2"/>
      <c r="X77" s="2"/>
      <c r="Y77" s="2"/>
      <c r="Z77" s="2"/>
    </row>
    <row r="78" customHeight="1" spans="1:26">
      <c r="A78" s="186" t="s">
        <v>2416</v>
      </c>
      <c r="B78" s="187" t="s">
        <v>2417</v>
      </c>
      <c r="C78" s="188" t="s">
        <v>476</v>
      </c>
      <c r="D78" s="189">
        <v>-200</v>
      </c>
      <c r="E78" s="62" t="s">
        <v>310</v>
      </c>
      <c r="F78" s="13" t="s">
        <v>2418</v>
      </c>
      <c r="G78" s="13" t="s">
        <v>2419</v>
      </c>
      <c r="H78" s="2"/>
      <c r="I78" s="2"/>
      <c r="J78" s="2"/>
      <c r="K78" s="2"/>
      <c r="L78" s="2"/>
      <c r="M78" s="2"/>
      <c r="N78" s="2"/>
      <c r="O78" s="2"/>
      <c r="P78" s="2"/>
      <c r="Q78" s="2"/>
      <c r="R78" s="2"/>
      <c r="S78" s="2"/>
      <c r="T78" s="2"/>
      <c r="U78" s="2"/>
      <c r="V78" s="2"/>
      <c r="W78" s="2"/>
      <c r="X78" s="2"/>
      <c r="Y78" s="2"/>
      <c r="Z78" s="2"/>
    </row>
    <row r="79" customHeight="1" spans="1:26">
      <c r="A79" s="186" t="s">
        <v>2420</v>
      </c>
      <c r="B79" s="187" t="s">
        <v>2421</v>
      </c>
      <c r="C79" s="188" t="s">
        <v>476</v>
      </c>
      <c r="D79" s="189">
        <v>-8000</v>
      </c>
      <c r="E79" s="62" t="s">
        <v>37</v>
      </c>
      <c r="F79" s="13" t="s">
        <v>2422</v>
      </c>
      <c r="G79" s="13" t="s">
        <v>2423</v>
      </c>
      <c r="H79" s="2"/>
      <c r="I79" s="2"/>
      <c r="J79" s="2"/>
      <c r="K79" s="2"/>
      <c r="L79" s="2"/>
      <c r="M79" s="2"/>
      <c r="N79" s="2"/>
      <c r="O79" s="2"/>
      <c r="P79" s="2"/>
      <c r="Q79" s="2"/>
      <c r="R79" s="2"/>
      <c r="S79" s="2"/>
      <c r="T79" s="2"/>
      <c r="U79" s="2"/>
      <c r="V79" s="2"/>
      <c r="W79" s="2"/>
      <c r="X79" s="2"/>
      <c r="Y79" s="2"/>
      <c r="Z79" s="2"/>
    </row>
    <row r="80" customHeight="1" spans="1:26">
      <c r="A80" s="186" t="s">
        <v>2424</v>
      </c>
      <c r="B80" s="187" t="s">
        <v>2425</v>
      </c>
      <c r="C80" s="188" t="s">
        <v>428</v>
      </c>
      <c r="D80" s="190">
        <v>5000</v>
      </c>
      <c r="E80" s="62" t="s">
        <v>21</v>
      </c>
      <c r="F80" s="13" t="s">
        <v>2426</v>
      </c>
      <c r="G80" s="13" t="s">
        <v>2427</v>
      </c>
      <c r="H80" s="2"/>
      <c r="I80" s="2"/>
      <c r="J80" s="2"/>
      <c r="K80" s="2"/>
      <c r="L80" s="2"/>
      <c r="M80" s="2"/>
      <c r="N80" s="2"/>
      <c r="O80" s="2"/>
      <c r="P80" s="2"/>
      <c r="Q80" s="2"/>
      <c r="R80" s="2"/>
      <c r="S80" s="2"/>
      <c r="T80" s="2"/>
      <c r="U80" s="2"/>
      <c r="V80" s="2"/>
      <c r="W80" s="2"/>
      <c r="X80" s="2"/>
      <c r="Y80" s="2"/>
      <c r="Z80" s="2"/>
    </row>
    <row r="81" customHeight="1" spans="1:26">
      <c r="A81" s="186" t="s">
        <v>2428</v>
      </c>
      <c r="B81" s="187" t="s">
        <v>2429</v>
      </c>
      <c r="C81" s="188" t="s">
        <v>2430</v>
      </c>
      <c r="D81" s="190">
        <v>-400</v>
      </c>
      <c r="E81" s="62" t="s">
        <v>310</v>
      </c>
      <c r="F81" s="13" t="s">
        <v>2431</v>
      </c>
      <c r="G81" s="13" t="s">
        <v>2432</v>
      </c>
      <c r="H81" s="2"/>
      <c r="I81" s="2"/>
      <c r="J81" s="2"/>
      <c r="K81" s="2"/>
      <c r="L81" s="2"/>
      <c r="M81" s="2"/>
      <c r="N81" s="2"/>
      <c r="O81" s="2"/>
      <c r="P81" s="2"/>
      <c r="Q81" s="2"/>
      <c r="R81" s="2"/>
      <c r="S81" s="2"/>
      <c r="T81" s="2"/>
      <c r="U81" s="2"/>
      <c r="V81" s="2"/>
      <c r="W81" s="2"/>
      <c r="X81" s="2"/>
      <c r="Y81" s="2"/>
      <c r="Z81" s="2"/>
    </row>
    <row r="82" customHeight="1" spans="1:26">
      <c r="A82" s="186" t="s">
        <v>2433</v>
      </c>
      <c r="B82" s="187" t="s">
        <v>2434</v>
      </c>
      <c r="C82" s="188" t="s">
        <v>2435</v>
      </c>
      <c r="D82" s="190">
        <v>200000</v>
      </c>
      <c r="E82" s="62" t="s">
        <v>310</v>
      </c>
      <c r="F82" s="13" t="s">
        <v>2436</v>
      </c>
      <c r="G82" s="13" t="s">
        <v>2437</v>
      </c>
      <c r="H82" s="2"/>
      <c r="I82" s="2"/>
      <c r="J82" s="2"/>
      <c r="K82" s="2"/>
      <c r="L82" s="2"/>
      <c r="M82" s="2"/>
      <c r="N82" s="2"/>
      <c r="O82" s="2"/>
      <c r="P82" s="2"/>
      <c r="Q82" s="2"/>
      <c r="R82" s="2"/>
      <c r="S82" s="2"/>
      <c r="T82" s="2"/>
      <c r="U82" s="2"/>
      <c r="V82" s="2"/>
      <c r="W82" s="2"/>
      <c r="X82" s="2"/>
      <c r="Y82" s="2"/>
      <c r="Z82" s="2"/>
    </row>
    <row r="83" customHeight="1" spans="1:26">
      <c r="A83" s="186" t="s">
        <v>2438</v>
      </c>
      <c r="B83" s="187" t="s">
        <v>2439</v>
      </c>
      <c r="C83" s="188" t="s">
        <v>393</v>
      </c>
      <c r="D83" s="189">
        <v>790</v>
      </c>
      <c r="E83" s="62" t="s">
        <v>310</v>
      </c>
      <c r="F83" s="13" t="s">
        <v>2440</v>
      </c>
      <c r="G83" s="13" t="s">
        <v>2441</v>
      </c>
      <c r="H83" s="2"/>
      <c r="I83" s="2"/>
      <c r="J83" s="2"/>
      <c r="K83" s="2"/>
      <c r="L83" s="2"/>
      <c r="M83" s="2"/>
      <c r="N83" s="2"/>
      <c r="O83" s="2"/>
      <c r="P83" s="2"/>
      <c r="Q83" s="2"/>
      <c r="R83" s="2"/>
      <c r="S83" s="2"/>
      <c r="T83" s="2"/>
      <c r="U83" s="2"/>
      <c r="V83" s="2"/>
      <c r="W83" s="2"/>
      <c r="X83" s="2"/>
      <c r="Y83" s="2"/>
      <c r="Z83" s="2"/>
    </row>
    <row r="84" customHeight="1" spans="1:26">
      <c r="A84" s="186" t="s">
        <v>2442</v>
      </c>
      <c r="B84" s="187" t="s">
        <v>2443</v>
      </c>
      <c r="C84" s="188" t="s">
        <v>393</v>
      </c>
      <c r="D84" s="189">
        <v>-1200</v>
      </c>
      <c r="E84" s="62" t="s">
        <v>37</v>
      </c>
      <c r="F84" s="13" t="s">
        <v>2444</v>
      </c>
      <c r="G84" s="13" t="s">
        <v>2445</v>
      </c>
      <c r="H84" s="2"/>
      <c r="I84" s="2"/>
      <c r="J84" s="2"/>
      <c r="K84" s="2"/>
      <c r="L84" s="2"/>
      <c r="M84" s="2"/>
      <c r="N84" s="2"/>
      <c r="O84" s="2"/>
      <c r="P84" s="2"/>
      <c r="Q84" s="2"/>
      <c r="R84" s="2"/>
      <c r="S84" s="2"/>
      <c r="T84" s="2"/>
      <c r="U84" s="2"/>
      <c r="V84" s="2"/>
      <c r="W84" s="2"/>
      <c r="X84" s="2"/>
      <c r="Y84" s="2"/>
      <c r="Z84" s="2"/>
    </row>
    <row r="85" customHeight="1" spans="1:26">
      <c r="A85" s="186" t="s">
        <v>2446</v>
      </c>
      <c r="B85" s="187" t="s">
        <v>2447</v>
      </c>
      <c r="C85" s="188" t="s">
        <v>820</v>
      </c>
      <c r="D85" s="189">
        <v>-673</v>
      </c>
      <c r="E85" s="62" t="s">
        <v>37</v>
      </c>
      <c r="F85" s="13" t="s">
        <v>2448</v>
      </c>
      <c r="G85" s="13" t="s">
        <v>2449</v>
      </c>
      <c r="H85" s="2"/>
      <c r="I85" s="2"/>
      <c r="J85" s="2"/>
      <c r="K85" s="2"/>
      <c r="L85" s="2"/>
      <c r="M85" s="2"/>
      <c r="N85" s="2"/>
      <c r="O85" s="2"/>
      <c r="P85" s="2"/>
      <c r="Q85" s="2"/>
      <c r="R85" s="2"/>
      <c r="S85" s="2"/>
      <c r="T85" s="2"/>
      <c r="U85" s="2"/>
      <c r="V85" s="2"/>
      <c r="W85" s="2"/>
      <c r="X85" s="2"/>
      <c r="Y85" s="2"/>
      <c r="Z85" s="2"/>
    </row>
    <row r="86" customHeight="1" spans="1:26">
      <c r="A86" s="186" t="s">
        <v>2450</v>
      </c>
      <c r="B86" s="187" t="s">
        <v>308</v>
      </c>
      <c r="C86" s="188" t="s">
        <v>309</v>
      </c>
      <c r="D86" s="190">
        <v>41666.66</v>
      </c>
      <c r="E86" s="62" t="s">
        <v>310</v>
      </c>
      <c r="F86" s="13" t="s">
        <v>311</v>
      </c>
      <c r="G86" s="13" t="s">
        <v>2451</v>
      </c>
      <c r="H86" s="2"/>
      <c r="I86" s="2"/>
      <c r="J86" s="2"/>
      <c r="K86" s="2"/>
      <c r="L86" s="2"/>
      <c r="M86" s="2"/>
      <c r="N86" s="2"/>
      <c r="O86" s="2"/>
      <c r="P86" s="2"/>
      <c r="Q86" s="2"/>
      <c r="R86" s="2"/>
      <c r="S86" s="2"/>
      <c r="T86" s="2"/>
      <c r="U86" s="2"/>
      <c r="V86" s="2"/>
      <c r="W86" s="2"/>
      <c r="X86" s="2"/>
      <c r="Y86" s="2"/>
      <c r="Z86" s="2"/>
    </row>
    <row r="87" customHeight="1" spans="1:26">
      <c r="A87" s="186" t="s">
        <v>2452</v>
      </c>
      <c r="B87" s="187" t="s">
        <v>2453</v>
      </c>
      <c r="C87" s="188" t="s">
        <v>471</v>
      </c>
      <c r="D87" s="189">
        <v>-590</v>
      </c>
      <c r="E87" s="62" t="s">
        <v>37</v>
      </c>
      <c r="F87" s="13" t="s">
        <v>2454</v>
      </c>
      <c r="G87" s="13" t="s">
        <v>2455</v>
      </c>
      <c r="H87" s="2"/>
      <c r="I87" s="2"/>
      <c r="J87" s="2"/>
      <c r="K87" s="2"/>
      <c r="L87" s="2"/>
      <c r="M87" s="2"/>
      <c r="N87" s="2"/>
      <c r="O87" s="2"/>
      <c r="P87" s="2"/>
      <c r="Q87" s="2"/>
      <c r="R87" s="2"/>
      <c r="S87" s="2"/>
      <c r="T87" s="2"/>
      <c r="U87" s="2"/>
      <c r="V87" s="2"/>
      <c r="W87" s="2"/>
      <c r="X87" s="2"/>
      <c r="Y87" s="2"/>
      <c r="Z87" s="2"/>
    </row>
    <row r="88" customHeight="1" spans="1:26">
      <c r="A88" s="186" t="s">
        <v>2456</v>
      </c>
      <c r="B88" s="187" t="s">
        <v>2457</v>
      </c>
      <c r="C88" s="188" t="s">
        <v>445</v>
      </c>
      <c r="D88" s="189">
        <v>-500</v>
      </c>
      <c r="E88" s="62" t="s">
        <v>310</v>
      </c>
      <c r="F88" s="13" t="s">
        <v>2458</v>
      </c>
      <c r="G88" s="13" t="s">
        <v>2459</v>
      </c>
      <c r="H88" s="2"/>
      <c r="I88" s="2"/>
      <c r="J88" s="2"/>
      <c r="K88" s="2"/>
      <c r="L88" s="2"/>
      <c r="M88" s="2"/>
      <c r="N88" s="2"/>
      <c r="O88" s="2"/>
      <c r="P88" s="2"/>
      <c r="Q88" s="2"/>
      <c r="R88" s="2"/>
      <c r="S88" s="2"/>
      <c r="T88" s="2"/>
      <c r="U88" s="2"/>
      <c r="V88" s="2"/>
      <c r="W88" s="2"/>
      <c r="X88" s="2"/>
      <c r="Y88" s="2"/>
      <c r="Z88" s="2"/>
    </row>
    <row r="89" customHeight="1" spans="1:26">
      <c r="A89" s="186" t="s">
        <v>2460</v>
      </c>
      <c r="B89" s="187" t="s">
        <v>2461</v>
      </c>
      <c r="C89" s="188" t="s">
        <v>327</v>
      </c>
      <c r="D89" s="190">
        <v>65000</v>
      </c>
      <c r="E89" s="62" t="s">
        <v>37</v>
      </c>
      <c r="F89" s="13" t="s">
        <v>2462</v>
      </c>
      <c r="G89" s="13" t="s">
        <v>2463</v>
      </c>
      <c r="H89" s="2"/>
      <c r="I89" s="2"/>
      <c r="J89" s="2"/>
      <c r="K89" s="2"/>
      <c r="L89" s="2"/>
      <c r="M89" s="2"/>
      <c r="N89" s="2"/>
      <c r="O89" s="2"/>
      <c r="P89" s="2"/>
      <c r="Q89" s="2"/>
      <c r="R89" s="2"/>
      <c r="S89" s="2"/>
      <c r="T89" s="2"/>
      <c r="U89" s="2"/>
      <c r="V89" s="2"/>
      <c r="W89" s="2"/>
      <c r="X89" s="2"/>
      <c r="Y89" s="2"/>
      <c r="Z89" s="2"/>
    </row>
    <row r="90" customHeight="1" spans="1:26">
      <c r="A90" s="186" t="s">
        <v>2464</v>
      </c>
      <c r="B90" s="187" t="s">
        <v>2262</v>
      </c>
      <c r="C90" s="188" t="s">
        <v>462</v>
      </c>
      <c r="D90" s="190">
        <v>800</v>
      </c>
      <c r="E90" s="62" t="s">
        <v>245</v>
      </c>
      <c r="F90" s="13" t="s">
        <v>2465</v>
      </c>
      <c r="G90" s="13" t="s">
        <v>2466</v>
      </c>
      <c r="H90" s="2"/>
      <c r="I90" s="2"/>
      <c r="J90" s="2"/>
      <c r="K90" s="2"/>
      <c r="L90" s="2"/>
      <c r="M90" s="2"/>
      <c r="N90" s="2"/>
      <c r="O90" s="2"/>
      <c r="P90" s="2"/>
      <c r="Q90" s="2"/>
      <c r="R90" s="2"/>
      <c r="S90" s="2"/>
      <c r="T90" s="2"/>
      <c r="U90" s="2"/>
      <c r="V90" s="2"/>
      <c r="W90" s="2"/>
      <c r="X90" s="2"/>
      <c r="Y90" s="2"/>
      <c r="Z90" s="2"/>
    </row>
    <row r="91" customHeight="1" spans="1:26">
      <c r="A91" s="186" t="s">
        <v>2467</v>
      </c>
      <c r="B91" s="187" t="s">
        <v>2468</v>
      </c>
      <c r="C91" s="188" t="s">
        <v>2469</v>
      </c>
      <c r="D91" s="189">
        <v>-4000</v>
      </c>
      <c r="E91" s="62" t="s">
        <v>310</v>
      </c>
      <c r="F91" s="13" t="s">
        <v>2470</v>
      </c>
      <c r="G91" s="13" t="s">
        <v>2471</v>
      </c>
      <c r="H91" s="2"/>
      <c r="I91" s="2"/>
      <c r="J91" s="2"/>
      <c r="K91" s="2"/>
      <c r="L91" s="2"/>
      <c r="M91" s="2"/>
      <c r="N91" s="2"/>
      <c r="O91" s="2"/>
      <c r="P91" s="2"/>
      <c r="Q91" s="2"/>
      <c r="R91" s="2"/>
      <c r="S91" s="2"/>
      <c r="T91" s="2"/>
      <c r="U91" s="2"/>
      <c r="V91" s="2"/>
      <c r="W91" s="2"/>
      <c r="X91" s="2"/>
      <c r="Y91" s="2"/>
      <c r="Z91" s="2"/>
    </row>
    <row r="92" customHeight="1" spans="1:26">
      <c r="A92" s="186" t="s">
        <v>2472</v>
      </c>
      <c r="B92" s="187" t="s">
        <v>2473</v>
      </c>
      <c r="C92" s="188" t="s">
        <v>413</v>
      </c>
      <c r="D92" s="189">
        <v>-60</v>
      </c>
      <c r="E92" s="62" t="s">
        <v>310</v>
      </c>
      <c r="F92" s="13" t="s">
        <v>2474</v>
      </c>
      <c r="G92" s="13" t="s">
        <v>2475</v>
      </c>
      <c r="H92" s="2"/>
      <c r="I92" s="2"/>
      <c r="J92" s="2"/>
      <c r="K92" s="2"/>
      <c r="L92" s="2"/>
      <c r="M92" s="2"/>
      <c r="N92" s="2"/>
      <c r="O92" s="2"/>
      <c r="P92" s="2"/>
      <c r="Q92" s="2"/>
      <c r="R92" s="2"/>
      <c r="S92" s="2"/>
      <c r="T92" s="2"/>
      <c r="U92" s="2"/>
      <c r="V92" s="2"/>
      <c r="W92" s="2"/>
      <c r="X92" s="2"/>
      <c r="Y92" s="2"/>
      <c r="Z92" s="2"/>
    </row>
    <row r="93" customHeight="1" spans="1:26">
      <c r="A93" s="186" t="s">
        <v>2476</v>
      </c>
      <c r="B93" s="187" t="s">
        <v>2477</v>
      </c>
      <c r="C93" s="188" t="s">
        <v>2478</v>
      </c>
      <c r="D93" s="189">
        <v>-630</v>
      </c>
      <c r="E93" s="62" t="s">
        <v>21</v>
      </c>
      <c r="F93" s="13" t="s">
        <v>2479</v>
      </c>
      <c r="G93" s="13" t="s">
        <v>2480</v>
      </c>
      <c r="H93" s="2"/>
      <c r="I93" s="2"/>
      <c r="J93" s="2"/>
      <c r="K93" s="2"/>
      <c r="L93" s="2"/>
      <c r="M93" s="2"/>
      <c r="N93" s="2"/>
      <c r="O93" s="2"/>
      <c r="P93" s="2"/>
      <c r="Q93" s="2"/>
      <c r="R93" s="2"/>
      <c r="S93" s="2"/>
      <c r="T93" s="2"/>
      <c r="U93" s="2"/>
      <c r="V93" s="2"/>
      <c r="W93" s="2"/>
      <c r="X93" s="2"/>
      <c r="Y93" s="2"/>
      <c r="Z93" s="2"/>
    </row>
    <row r="94" customHeight="1" spans="1:26">
      <c r="A94" s="186" t="s">
        <v>2481</v>
      </c>
      <c r="B94" s="187" t="s">
        <v>2482</v>
      </c>
      <c r="C94" s="188" t="s">
        <v>2483</v>
      </c>
      <c r="D94" s="189">
        <v>0</v>
      </c>
      <c r="E94" s="62" t="s">
        <v>21</v>
      </c>
      <c r="F94" s="13" t="s">
        <v>2484</v>
      </c>
      <c r="G94" s="13" t="s">
        <v>2485</v>
      </c>
      <c r="H94" s="2"/>
      <c r="I94" s="2"/>
      <c r="J94" s="2"/>
      <c r="K94" s="2"/>
      <c r="L94" s="2"/>
      <c r="M94" s="2"/>
      <c r="N94" s="2"/>
      <c r="O94" s="2"/>
      <c r="P94" s="2"/>
      <c r="Q94" s="2"/>
      <c r="R94" s="2"/>
      <c r="S94" s="2"/>
      <c r="T94" s="2"/>
      <c r="U94" s="2"/>
      <c r="V94" s="2"/>
      <c r="W94" s="2"/>
      <c r="X94" s="2"/>
      <c r="Y94" s="2"/>
      <c r="Z94" s="2"/>
    </row>
    <row r="95" customHeight="1" spans="1:26">
      <c r="A95" s="186" t="s">
        <v>222</v>
      </c>
      <c r="B95" s="187" t="s">
        <v>2486</v>
      </c>
      <c r="C95" s="188" t="s">
        <v>2487</v>
      </c>
      <c r="D95" s="190">
        <v>25000</v>
      </c>
      <c r="E95" s="62" t="s">
        <v>21</v>
      </c>
      <c r="F95" s="13" t="s">
        <v>2488</v>
      </c>
      <c r="G95" s="13" t="s">
        <v>2489</v>
      </c>
      <c r="H95" s="2"/>
      <c r="I95" s="2"/>
      <c r="J95" s="2"/>
      <c r="K95" s="2"/>
      <c r="L95" s="2"/>
      <c r="M95" s="2"/>
      <c r="N95" s="2"/>
      <c r="O95" s="2"/>
      <c r="P95" s="2"/>
      <c r="Q95" s="2"/>
      <c r="R95" s="2"/>
      <c r="S95" s="2"/>
      <c r="T95" s="2"/>
      <c r="U95" s="2"/>
      <c r="V95" s="2"/>
      <c r="W95" s="2"/>
      <c r="X95" s="2"/>
      <c r="Y95" s="2"/>
      <c r="Z95" s="2"/>
    </row>
    <row r="96" customHeight="1" spans="1:26">
      <c r="A96" s="186" t="s">
        <v>227</v>
      </c>
      <c r="B96" s="187" t="s">
        <v>2490</v>
      </c>
      <c r="C96" s="188" t="s">
        <v>1000</v>
      </c>
      <c r="D96" s="189">
        <v>-400</v>
      </c>
      <c r="E96" s="62" t="s">
        <v>21</v>
      </c>
      <c r="F96" s="13" t="s">
        <v>2491</v>
      </c>
      <c r="G96" s="13" t="s">
        <v>2492</v>
      </c>
      <c r="H96" s="2"/>
      <c r="I96" s="2"/>
      <c r="J96" s="2"/>
      <c r="K96" s="2"/>
      <c r="L96" s="2"/>
      <c r="M96" s="2"/>
      <c r="N96" s="2"/>
      <c r="O96" s="2"/>
      <c r="P96" s="2"/>
      <c r="Q96" s="2"/>
      <c r="R96" s="2"/>
      <c r="S96" s="2"/>
      <c r="T96" s="2"/>
      <c r="U96" s="2"/>
      <c r="V96" s="2"/>
      <c r="W96" s="2"/>
      <c r="X96" s="2"/>
      <c r="Y96" s="2"/>
      <c r="Z96" s="2"/>
    </row>
    <row r="97" customHeight="1" spans="1:26">
      <c r="A97" s="186" t="s">
        <v>231</v>
      </c>
      <c r="B97" s="187" t="s">
        <v>2493</v>
      </c>
      <c r="C97" s="188" t="s">
        <v>2487</v>
      </c>
      <c r="D97" s="189">
        <v>-699</v>
      </c>
      <c r="E97" s="62" t="s">
        <v>21</v>
      </c>
      <c r="F97" s="13" t="s">
        <v>2494</v>
      </c>
      <c r="G97" s="13" t="s">
        <v>2495</v>
      </c>
      <c r="H97" s="2"/>
      <c r="I97" s="2"/>
      <c r="J97" s="2"/>
      <c r="K97" s="2"/>
      <c r="L97" s="2"/>
      <c r="M97" s="2"/>
      <c r="N97" s="2"/>
      <c r="O97" s="2"/>
      <c r="P97" s="2"/>
      <c r="Q97" s="2"/>
      <c r="R97" s="2"/>
      <c r="S97" s="2"/>
      <c r="T97" s="2"/>
      <c r="U97" s="2"/>
      <c r="V97" s="2"/>
      <c r="W97" s="2"/>
      <c r="X97" s="2"/>
      <c r="Y97" s="2"/>
      <c r="Z97" s="2"/>
    </row>
    <row r="98" customHeight="1" spans="1:26">
      <c r="A98" s="186" t="s">
        <v>198</v>
      </c>
      <c r="B98" s="187" t="s">
        <v>2496</v>
      </c>
      <c r="C98" s="188" t="s">
        <v>2497</v>
      </c>
      <c r="D98" s="189">
        <v>-21000</v>
      </c>
      <c r="E98" s="62" t="s">
        <v>21</v>
      </c>
      <c r="F98" s="13" t="s">
        <v>2498</v>
      </c>
      <c r="G98" s="13" t="s">
        <v>2499</v>
      </c>
      <c r="H98" s="2"/>
      <c r="I98" s="2"/>
      <c r="J98" s="2"/>
      <c r="K98" s="2"/>
      <c r="L98" s="2"/>
      <c r="M98" s="2"/>
      <c r="N98" s="2"/>
      <c r="O98" s="2"/>
      <c r="P98" s="2"/>
      <c r="Q98" s="2"/>
      <c r="R98" s="2"/>
      <c r="S98" s="2"/>
      <c r="T98" s="2"/>
      <c r="U98" s="2"/>
      <c r="V98" s="2"/>
      <c r="W98" s="2"/>
      <c r="X98" s="2"/>
      <c r="Y98" s="2"/>
      <c r="Z98" s="2"/>
    </row>
    <row r="99" customHeight="1" spans="1:26">
      <c r="A99" s="186" t="s">
        <v>84</v>
      </c>
      <c r="B99" s="187" t="s">
        <v>2500</v>
      </c>
      <c r="C99" s="188" t="s">
        <v>86</v>
      </c>
      <c r="D99" s="189">
        <v>-50</v>
      </c>
      <c r="E99" s="62" t="s">
        <v>21</v>
      </c>
      <c r="F99" s="13" t="s">
        <v>2501</v>
      </c>
      <c r="G99" s="57"/>
      <c r="H99" s="2"/>
      <c r="I99" s="2"/>
      <c r="J99" s="2"/>
      <c r="K99" s="2"/>
      <c r="L99" s="2"/>
      <c r="M99" s="2"/>
      <c r="N99" s="2"/>
      <c r="O99" s="2"/>
      <c r="P99" s="2"/>
      <c r="Q99" s="2"/>
      <c r="R99" s="2"/>
      <c r="S99" s="2"/>
      <c r="T99" s="2"/>
      <c r="U99" s="2"/>
      <c r="V99" s="2"/>
      <c r="W99" s="2"/>
      <c r="X99" s="2"/>
      <c r="Y99" s="2"/>
      <c r="Z99" s="2"/>
    </row>
    <row r="100" customHeight="1" spans="1:26">
      <c r="A100" s="186" t="s">
        <v>139</v>
      </c>
      <c r="B100" s="187" t="s">
        <v>2502</v>
      </c>
      <c r="C100" s="188" t="s">
        <v>141</v>
      </c>
      <c r="D100" s="189">
        <v>-500</v>
      </c>
      <c r="E100" s="62" t="s">
        <v>37</v>
      </c>
      <c r="F100" s="13" t="s">
        <v>2503</v>
      </c>
      <c r="G100" s="13" t="s">
        <v>2504</v>
      </c>
      <c r="H100" s="2"/>
      <c r="I100" s="2"/>
      <c r="J100" s="2"/>
      <c r="K100" s="2"/>
      <c r="L100" s="2"/>
      <c r="M100" s="2"/>
      <c r="N100" s="2"/>
      <c r="O100" s="2"/>
      <c r="P100" s="2"/>
      <c r="Q100" s="2"/>
      <c r="R100" s="2"/>
      <c r="S100" s="2"/>
      <c r="T100" s="2"/>
      <c r="U100" s="2"/>
      <c r="V100" s="2"/>
      <c r="W100" s="2"/>
      <c r="X100" s="2"/>
      <c r="Y100" s="2"/>
      <c r="Z100" s="2"/>
    </row>
    <row r="101" customHeight="1" spans="1:26">
      <c r="A101" s="186" t="s">
        <v>488</v>
      </c>
      <c r="B101" s="187" t="s">
        <v>2505</v>
      </c>
      <c r="C101" s="188" t="s">
        <v>490</v>
      </c>
      <c r="D101" s="189">
        <v>-500</v>
      </c>
      <c r="E101" s="62" t="s">
        <v>37</v>
      </c>
      <c r="F101" s="13" t="s">
        <v>2506</v>
      </c>
      <c r="G101" s="13" t="s">
        <v>2507</v>
      </c>
      <c r="H101" s="2"/>
      <c r="I101" s="2"/>
      <c r="J101" s="2"/>
      <c r="K101" s="2"/>
      <c r="L101" s="2"/>
      <c r="M101" s="2"/>
      <c r="N101" s="2"/>
      <c r="O101" s="2"/>
      <c r="P101" s="2"/>
      <c r="Q101" s="2"/>
      <c r="R101" s="2"/>
      <c r="S101" s="2"/>
      <c r="T101" s="2"/>
      <c r="U101" s="2"/>
      <c r="V101" s="2"/>
      <c r="W101" s="2"/>
      <c r="X101" s="2"/>
      <c r="Y101" s="2"/>
      <c r="Z101" s="2"/>
    </row>
    <row r="102" customHeight="1" spans="1:26">
      <c r="A102" s="186" t="s">
        <v>563</v>
      </c>
      <c r="B102" s="187" t="s">
        <v>2508</v>
      </c>
      <c r="C102" s="188" t="s">
        <v>565</v>
      </c>
      <c r="D102" s="189">
        <v>-600</v>
      </c>
      <c r="E102" s="62" t="s">
        <v>37</v>
      </c>
      <c r="F102" s="13" t="s">
        <v>2509</v>
      </c>
      <c r="G102" s="13" t="s">
        <v>2510</v>
      </c>
      <c r="H102" s="2"/>
      <c r="I102" s="2"/>
      <c r="J102" s="2"/>
      <c r="K102" s="2"/>
      <c r="L102" s="2"/>
      <c r="M102" s="2"/>
      <c r="N102" s="2"/>
      <c r="O102" s="2"/>
      <c r="P102" s="2"/>
      <c r="Q102" s="2"/>
      <c r="R102" s="2"/>
      <c r="S102" s="2"/>
      <c r="T102" s="2"/>
      <c r="U102" s="2"/>
      <c r="V102" s="2"/>
      <c r="W102" s="2"/>
      <c r="X102" s="2"/>
      <c r="Y102" s="2"/>
      <c r="Z102" s="2"/>
    </row>
    <row r="103" customHeight="1" spans="1:26">
      <c r="A103" s="186" t="s">
        <v>24</v>
      </c>
      <c r="B103" s="187" t="s">
        <v>2511</v>
      </c>
      <c r="C103" s="188" t="s">
        <v>2512</v>
      </c>
      <c r="D103" s="189">
        <v>-18000</v>
      </c>
      <c r="E103" s="62" t="s">
        <v>21</v>
      </c>
      <c r="F103" s="13" t="s">
        <v>2513</v>
      </c>
      <c r="G103" s="13" t="s">
        <v>2514</v>
      </c>
      <c r="H103" s="2"/>
      <c r="I103" s="2"/>
      <c r="J103" s="2"/>
      <c r="K103" s="2"/>
      <c r="L103" s="2"/>
      <c r="M103" s="2"/>
      <c r="N103" s="2"/>
      <c r="O103" s="2"/>
      <c r="P103" s="2"/>
      <c r="Q103" s="2"/>
      <c r="R103" s="2"/>
      <c r="S103" s="2"/>
      <c r="T103" s="2"/>
      <c r="U103" s="2"/>
      <c r="V103" s="2"/>
      <c r="W103" s="2"/>
      <c r="X103" s="2"/>
      <c r="Y103" s="2"/>
      <c r="Z103" s="2"/>
    </row>
    <row r="104" customHeight="1" spans="1:26">
      <c r="A104" s="186" t="s">
        <v>234</v>
      </c>
      <c r="B104" s="187" t="s">
        <v>2515</v>
      </c>
      <c r="C104" s="188" t="s">
        <v>2516</v>
      </c>
      <c r="D104" s="189">
        <v>-100</v>
      </c>
      <c r="E104" s="62" t="s">
        <v>37</v>
      </c>
      <c r="F104" s="13" t="s">
        <v>2517</v>
      </c>
      <c r="G104" s="13" t="s">
        <v>2518</v>
      </c>
      <c r="H104" s="2"/>
      <c r="I104" s="2"/>
      <c r="J104" s="2"/>
      <c r="K104" s="2"/>
      <c r="L104" s="2"/>
      <c r="M104" s="2"/>
      <c r="N104" s="2"/>
      <c r="O104" s="2"/>
      <c r="P104" s="2"/>
      <c r="Q104" s="2"/>
      <c r="R104" s="2"/>
      <c r="S104" s="2"/>
      <c r="T104" s="2"/>
      <c r="U104" s="2"/>
      <c r="V104" s="2"/>
      <c r="W104" s="2"/>
      <c r="X104" s="2"/>
      <c r="Y104" s="2"/>
      <c r="Z104" s="2"/>
    </row>
    <row r="105" customHeight="1" spans="1:26">
      <c r="A105" s="186" t="s">
        <v>212</v>
      </c>
      <c r="B105" s="187" t="s">
        <v>2519</v>
      </c>
      <c r="C105" s="188" t="s">
        <v>214</v>
      </c>
      <c r="D105" s="189">
        <v>-100</v>
      </c>
      <c r="E105" s="62" t="s">
        <v>37</v>
      </c>
      <c r="F105" s="13" t="s">
        <v>2520</v>
      </c>
      <c r="G105" s="13" t="s">
        <v>2521</v>
      </c>
      <c r="H105" s="2"/>
      <c r="I105" s="2"/>
      <c r="J105" s="2"/>
      <c r="K105" s="2"/>
      <c r="L105" s="2"/>
      <c r="M105" s="2"/>
      <c r="N105" s="2"/>
      <c r="O105" s="2"/>
      <c r="P105" s="2"/>
      <c r="Q105" s="2"/>
      <c r="R105" s="2"/>
      <c r="S105" s="2"/>
      <c r="T105" s="2"/>
      <c r="U105" s="2"/>
      <c r="V105" s="2"/>
      <c r="W105" s="2"/>
      <c r="X105" s="2"/>
      <c r="Y105" s="2"/>
      <c r="Z105" s="2"/>
    </row>
    <row r="106" customHeight="1" spans="1:26">
      <c r="A106" s="186" t="s">
        <v>537</v>
      </c>
      <c r="B106" s="187" t="s">
        <v>2522</v>
      </c>
      <c r="C106" s="188" t="s">
        <v>2523</v>
      </c>
      <c r="D106" s="189">
        <v>-300</v>
      </c>
      <c r="E106" s="62" t="s">
        <v>37</v>
      </c>
      <c r="F106" s="13" t="s">
        <v>2524</v>
      </c>
      <c r="G106" s="13" t="s">
        <v>2525</v>
      </c>
      <c r="H106" s="2"/>
      <c r="I106" s="2"/>
      <c r="J106" s="2"/>
      <c r="K106" s="2"/>
      <c r="L106" s="2"/>
      <c r="M106" s="2"/>
      <c r="N106" s="2"/>
      <c r="O106" s="2"/>
      <c r="P106" s="2"/>
      <c r="Q106" s="2"/>
      <c r="R106" s="2"/>
      <c r="S106" s="2"/>
      <c r="T106" s="2"/>
      <c r="U106" s="2"/>
      <c r="V106" s="2"/>
      <c r="W106" s="2"/>
      <c r="X106" s="2"/>
      <c r="Y106" s="2"/>
      <c r="Z106" s="2"/>
    </row>
    <row r="107" customHeight="1" spans="1:26">
      <c r="A107" s="186" t="s">
        <v>542</v>
      </c>
      <c r="B107" s="187" t="s">
        <v>2526</v>
      </c>
      <c r="C107" s="188" t="s">
        <v>2527</v>
      </c>
      <c r="D107" s="189">
        <v>-7</v>
      </c>
      <c r="E107" s="62" t="s">
        <v>37</v>
      </c>
      <c r="F107" s="13" t="s">
        <v>2528</v>
      </c>
      <c r="G107" s="13" t="s">
        <v>2529</v>
      </c>
      <c r="H107" s="2"/>
      <c r="I107" s="2"/>
      <c r="J107" s="2"/>
      <c r="K107" s="2"/>
      <c r="L107" s="2"/>
      <c r="M107" s="2"/>
      <c r="N107" s="2"/>
      <c r="O107" s="2"/>
      <c r="P107" s="2"/>
      <c r="Q107" s="2"/>
      <c r="R107" s="2"/>
      <c r="S107" s="2"/>
      <c r="T107" s="2"/>
      <c r="U107" s="2"/>
      <c r="V107" s="2"/>
      <c r="W107" s="2"/>
      <c r="X107" s="2"/>
      <c r="Y107" s="2"/>
      <c r="Z107" s="2"/>
    </row>
    <row r="108" customHeight="1" spans="1:26">
      <c r="A108" s="186" t="s">
        <v>546</v>
      </c>
      <c r="B108" s="187" t="s">
        <v>2530</v>
      </c>
      <c r="C108" s="188" t="s">
        <v>2531</v>
      </c>
      <c r="D108" s="189">
        <v>-370</v>
      </c>
      <c r="E108" s="62" t="s">
        <v>37</v>
      </c>
      <c r="F108" s="13" t="s">
        <v>2532</v>
      </c>
      <c r="G108" s="13" t="s">
        <v>2533</v>
      </c>
      <c r="H108" s="2"/>
      <c r="I108" s="2"/>
      <c r="J108" s="2"/>
      <c r="K108" s="2"/>
      <c r="L108" s="2"/>
      <c r="M108" s="2"/>
      <c r="N108" s="2"/>
      <c r="O108" s="2"/>
      <c r="P108" s="2"/>
      <c r="Q108" s="2"/>
      <c r="R108" s="2"/>
      <c r="S108" s="2"/>
      <c r="T108" s="2"/>
      <c r="U108" s="2"/>
      <c r="V108" s="2"/>
      <c r="W108" s="2"/>
      <c r="X108" s="2"/>
      <c r="Y108" s="2"/>
      <c r="Z108" s="2"/>
    </row>
    <row r="109" customHeight="1" spans="1:26">
      <c r="A109" s="186" t="s">
        <v>551</v>
      </c>
      <c r="B109" s="187" t="s">
        <v>2534</v>
      </c>
      <c r="C109" s="188" t="s">
        <v>2535</v>
      </c>
      <c r="D109" s="189">
        <v>-200</v>
      </c>
      <c r="E109" s="62" t="s">
        <v>37</v>
      </c>
      <c r="F109" s="13" t="s">
        <v>2536</v>
      </c>
      <c r="G109" s="13" t="s">
        <v>2537</v>
      </c>
      <c r="H109" s="2"/>
      <c r="I109" s="2"/>
      <c r="J109" s="2"/>
      <c r="K109" s="2"/>
      <c r="L109" s="2"/>
      <c r="M109" s="2"/>
      <c r="N109" s="2"/>
      <c r="O109" s="2"/>
      <c r="P109" s="2"/>
      <c r="Q109" s="2"/>
      <c r="R109" s="2"/>
      <c r="S109" s="2"/>
      <c r="T109" s="2"/>
      <c r="U109" s="2"/>
      <c r="V109" s="2"/>
      <c r="W109" s="2"/>
      <c r="X109" s="2"/>
      <c r="Y109" s="2"/>
      <c r="Z109" s="2"/>
    </row>
    <row r="110" customHeight="1" spans="1:26">
      <c r="A110" s="186" t="s">
        <v>508</v>
      </c>
      <c r="B110" s="187" t="s">
        <v>2538</v>
      </c>
      <c r="C110" s="188" t="s">
        <v>2539</v>
      </c>
      <c r="D110" s="189">
        <v>800</v>
      </c>
      <c r="E110" s="62" t="s">
        <v>37</v>
      </c>
      <c r="F110" s="13" t="s">
        <v>2540</v>
      </c>
      <c r="G110" s="13" t="s">
        <v>2541</v>
      </c>
      <c r="H110" s="2"/>
      <c r="I110" s="2"/>
      <c r="J110" s="2"/>
      <c r="K110" s="2"/>
      <c r="L110" s="2"/>
      <c r="M110" s="2"/>
      <c r="N110" s="2"/>
      <c r="O110" s="2"/>
      <c r="P110" s="2"/>
      <c r="Q110" s="2"/>
      <c r="R110" s="2"/>
      <c r="S110" s="2"/>
      <c r="T110" s="2"/>
      <c r="U110" s="2"/>
      <c r="V110" s="2"/>
      <c r="W110" s="2"/>
      <c r="X110" s="2"/>
      <c r="Y110" s="2"/>
      <c r="Z110" s="2"/>
    </row>
    <row r="111" customHeight="1" spans="1:26">
      <c r="A111" s="186" t="s">
        <v>513</v>
      </c>
      <c r="B111" s="191" t="s">
        <v>2542</v>
      </c>
      <c r="C111" s="188" t="s">
        <v>2543</v>
      </c>
      <c r="D111" s="190">
        <v>200000</v>
      </c>
      <c r="E111" s="62" t="s">
        <v>37</v>
      </c>
      <c r="F111" s="13" t="s">
        <v>2544</v>
      </c>
      <c r="G111" s="13" t="s">
        <v>2545</v>
      </c>
      <c r="H111" s="2"/>
      <c r="I111" s="2"/>
      <c r="J111" s="2"/>
      <c r="K111" s="2"/>
      <c r="L111" s="2"/>
      <c r="M111" s="2"/>
      <c r="N111" s="2"/>
      <c r="O111" s="2"/>
      <c r="P111" s="2"/>
      <c r="Q111" s="2"/>
      <c r="R111" s="2"/>
      <c r="S111" s="2"/>
      <c r="T111" s="2"/>
      <c r="U111" s="2"/>
      <c r="V111" s="2"/>
      <c r="W111" s="2"/>
      <c r="X111" s="2"/>
      <c r="Y111" s="2"/>
      <c r="Z111" s="2"/>
    </row>
    <row r="112" customHeight="1" spans="1:26">
      <c r="A112" s="186" t="s">
        <v>518</v>
      </c>
      <c r="B112" s="187" t="s">
        <v>2546</v>
      </c>
      <c r="C112" s="188" t="s">
        <v>515</v>
      </c>
      <c r="D112" s="189">
        <v>-400</v>
      </c>
      <c r="E112" s="62" t="s">
        <v>37</v>
      </c>
      <c r="F112" s="13" t="s">
        <v>2547</v>
      </c>
      <c r="G112" s="13" t="s">
        <v>2548</v>
      </c>
      <c r="H112" s="2"/>
      <c r="I112" s="2"/>
      <c r="J112" s="2"/>
      <c r="K112" s="2"/>
      <c r="L112" s="2"/>
      <c r="M112" s="2"/>
      <c r="N112" s="2"/>
      <c r="O112" s="2"/>
      <c r="P112" s="2"/>
      <c r="Q112" s="2"/>
      <c r="R112" s="2"/>
      <c r="S112" s="2"/>
      <c r="T112" s="2"/>
      <c r="U112" s="2"/>
      <c r="V112" s="2"/>
      <c r="W112" s="2"/>
      <c r="X112" s="2"/>
      <c r="Y112" s="2"/>
      <c r="Z112" s="2"/>
    </row>
    <row r="113" customHeight="1" spans="1:26">
      <c r="A113" s="186" t="s">
        <v>285</v>
      </c>
      <c r="B113" s="187" t="s">
        <v>2549</v>
      </c>
      <c r="C113" s="188" t="s">
        <v>2550</v>
      </c>
      <c r="D113" s="189">
        <v>-550</v>
      </c>
      <c r="E113" s="62" t="s">
        <v>37</v>
      </c>
      <c r="F113" s="13" t="s">
        <v>2551</v>
      </c>
      <c r="G113" s="13" t="s">
        <v>2552</v>
      </c>
      <c r="H113" s="2"/>
      <c r="I113" s="2"/>
      <c r="J113" s="2"/>
      <c r="K113" s="2"/>
      <c r="L113" s="2"/>
      <c r="M113" s="2"/>
      <c r="N113" s="2"/>
      <c r="O113" s="2"/>
      <c r="P113" s="2"/>
      <c r="Q113" s="2"/>
      <c r="R113" s="2"/>
      <c r="S113" s="2"/>
      <c r="T113" s="2"/>
      <c r="U113" s="2"/>
      <c r="V113" s="2"/>
      <c r="W113" s="2"/>
      <c r="X113" s="2"/>
      <c r="Y113" s="2"/>
      <c r="Z113" s="2"/>
    </row>
    <row r="114" customHeight="1" spans="1:26">
      <c r="A114" s="186" t="s">
        <v>532</v>
      </c>
      <c r="B114" s="187" t="s">
        <v>2553</v>
      </c>
      <c r="C114" s="188" t="s">
        <v>2554</v>
      </c>
      <c r="D114" s="189">
        <v>-380</v>
      </c>
      <c r="E114" s="62" t="s">
        <v>37</v>
      </c>
      <c r="F114" s="13" t="s">
        <v>2555</v>
      </c>
      <c r="G114" s="13" t="s">
        <v>2556</v>
      </c>
      <c r="H114" s="2"/>
      <c r="I114" s="2"/>
      <c r="J114" s="2"/>
      <c r="K114" s="2"/>
      <c r="L114" s="2"/>
      <c r="M114" s="2"/>
      <c r="N114" s="2"/>
      <c r="O114" s="2"/>
      <c r="P114" s="2"/>
      <c r="Q114" s="2"/>
      <c r="R114" s="2"/>
      <c r="S114" s="2"/>
      <c r="T114" s="2"/>
      <c r="U114" s="2"/>
      <c r="V114" s="2"/>
      <c r="W114" s="2"/>
      <c r="X114" s="2"/>
      <c r="Y114" s="2"/>
      <c r="Z114" s="2"/>
    </row>
    <row r="115" customHeight="1" spans="1:26">
      <c r="A115" s="186" t="s">
        <v>2557</v>
      </c>
      <c r="B115" s="187" t="s">
        <v>2558</v>
      </c>
      <c r="C115" s="188" t="s">
        <v>2559</v>
      </c>
      <c r="D115" s="189">
        <v>-670</v>
      </c>
      <c r="E115" s="62" t="s">
        <v>21</v>
      </c>
      <c r="F115" s="13" t="s">
        <v>2560</v>
      </c>
      <c r="G115" s="13" t="s">
        <v>2561</v>
      </c>
      <c r="H115" s="2"/>
      <c r="I115" s="2"/>
      <c r="J115" s="2"/>
      <c r="K115" s="2"/>
      <c r="L115" s="2"/>
      <c r="M115" s="2"/>
      <c r="N115" s="2"/>
      <c r="O115" s="2"/>
      <c r="P115" s="2"/>
      <c r="Q115" s="2"/>
      <c r="R115" s="2"/>
      <c r="S115" s="2"/>
      <c r="T115" s="2"/>
      <c r="U115" s="2"/>
      <c r="V115" s="2"/>
      <c r="W115" s="2"/>
      <c r="X115" s="2"/>
      <c r="Y115" s="2"/>
      <c r="Z115" s="2"/>
    </row>
    <row r="116" customHeight="1" spans="1:26">
      <c r="A116" s="186" t="s">
        <v>297</v>
      </c>
      <c r="B116" s="191" t="s">
        <v>2562</v>
      </c>
      <c r="C116" s="188" t="s">
        <v>1807</v>
      </c>
      <c r="D116" s="189">
        <v>-320</v>
      </c>
      <c r="E116" s="62" t="s">
        <v>37</v>
      </c>
      <c r="F116" s="13" t="s">
        <v>2563</v>
      </c>
      <c r="G116" s="13" t="s">
        <v>2564</v>
      </c>
      <c r="H116" s="2"/>
      <c r="I116" s="2"/>
      <c r="J116" s="2"/>
      <c r="K116" s="2"/>
      <c r="L116" s="2"/>
      <c r="M116" s="2"/>
      <c r="N116" s="2"/>
      <c r="O116" s="2"/>
      <c r="P116" s="2"/>
      <c r="Q116" s="2"/>
      <c r="R116" s="2"/>
      <c r="S116" s="2"/>
      <c r="T116" s="2"/>
      <c r="U116" s="2"/>
      <c r="V116" s="2"/>
      <c r="W116" s="2"/>
      <c r="X116" s="2"/>
      <c r="Y116" s="2"/>
      <c r="Z116" s="2"/>
    </row>
    <row r="117" customHeight="1" spans="1:26">
      <c r="A117" s="186" t="s">
        <v>18</v>
      </c>
      <c r="B117" s="187" t="s">
        <v>2565</v>
      </c>
      <c r="C117" s="188" t="s">
        <v>2566</v>
      </c>
      <c r="D117" s="189">
        <v>-300</v>
      </c>
      <c r="E117" s="62" t="s">
        <v>310</v>
      </c>
      <c r="F117" s="13" t="s">
        <v>2567</v>
      </c>
      <c r="G117" s="13" t="s">
        <v>2568</v>
      </c>
      <c r="H117" s="2"/>
      <c r="I117" s="2"/>
      <c r="J117" s="2"/>
      <c r="K117" s="2"/>
      <c r="L117" s="2"/>
      <c r="M117" s="2"/>
      <c r="N117" s="2"/>
      <c r="O117" s="2"/>
      <c r="P117" s="2"/>
      <c r="Q117" s="2"/>
      <c r="R117" s="2"/>
      <c r="S117" s="2"/>
      <c r="T117" s="2"/>
      <c r="U117" s="2"/>
      <c r="V117" s="2"/>
      <c r="W117" s="2"/>
      <c r="X117" s="2"/>
      <c r="Y117" s="2"/>
      <c r="Z117" s="2"/>
    </row>
    <row r="118" customHeight="1" spans="1:26">
      <c r="A118" s="186" t="s">
        <v>10</v>
      </c>
      <c r="B118" s="191" t="s">
        <v>2569</v>
      </c>
      <c r="C118" s="188" t="s">
        <v>12</v>
      </c>
      <c r="D118" s="189">
        <v>-700</v>
      </c>
      <c r="E118" s="62" t="s">
        <v>310</v>
      </c>
      <c r="F118" s="13" t="s">
        <v>2570</v>
      </c>
      <c r="G118" s="13" t="s">
        <v>2571</v>
      </c>
      <c r="H118" s="2"/>
      <c r="I118" s="2"/>
      <c r="J118" s="2"/>
      <c r="K118" s="2"/>
      <c r="L118" s="2"/>
      <c r="M118" s="2"/>
      <c r="N118" s="2"/>
      <c r="O118" s="2"/>
      <c r="P118" s="2"/>
      <c r="Q118" s="2"/>
      <c r="R118" s="2"/>
      <c r="S118" s="2"/>
      <c r="T118" s="2"/>
      <c r="U118" s="2"/>
      <c r="V118" s="2"/>
      <c r="W118" s="2"/>
      <c r="X118" s="2"/>
      <c r="Y118" s="2"/>
      <c r="Z118" s="2"/>
    </row>
    <row r="119" customHeight="1" spans="1:26">
      <c r="A119" s="186" t="s">
        <v>15</v>
      </c>
      <c r="B119" s="187" t="s">
        <v>2572</v>
      </c>
      <c r="C119" s="188" t="s">
        <v>12</v>
      </c>
      <c r="D119" s="189">
        <v>-4900</v>
      </c>
      <c r="E119" s="62" t="s">
        <v>310</v>
      </c>
      <c r="F119" s="13" t="s">
        <v>2573</v>
      </c>
      <c r="G119" s="13" t="s">
        <v>2574</v>
      </c>
      <c r="H119" s="2"/>
      <c r="I119" s="2"/>
      <c r="J119" s="2"/>
      <c r="K119" s="2"/>
      <c r="L119" s="2"/>
      <c r="M119" s="2"/>
      <c r="N119" s="2"/>
      <c r="O119" s="2"/>
      <c r="P119" s="2"/>
      <c r="Q119" s="2"/>
      <c r="R119" s="2"/>
      <c r="S119" s="2"/>
      <c r="T119" s="2"/>
      <c r="U119" s="2"/>
      <c r="V119" s="2"/>
      <c r="W119" s="2"/>
      <c r="X119" s="2"/>
      <c r="Y119" s="2"/>
      <c r="Z119" s="2"/>
    </row>
    <row r="120" customHeight="1" spans="1:26">
      <c r="A120" s="186" t="s">
        <v>102</v>
      </c>
      <c r="B120" s="187" t="s">
        <v>2575</v>
      </c>
      <c r="C120" s="188" t="s">
        <v>108</v>
      </c>
      <c r="D120" s="189">
        <v>-1200</v>
      </c>
      <c r="E120" s="62" t="s">
        <v>310</v>
      </c>
      <c r="F120" s="13" t="s">
        <v>2576</v>
      </c>
      <c r="G120" s="13" t="s">
        <v>2577</v>
      </c>
      <c r="H120" s="2"/>
      <c r="I120" s="2"/>
      <c r="J120" s="2"/>
      <c r="K120" s="2"/>
      <c r="L120" s="2"/>
      <c r="M120" s="2"/>
      <c r="N120" s="2"/>
      <c r="O120" s="2"/>
      <c r="P120" s="2"/>
      <c r="Q120" s="2"/>
      <c r="R120" s="2"/>
      <c r="S120" s="2"/>
      <c r="T120" s="2"/>
      <c r="U120" s="2"/>
      <c r="V120" s="2"/>
      <c r="W120" s="2"/>
      <c r="X120" s="2"/>
      <c r="Y120" s="2"/>
      <c r="Z120" s="2"/>
    </row>
    <row r="121" customHeight="1" spans="1:26">
      <c r="A121" s="186" t="s">
        <v>49</v>
      </c>
      <c r="B121" s="187" t="s">
        <v>2578</v>
      </c>
      <c r="C121" s="188" t="s">
        <v>2579</v>
      </c>
      <c r="D121" s="189">
        <v>-200</v>
      </c>
      <c r="E121" s="62" t="s">
        <v>37</v>
      </c>
      <c r="F121" s="13" t="s">
        <v>2580</v>
      </c>
      <c r="G121" s="13" t="s">
        <v>2581</v>
      </c>
      <c r="H121" s="2"/>
      <c r="I121" s="2"/>
      <c r="J121" s="2"/>
      <c r="K121" s="2"/>
      <c r="L121" s="2"/>
      <c r="M121" s="2"/>
      <c r="N121" s="2"/>
      <c r="O121" s="2"/>
      <c r="P121" s="2"/>
      <c r="Q121" s="2"/>
      <c r="R121" s="2"/>
      <c r="S121" s="2"/>
      <c r="T121" s="2"/>
      <c r="U121" s="2"/>
      <c r="V121" s="2"/>
      <c r="W121" s="2"/>
      <c r="X121" s="2"/>
      <c r="Y121" s="2"/>
      <c r="Z121" s="2"/>
    </row>
    <row r="122" customHeight="1" spans="1:26">
      <c r="A122" s="186" t="s">
        <v>54</v>
      </c>
      <c r="B122" s="187" t="s">
        <v>2582</v>
      </c>
      <c r="C122" s="188" t="s">
        <v>2583</v>
      </c>
      <c r="D122" s="189">
        <v>-5</v>
      </c>
      <c r="E122" s="62" t="s">
        <v>37</v>
      </c>
      <c r="F122" s="13" t="s">
        <v>2584</v>
      </c>
      <c r="G122" s="13" t="s">
        <v>2585</v>
      </c>
      <c r="H122" s="2"/>
      <c r="I122" s="2"/>
      <c r="J122" s="2"/>
      <c r="K122" s="2"/>
      <c r="L122" s="2"/>
      <c r="M122" s="2"/>
      <c r="N122" s="2"/>
      <c r="O122" s="2"/>
      <c r="P122" s="2"/>
      <c r="Q122" s="2"/>
      <c r="R122" s="2"/>
      <c r="S122" s="2"/>
      <c r="T122" s="2"/>
      <c r="U122" s="2"/>
      <c r="V122" s="2"/>
      <c r="W122" s="2"/>
      <c r="X122" s="2"/>
      <c r="Y122" s="2"/>
      <c r="Z122" s="2"/>
    </row>
    <row r="123" customHeight="1" spans="1:26">
      <c r="A123" s="186" t="s">
        <v>44</v>
      </c>
      <c r="B123" s="187" t="s">
        <v>2586</v>
      </c>
      <c r="C123" s="188" t="s">
        <v>664</v>
      </c>
      <c r="D123" s="189">
        <v>-99</v>
      </c>
      <c r="E123" s="62" t="s">
        <v>21</v>
      </c>
      <c r="F123" s="13" t="s">
        <v>2587</v>
      </c>
      <c r="G123" s="13" t="s">
        <v>2588</v>
      </c>
      <c r="H123" s="2"/>
      <c r="I123" s="2"/>
      <c r="J123" s="2"/>
      <c r="K123" s="2"/>
      <c r="L123" s="2"/>
      <c r="M123" s="2"/>
      <c r="N123" s="2"/>
      <c r="O123" s="2"/>
      <c r="P123" s="2"/>
      <c r="Q123" s="2"/>
      <c r="R123" s="2"/>
      <c r="S123" s="2"/>
      <c r="T123" s="2"/>
      <c r="U123" s="2"/>
      <c r="V123" s="2"/>
      <c r="W123" s="2"/>
      <c r="X123" s="2"/>
      <c r="Y123" s="2"/>
      <c r="Z123" s="2"/>
    </row>
    <row r="124" customHeight="1" spans="1:26">
      <c r="A124" s="186" t="s">
        <v>89</v>
      </c>
      <c r="B124" s="191" t="s">
        <v>2589</v>
      </c>
      <c r="C124" s="188" t="s">
        <v>2590</v>
      </c>
      <c r="D124" s="189">
        <v>-9000</v>
      </c>
      <c r="E124" s="62" t="s">
        <v>21</v>
      </c>
      <c r="F124" s="13" t="s">
        <v>2591</v>
      </c>
      <c r="G124" s="13" t="s">
        <v>2592</v>
      </c>
      <c r="H124" s="2"/>
      <c r="I124" s="2"/>
      <c r="J124" s="2"/>
      <c r="K124" s="2"/>
      <c r="L124" s="2"/>
      <c r="M124" s="2"/>
      <c r="N124" s="2"/>
      <c r="O124" s="2"/>
      <c r="P124" s="2"/>
      <c r="Q124" s="2"/>
      <c r="R124" s="2"/>
      <c r="S124" s="2"/>
      <c r="T124" s="2"/>
      <c r="U124" s="2"/>
      <c r="V124" s="2"/>
      <c r="W124" s="2"/>
      <c r="X124" s="2"/>
      <c r="Y124" s="2"/>
      <c r="Z124" s="2"/>
    </row>
    <row r="125" customHeight="1" spans="1:26">
      <c r="A125" s="186" t="s">
        <v>193</v>
      </c>
      <c r="B125" s="187" t="s">
        <v>2593</v>
      </c>
      <c r="C125" s="188" t="s">
        <v>2594</v>
      </c>
      <c r="D125" s="189">
        <v>-70</v>
      </c>
      <c r="E125" s="62" t="s">
        <v>37</v>
      </c>
      <c r="F125" s="13" t="s">
        <v>2595</v>
      </c>
      <c r="G125" s="13" t="s">
        <v>2596</v>
      </c>
      <c r="H125" s="2"/>
      <c r="I125" s="2"/>
      <c r="J125" s="2"/>
      <c r="K125" s="2"/>
      <c r="L125" s="2"/>
      <c r="M125" s="2"/>
      <c r="N125" s="2"/>
      <c r="O125" s="2"/>
      <c r="P125" s="2"/>
      <c r="Q125" s="2"/>
      <c r="R125" s="2"/>
      <c r="S125" s="2"/>
      <c r="T125" s="2"/>
      <c r="U125" s="2"/>
      <c r="V125" s="2"/>
      <c r="W125" s="2"/>
      <c r="X125" s="2"/>
      <c r="Y125" s="2"/>
      <c r="Z125" s="2"/>
    </row>
    <row r="126" customHeight="1" spans="1:26">
      <c r="A126" s="186" t="s">
        <v>498</v>
      </c>
      <c r="B126" s="187" t="s">
        <v>2597</v>
      </c>
      <c r="C126" s="188" t="s">
        <v>500</v>
      </c>
      <c r="D126" s="189">
        <v>-950</v>
      </c>
      <c r="E126" s="62" t="s">
        <v>310</v>
      </c>
      <c r="F126" s="13" t="s">
        <v>2598</v>
      </c>
      <c r="G126" s="13" t="s">
        <v>2599</v>
      </c>
      <c r="H126" s="2"/>
      <c r="I126" s="2"/>
      <c r="J126" s="2"/>
      <c r="K126" s="2"/>
      <c r="L126" s="2"/>
      <c r="M126" s="2"/>
      <c r="N126" s="2"/>
      <c r="O126" s="2"/>
      <c r="P126" s="2"/>
      <c r="Q126" s="2"/>
      <c r="R126" s="2"/>
      <c r="S126" s="2"/>
      <c r="T126" s="2"/>
      <c r="U126" s="2"/>
      <c r="V126" s="2"/>
      <c r="W126" s="2"/>
      <c r="X126" s="2"/>
      <c r="Y126" s="2"/>
      <c r="Z126" s="2"/>
    </row>
    <row r="127" customHeight="1" spans="1:26">
      <c r="A127" s="186" t="s">
        <v>217</v>
      </c>
      <c r="B127" s="187" t="s">
        <v>2600</v>
      </c>
      <c r="C127" s="188" t="s">
        <v>2601</v>
      </c>
      <c r="D127" s="190">
        <v>80000</v>
      </c>
      <c r="E127" s="62" t="s">
        <v>310</v>
      </c>
      <c r="F127" s="13" t="s">
        <v>2602</v>
      </c>
      <c r="G127" s="13" t="s">
        <v>2603</v>
      </c>
      <c r="H127" s="2"/>
      <c r="I127" s="2"/>
      <c r="J127" s="2"/>
      <c r="K127" s="2"/>
      <c r="L127" s="2"/>
      <c r="M127" s="2"/>
      <c r="N127" s="2"/>
      <c r="O127" s="2"/>
      <c r="P127" s="2"/>
      <c r="Q127" s="2"/>
      <c r="R127" s="2"/>
      <c r="S127" s="2"/>
      <c r="T127" s="2"/>
      <c r="U127" s="2"/>
      <c r="V127" s="2"/>
      <c r="W127" s="2"/>
      <c r="X127" s="2"/>
      <c r="Y127" s="2"/>
      <c r="Z127" s="2"/>
    </row>
    <row r="128" customHeight="1" spans="1:26">
      <c r="A128" s="186" t="s">
        <v>493</v>
      </c>
      <c r="B128" s="187" t="s">
        <v>2604</v>
      </c>
      <c r="C128" s="188" t="s">
        <v>2605</v>
      </c>
      <c r="D128" s="189">
        <v>-8000</v>
      </c>
      <c r="E128" s="62" t="s">
        <v>310</v>
      </c>
      <c r="F128" s="13" t="s">
        <v>2606</v>
      </c>
      <c r="G128" s="13" t="s">
        <v>2607</v>
      </c>
      <c r="H128" s="2"/>
      <c r="I128" s="2"/>
      <c r="J128" s="2"/>
      <c r="K128" s="2"/>
      <c r="L128" s="2"/>
      <c r="M128" s="2"/>
      <c r="N128" s="2"/>
      <c r="O128" s="2"/>
      <c r="P128" s="2"/>
      <c r="Q128" s="2"/>
      <c r="R128" s="2"/>
      <c r="S128" s="2"/>
      <c r="T128" s="2"/>
      <c r="U128" s="2"/>
      <c r="V128" s="2"/>
      <c r="W128" s="2"/>
      <c r="X128" s="2"/>
      <c r="Y128" s="2"/>
      <c r="Z128" s="2"/>
    </row>
    <row r="129" customHeight="1" spans="1:26">
      <c r="A129" s="186" t="s">
        <v>74</v>
      </c>
      <c r="B129" s="187" t="s">
        <v>2608</v>
      </c>
      <c r="C129" s="188" t="s">
        <v>2609</v>
      </c>
      <c r="D129" s="189">
        <v>-300</v>
      </c>
      <c r="E129" s="62" t="s">
        <v>310</v>
      </c>
      <c r="F129" s="13" t="s">
        <v>2610</v>
      </c>
      <c r="G129" s="13" t="s">
        <v>2611</v>
      </c>
      <c r="H129" s="2"/>
      <c r="I129" s="2"/>
      <c r="J129" s="2"/>
      <c r="K129" s="2"/>
      <c r="L129" s="2"/>
      <c r="M129" s="2"/>
      <c r="N129" s="2"/>
      <c r="O129" s="2"/>
      <c r="P129" s="2"/>
      <c r="Q129" s="2"/>
      <c r="R129" s="2"/>
      <c r="S129" s="2"/>
      <c r="T129" s="2"/>
      <c r="U129" s="2"/>
      <c r="V129" s="2"/>
      <c r="W129" s="2"/>
      <c r="X129" s="2"/>
      <c r="Y129" s="2"/>
      <c r="Z129" s="2"/>
    </row>
    <row r="130" customHeight="1" spans="1:26">
      <c r="A130" s="186" t="s">
        <v>149</v>
      </c>
      <c r="B130" s="187" t="s">
        <v>2612</v>
      </c>
      <c r="C130" s="188" t="s">
        <v>151</v>
      </c>
      <c r="D130" s="189">
        <v>-1100</v>
      </c>
      <c r="E130" s="62" t="s">
        <v>310</v>
      </c>
      <c r="F130" s="13" t="s">
        <v>2613</v>
      </c>
      <c r="G130" s="13" t="s">
        <v>2614</v>
      </c>
      <c r="H130" s="2"/>
      <c r="I130" s="2"/>
      <c r="J130" s="2"/>
      <c r="K130" s="2"/>
      <c r="L130" s="2"/>
      <c r="M130" s="2"/>
      <c r="N130" s="2"/>
      <c r="O130" s="2"/>
      <c r="P130" s="2"/>
      <c r="Q130" s="2"/>
      <c r="R130" s="2"/>
      <c r="S130" s="2"/>
      <c r="T130" s="2"/>
      <c r="U130" s="2"/>
      <c r="V130" s="2"/>
      <c r="W130" s="2"/>
      <c r="X130" s="2"/>
      <c r="Y130" s="2"/>
      <c r="Z130" s="2"/>
    </row>
    <row r="131" customHeight="1" spans="1:26">
      <c r="A131" s="186" t="s">
        <v>144</v>
      </c>
      <c r="B131" s="187" t="s">
        <v>2615</v>
      </c>
      <c r="C131" s="188" t="s">
        <v>2616</v>
      </c>
      <c r="D131" s="189">
        <v>-1200</v>
      </c>
      <c r="E131" s="62" t="s">
        <v>310</v>
      </c>
      <c r="F131" s="13" t="s">
        <v>2617</v>
      </c>
      <c r="G131" s="13" t="s">
        <v>2618</v>
      </c>
      <c r="H131" s="2"/>
      <c r="I131" s="2"/>
      <c r="J131" s="2"/>
      <c r="K131" s="2"/>
      <c r="L131" s="2"/>
      <c r="M131" s="2"/>
      <c r="N131" s="2"/>
      <c r="O131" s="2"/>
      <c r="P131" s="2"/>
      <c r="Q131" s="2"/>
      <c r="R131" s="2"/>
      <c r="S131" s="2"/>
      <c r="T131" s="2"/>
      <c r="U131" s="2"/>
      <c r="V131" s="2"/>
      <c r="W131" s="2"/>
      <c r="X131" s="2"/>
      <c r="Y131" s="2"/>
      <c r="Z131" s="2"/>
    </row>
    <row r="132" customHeight="1" spans="1:26">
      <c r="A132" s="186" t="s">
        <v>164</v>
      </c>
      <c r="B132" s="187" t="s">
        <v>2619</v>
      </c>
      <c r="C132" s="188" t="s">
        <v>2620</v>
      </c>
      <c r="D132" s="189">
        <v>-7300</v>
      </c>
      <c r="E132" s="62" t="s">
        <v>310</v>
      </c>
      <c r="F132" s="13" t="s">
        <v>2621</v>
      </c>
      <c r="G132" s="13" t="s">
        <v>2619</v>
      </c>
      <c r="H132" s="2"/>
      <c r="I132" s="2"/>
      <c r="J132" s="2"/>
      <c r="K132" s="2"/>
      <c r="L132" s="2"/>
      <c r="M132" s="2"/>
      <c r="N132" s="2"/>
      <c r="O132" s="2"/>
      <c r="P132" s="2"/>
      <c r="Q132" s="2"/>
      <c r="R132" s="2"/>
      <c r="S132" s="2"/>
      <c r="T132" s="2"/>
      <c r="U132" s="2"/>
      <c r="V132" s="2"/>
      <c r="W132" s="2"/>
      <c r="X132" s="2"/>
      <c r="Y132" s="2"/>
      <c r="Z132" s="2"/>
    </row>
    <row r="133" customHeight="1" spans="1:26">
      <c r="A133" s="186" t="s">
        <v>159</v>
      </c>
      <c r="B133" s="187" t="s">
        <v>2622</v>
      </c>
      <c r="C133" s="188" t="s">
        <v>2623</v>
      </c>
      <c r="D133" s="189">
        <v>-10000</v>
      </c>
      <c r="E133" s="62" t="s">
        <v>310</v>
      </c>
      <c r="F133" s="13" t="s">
        <v>2624</v>
      </c>
      <c r="G133" s="13" t="s">
        <v>2625</v>
      </c>
      <c r="H133" s="2"/>
      <c r="I133" s="2"/>
      <c r="J133" s="2"/>
      <c r="K133" s="2"/>
      <c r="L133" s="2"/>
      <c r="M133" s="2"/>
      <c r="N133" s="2"/>
      <c r="O133" s="2"/>
      <c r="P133" s="2"/>
      <c r="Q133" s="2"/>
      <c r="R133" s="2"/>
      <c r="S133" s="2"/>
      <c r="T133" s="2"/>
      <c r="U133" s="2"/>
      <c r="V133" s="2"/>
      <c r="W133" s="2"/>
      <c r="X133" s="2"/>
      <c r="Y133" s="2"/>
      <c r="Z133" s="2"/>
    </row>
    <row r="134" customHeight="1" spans="1:26">
      <c r="A134" s="186" t="s">
        <v>110</v>
      </c>
      <c r="B134" s="187" t="s">
        <v>2626</v>
      </c>
      <c r="C134" s="188" t="s">
        <v>112</v>
      </c>
      <c r="D134" s="189">
        <v>0</v>
      </c>
      <c r="E134" s="62" t="s">
        <v>310</v>
      </c>
      <c r="F134" s="13" t="s">
        <v>2627</v>
      </c>
      <c r="G134" s="13" t="s">
        <v>2628</v>
      </c>
      <c r="H134" s="2"/>
      <c r="I134" s="2"/>
      <c r="J134" s="2"/>
      <c r="K134" s="2"/>
      <c r="L134" s="2"/>
      <c r="M134" s="2"/>
      <c r="N134" s="2"/>
      <c r="O134" s="2"/>
      <c r="P134" s="2"/>
      <c r="Q134" s="2"/>
      <c r="R134" s="2"/>
      <c r="S134" s="2"/>
      <c r="T134" s="2"/>
      <c r="U134" s="2"/>
      <c r="V134" s="2"/>
      <c r="W134" s="2"/>
      <c r="X134" s="2"/>
      <c r="Y134" s="2"/>
      <c r="Z134" s="2"/>
    </row>
    <row r="135" customHeight="1" spans="1:26">
      <c r="A135" s="13" t="s">
        <v>302</v>
      </c>
      <c r="B135" s="192" t="s">
        <v>2629</v>
      </c>
      <c r="C135" s="186" t="s">
        <v>2630</v>
      </c>
      <c r="D135" s="190">
        <v>20000</v>
      </c>
      <c r="E135" s="62" t="s">
        <v>2631</v>
      </c>
      <c r="F135" s="13" t="s">
        <v>2632</v>
      </c>
      <c r="G135" s="13" t="s">
        <v>2633</v>
      </c>
      <c r="H135" s="2"/>
      <c r="I135" s="2"/>
      <c r="J135" s="2"/>
      <c r="K135" s="2"/>
      <c r="L135" s="2"/>
      <c r="M135" s="2"/>
      <c r="N135" s="2"/>
      <c r="O135" s="2"/>
      <c r="P135" s="2"/>
      <c r="Q135" s="2"/>
      <c r="R135" s="2"/>
      <c r="S135" s="2"/>
      <c r="T135" s="2"/>
      <c r="U135" s="2"/>
      <c r="V135" s="2"/>
      <c r="W135" s="2"/>
      <c r="X135" s="2"/>
      <c r="Y135" s="2"/>
      <c r="Z135" s="2"/>
    </row>
    <row r="136" customHeight="1" spans="1:26">
      <c r="A136" s="186" t="s">
        <v>2634</v>
      </c>
      <c r="B136" s="187" t="s">
        <v>2635</v>
      </c>
      <c r="C136" s="188" t="s">
        <v>2634</v>
      </c>
      <c r="D136" s="189">
        <v>-300</v>
      </c>
      <c r="E136" s="62" t="s">
        <v>37</v>
      </c>
      <c r="F136" s="59" t="s">
        <v>2636</v>
      </c>
      <c r="G136" s="59" t="s">
        <v>2635</v>
      </c>
      <c r="H136" s="2"/>
      <c r="I136" s="2"/>
      <c r="J136" s="2"/>
      <c r="K136" s="2"/>
      <c r="L136" s="2"/>
      <c r="M136" s="2"/>
      <c r="N136" s="2"/>
      <c r="O136" s="2"/>
      <c r="P136" s="2"/>
      <c r="Q136" s="2"/>
      <c r="R136" s="2"/>
      <c r="S136" s="2"/>
      <c r="T136" s="2"/>
      <c r="U136" s="2"/>
      <c r="V136" s="2"/>
      <c r="W136" s="2"/>
      <c r="X136" s="2"/>
      <c r="Y136" s="2"/>
      <c r="Z136" s="2"/>
    </row>
    <row r="137" ht="27" customHeight="1" spans="1:26">
      <c r="A137" s="186" t="s">
        <v>2637</v>
      </c>
      <c r="B137" s="193" t="s">
        <v>2638</v>
      </c>
      <c r="C137" s="194"/>
      <c r="D137" s="190">
        <v>41666.66</v>
      </c>
      <c r="E137" s="188" t="s">
        <v>37</v>
      </c>
      <c r="F137" s="54" t="str">
        <f t="shared" ref="F137:F167" si="0">HYPERLINK("http://www.emiratesnbd.com/en/","http://cdn.emiratesnbd.com/en/assets/Image/SCP_english.jpg")</f>
        <v>http://cdn.emiratesnbd.com/en/assets/Image/SCP_english.jpg</v>
      </c>
      <c r="G137" s="54" t="str">
        <f t="shared" ref="G137:G167" si="1">HYPERLINK("http://stuffled.com/vector/emirates-nbd-logo/","http://www.emiratesnbd.com/en/")</f>
        <v>http://www.emiratesnbd.com/en/</v>
      </c>
      <c r="H137" s="2"/>
      <c r="I137" s="2"/>
      <c r="J137" s="2"/>
      <c r="K137" s="2"/>
      <c r="L137" s="2"/>
      <c r="M137" s="2"/>
      <c r="N137" s="2"/>
      <c r="O137" s="2"/>
      <c r="P137" s="2"/>
      <c r="Q137" s="2"/>
      <c r="R137" s="2"/>
      <c r="S137" s="2"/>
      <c r="T137" s="2"/>
      <c r="U137" s="2"/>
      <c r="V137" s="2"/>
      <c r="W137" s="2"/>
      <c r="X137" s="2"/>
      <c r="Y137" s="2"/>
      <c r="Z137" s="2"/>
    </row>
    <row r="138" ht="27" customHeight="1" spans="1:26">
      <c r="A138" s="186" t="s">
        <v>2639</v>
      </c>
      <c r="B138" s="193" t="s">
        <v>2640</v>
      </c>
      <c r="C138" s="194"/>
      <c r="D138" s="189">
        <v>-750</v>
      </c>
      <c r="E138" s="188" t="s">
        <v>37</v>
      </c>
      <c r="F138" s="54" t="str">
        <f t="shared" si="0"/>
        <v>http://cdn.emiratesnbd.com/en/assets/Image/SCP_english.jpg</v>
      </c>
      <c r="G138" s="54" t="str">
        <f t="shared" si="1"/>
        <v>http://www.emiratesnbd.com/en/</v>
      </c>
      <c r="H138" s="2"/>
      <c r="I138" s="2"/>
      <c r="J138" s="2"/>
      <c r="K138" s="2"/>
      <c r="L138" s="2"/>
      <c r="M138" s="2"/>
      <c r="N138" s="2"/>
      <c r="O138" s="2"/>
      <c r="P138" s="2"/>
      <c r="Q138" s="2"/>
      <c r="R138" s="2"/>
      <c r="S138" s="2"/>
      <c r="T138" s="2"/>
      <c r="U138" s="2"/>
      <c r="V138" s="2"/>
      <c r="W138" s="2"/>
      <c r="X138" s="2"/>
      <c r="Y138" s="2"/>
      <c r="Z138" s="2"/>
    </row>
    <row r="139" ht="27" customHeight="1" spans="1:26">
      <c r="A139" s="186" t="s">
        <v>2641</v>
      </c>
      <c r="B139" s="193" t="s">
        <v>2642</v>
      </c>
      <c r="C139" s="194"/>
      <c r="D139" s="189">
        <v>-7000</v>
      </c>
      <c r="E139" s="188" t="s">
        <v>37</v>
      </c>
      <c r="F139" s="54" t="str">
        <f t="shared" si="0"/>
        <v>http://cdn.emiratesnbd.com/en/assets/Image/SCP_english.jpg</v>
      </c>
      <c r="G139" s="54" t="str">
        <f t="shared" si="1"/>
        <v>http://www.emiratesnbd.com/en/</v>
      </c>
      <c r="H139" s="2"/>
      <c r="I139" s="2"/>
      <c r="J139" s="2"/>
      <c r="K139" s="2"/>
      <c r="L139" s="2"/>
      <c r="M139" s="2"/>
      <c r="N139" s="2"/>
      <c r="O139" s="2"/>
      <c r="P139" s="2"/>
      <c r="Q139" s="2"/>
      <c r="R139" s="2"/>
      <c r="S139" s="2"/>
      <c r="T139" s="2"/>
      <c r="U139" s="2"/>
      <c r="V139" s="2"/>
      <c r="W139" s="2"/>
      <c r="X139" s="2"/>
      <c r="Y139" s="2"/>
      <c r="Z139" s="2"/>
    </row>
    <row r="140" ht="27" customHeight="1" spans="1:26">
      <c r="A140" s="186" t="s">
        <v>2643</v>
      </c>
      <c r="B140" s="195" t="s">
        <v>2644</v>
      </c>
      <c r="C140" s="194"/>
      <c r="D140" s="189">
        <v>-600</v>
      </c>
      <c r="E140" s="188" t="s">
        <v>37</v>
      </c>
      <c r="F140" s="54" t="str">
        <f t="shared" si="0"/>
        <v>http://cdn.emiratesnbd.com/en/assets/Image/SCP_english.jpg</v>
      </c>
      <c r="G140" s="54" t="str">
        <f t="shared" si="1"/>
        <v>http://www.emiratesnbd.com/en/</v>
      </c>
      <c r="H140" s="2"/>
      <c r="I140" s="2"/>
      <c r="J140" s="2"/>
      <c r="K140" s="2"/>
      <c r="L140" s="2"/>
      <c r="M140" s="2"/>
      <c r="N140" s="2"/>
      <c r="O140" s="2"/>
      <c r="P140" s="2"/>
      <c r="Q140" s="2"/>
      <c r="R140" s="2"/>
      <c r="S140" s="2"/>
      <c r="T140" s="2"/>
      <c r="U140" s="2"/>
      <c r="V140" s="2"/>
      <c r="W140" s="2"/>
      <c r="X140" s="2"/>
      <c r="Y140" s="2"/>
      <c r="Z140" s="2"/>
    </row>
    <row r="141" ht="27" customHeight="1" spans="1:26">
      <c r="A141" s="186" t="s">
        <v>2645</v>
      </c>
      <c r="B141" s="193" t="s">
        <v>2646</v>
      </c>
      <c r="C141" s="194"/>
      <c r="D141" s="189">
        <v>-700</v>
      </c>
      <c r="E141" s="188" t="s">
        <v>37</v>
      </c>
      <c r="F141" s="54" t="str">
        <f t="shared" si="0"/>
        <v>http://cdn.emiratesnbd.com/en/assets/Image/SCP_english.jpg</v>
      </c>
      <c r="G141" s="54" t="str">
        <f t="shared" si="1"/>
        <v>http://www.emiratesnbd.com/en/</v>
      </c>
      <c r="H141" s="2"/>
      <c r="I141" s="2"/>
      <c r="J141" s="2"/>
      <c r="K141" s="2"/>
      <c r="L141" s="2"/>
      <c r="M141" s="2"/>
      <c r="N141" s="2"/>
      <c r="O141" s="2"/>
      <c r="P141" s="2"/>
      <c r="Q141" s="2"/>
      <c r="R141" s="2"/>
      <c r="S141" s="2"/>
      <c r="T141" s="2"/>
      <c r="U141" s="2"/>
      <c r="V141" s="2"/>
      <c r="W141" s="2"/>
      <c r="X141" s="2"/>
      <c r="Y141" s="2"/>
      <c r="Z141" s="2"/>
    </row>
    <row r="142" customHeight="1" spans="1:26">
      <c r="A142" s="186" t="s">
        <v>2647</v>
      </c>
      <c r="B142" s="187" t="s">
        <v>2648</v>
      </c>
      <c r="C142" s="194"/>
      <c r="D142" s="190">
        <v>30000</v>
      </c>
      <c r="E142" s="188" t="s">
        <v>37</v>
      </c>
      <c r="F142" s="54" t="str">
        <f t="shared" si="0"/>
        <v>http://cdn.emiratesnbd.com/en/assets/Image/SCP_english.jpg</v>
      </c>
      <c r="G142" s="54" t="str">
        <f t="shared" si="1"/>
        <v>http://www.emiratesnbd.com/en/</v>
      </c>
      <c r="H142" s="2"/>
      <c r="I142" s="2"/>
      <c r="J142" s="2"/>
      <c r="K142" s="2"/>
      <c r="L142" s="2"/>
      <c r="M142" s="2"/>
      <c r="N142" s="2"/>
      <c r="O142" s="2"/>
      <c r="P142" s="2"/>
      <c r="Q142" s="2"/>
      <c r="R142" s="2"/>
      <c r="S142" s="2"/>
      <c r="T142" s="2"/>
      <c r="U142" s="2"/>
      <c r="V142" s="2"/>
      <c r="W142" s="2"/>
      <c r="X142" s="2"/>
      <c r="Y142" s="2"/>
      <c r="Z142" s="2"/>
    </row>
    <row r="143" customHeight="1" spans="1:26">
      <c r="A143" s="186" t="s">
        <v>2649</v>
      </c>
      <c r="B143" s="187" t="s">
        <v>2650</v>
      </c>
      <c r="C143" s="194"/>
      <c r="D143" s="189">
        <v>-1200</v>
      </c>
      <c r="E143" s="188" t="s">
        <v>37</v>
      </c>
      <c r="F143" s="54" t="str">
        <f t="shared" si="0"/>
        <v>http://cdn.emiratesnbd.com/en/assets/Image/SCP_english.jpg</v>
      </c>
      <c r="G143" s="54" t="str">
        <f t="shared" si="1"/>
        <v>http://www.emiratesnbd.com/en/</v>
      </c>
      <c r="H143" s="2"/>
      <c r="I143" s="2"/>
      <c r="J143" s="2"/>
      <c r="K143" s="2"/>
      <c r="L143" s="2"/>
      <c r="M143" s="2"/>
      <c r="N143" s="2"/>
      <c r="O143" s="2"/>
      <c r="P143" s="2"/>
      <c r="Q143" s="2"/>
      <c r="R143" s="2"/>
      <c r="S143" s="2"/>
      <c r="T143" s="2"/>
      <c r="U143" s="2"/>
      <c r="V143" s="2"/>
      <c r="W143" s="2"/>
      <c r="X143" s="2"/>
      <c r="Y143" s="2"/>
      <c r="Z143" s="2"/>
    </row>
    <row r="144" customHeight="1" spans="1:26">
      <c r="A144" s="186" t="s">
        <v>2651</v>
      </c>
      <c r="B144" s="187" t="s">
        <v>2652</v>
      </c>
      <c r="C144" s="194"/>
      <c r="D144" s="190">
        <v>41666.66</v>
      </c>
      <c r="E144" s="188" t="s">
        <v>37</v>
      </c>
      <c r="F144" s="54" t="str">
        <f t="shared" si="0"/>
        <v>http://cdn.emiratesnbd.com/en/assets/Image/SCP_english.jpg</v>
      </c>
      <c r="G144" s="54" t="str">
        <f t="shared" si="1"/>
        <v>http://www.emiratesnbd.com/en/</v>
      </c>
      <c r="H144" s="2"/>
      <c r="I144" s="2"/>
      <c r="J144" s="2"/>
      <c r="K144" s="2"/>
      <c r="L144" s="2"/>
      <c r="M144" s="2"/>
      <c r="N144" s="2"/>
      <c r="O144" s="2"/>
      <c r="P144" s="2"/>
      <c r="Q144" s="2"/>
      <c r="R144" s="2"/>
      <c r="S144" s="2"/>
      <c r="T144" s="2"/>
      <c r="U144" s="2"/>
      <c r="V144" s="2"/>
      <c r="W144" s="2"/>
      <c r="X144" s="2"/>
      <c r="Y144" s="2"/>
      <c r="Z144" s="2"/>
    </row>
    <row r="145" customHeight="1" spans="1:26">
      <c r="A145" s="186" t="s">
        <v>2653</v>
      </c>
      <c r="B145" s="187" t="s">
        <v>2654</v>
      </c>
      <c r="C145" s="194"/>
      <c r="D145" s="189">
        <v>-430</v>
      </c>
      <c r="E145" s="188" t="s">
        <v>37</v>
      </c>
      <c r="F145" s="54" t="str">
        <f t="shared" si="0"/>
        <v>http://cdn.emiratesnbd.com/en/assets/Image/SCP_english.jpg</v>
      </c>
      <c r="G145" s="54" t="str">
        <f t="shared" si="1"/>
        <v>http://www.emiratesnbd.com/en/</v>
      </c>
      <c r="H145" s="2"/>
      <c r="I145" s="2"/>
      <c r="J145" s="2"/>
      <c r="K145" s="2"/>
      <c r="L145" s="2"/>
      <c r="M145" s="2"/>
      <c r="N145" s="2"/>
      <c r="O145" s="2"/>
      <c r="P145" s="2"/>
      <c r="Q145" s="2"/>
      <c r="R145" s="2"/>
      <c r="S145" s="2"/>
      <c r="T145" s="2"/>
      <c r="U145" s="2"/>
      <c r="V145" s="2"/>
      <c r="W145" s="2"/>
      <c r="X145" s="2"/>
      <c r="Y145" s="2"/>
      <c r="Z145" s="2"/>
    </row>
    <row r="146" customHeight="1" spans="1:26">
      <c r="A146" s="186" t="s">
        <v>2655</v>
      </c>
      <c r="B146" s="187" t="s">
        <v>2656</v>
      </c>
      <c r="C146" s="194"/>
      <c r="D146" s="189">
        <v>-2000</v>
      </c>
      <c r="E146" s="188" t="s">
        <v>37</v>
      </c>
      <c r="F146" s="54" t="str">
        <f t="shared" si="0"/>
        <v>http://cdn.emiratesnbd.com/en/assets/Image/SCP_english.jpg</v>
      </c>
      <c r="G146" s="54" t="str">
        <f t="shared" si="1"/>
        <v>http://www.emiratesnbd.com/en/</v>
      </c>
      <c r="H146" s="2"/>
      <c r="I146" s="2"/>
      <c r="J146" s="2"/>
      <c r="K146" s="2"/>
      <c r="L146" s="2"/>
      <c r="M146" s="2"/>
      <c r="N146" s="2"/>
      <c r="O146" s="2"/>
      <c r="P146" s="2"/>
      <c r="Q146" s="2"/>
      <c r="R146" s="2"/>
      <c r="S146" s="2"/>
      <c r="T146" s="2"/>
      <c r="U146" s="2"/>
      <c r="V146" s="2"/>
      <c r="W146" s="2"/>
      <c r="X146" s="2"/>
      <c r="Y146" s="2"/>
      <c r="Z146" s="2"/>
    </row>
    <row r="147" customHeight="1" spans="1:26">
      <c r="A147" s="186" t="s">
        <v>2657</v>
      </c>
      <c r="B147" s="187" t="s">
        <v>2658</v>
      </c>
      <c r="C147" s="194"/>
      <c r="D147" s="189">
        <v>-6000</v>
      </c>
      <c r="E147" s="188" t="s">
        <v>37</v>
      </c>
      <c r="F147" s="54" t="str">
        <f t="shared" si="0"/>
        <v>http://cdn.emiratesnbd.com/en/assets/Image/SCP_english.jpg</v>
      </c>
      <c r="G147" s="54" t="str">
        <f t="shared" si="1"/>
        <v>http://www.emiratesnbd.com/en/</v>
      </c>
      <c r="H147" s="2"/>
      <c r="I147" s="2"/>
      <c r="J147" s="2"/>
      <c r="K147" s="2"/>
      <c r="L147" s="2"/>
      <c r="M147" s="2"/>
      <c r="N147" s="2"/>
      <c r="O147" s="2"/>
      <c r="P147" s="2"/>
      <c r="Q147" s="2"/>
      <c r="R147" s="2"/>
      <c r="S147" s="2"/>
      <c r="T147" s="2"/>
      <c r="U147" s="2"/>
      <c r="V147" s="2"/>
      <c r="W147" s="2"/>
      <c r="X147" s="2"/>
      <c r="Y147" s="2"/>
      <c r="Z147" s="2"/>
    </row>
    <row r="148" customHeight="1" spans="1:26">
      <c r="A148" s="186" t="s">
        <v>2659</v>
      </c>
      <c r="B148" s="187" t="s">
        <v>2660</v>
      </c>
      <c r="C148" s="194"/>
      <c r="D148" s="189">
        <v>-700</v>
      </c>
      <c r="E148" s="188" t="s">
        <v>37</v>
      </c>
      <c r="F148" s="54" t="str">
        <f t="shared" si="0"/>
        <v>http://cdn.emiratesnbd.com/en/assets/Image/SCP_english.jpg</v>
      </c>
      <c r="G148" s="54" t="str">
        <f t="shared" si="1"/>
        <v>http://www.emiratesnbd.com/en/</v>
      </c>
      <c r="H148" s="2"/>
      <c r="I148" s="2"/>
      <c r="J148" s="2"/>
      <c r="K148" s="2"/>
      <c r="L148" s="2"/>
      <c r="M148" s="2"/>
      <c r="N148" s="2"/>
      <c r="O148" s="2"/>
      <c r="P148" s="2"/>
      <c r="Q148" s="2"/>
      <c r="R148" s="2"/>
      <c r="S148" s="2"/>
      <c r="T148" s="2"/>
      <c r="U148" s="2"/>
      <c r="V148" s="2"/>
      <c r="W148" s="2"/>
      <c r="X148" s="2"/>
      <c r="Y148" s="2"/>
      <c r="Z148" s="2"/>
    </row>
    <row r="149" customHeight="1" spans="1:26">
      <c r="A149" s="186" t="s">
        <v>2661</v>
      </c>
      <c r="B149" s="187" t="s">
        <v>2662</v>
      </c>
      <c r="C149" s="194"/>
      <c r="D149" s="189">
        <v>890</v>
      </c>
      <c r="E149" s="188" t="s">
        <v>37</v>
      </c>
      <c r="F149" s="54" t="str">
        <f t="shared" si="0"/>
        <v>http://cdn.emiratesnbd.com/en/assets/Image/SCP_english.jpg</v>
      </c>
      <c r="G149" s="54" t="str">
        <f t="shared" si="1"/>
        <v>http://www.emiratesnbd.com/en/</v>
      </c>
      <c r="H149" s="2"/>
      <c r="I149" s="2"/>
      <c r="J149" s="2"/>
      <c r="K149" s="2"/>
      <c r="L149" s="2"/>
      <c r="M149" s="2"/>
      <c r="N149" s="2"/>
      <c r="O149" s="2"/>
      <c r="P149" s="2"/>
      <c r="Q149" s="2"/>
      <c r="R149" s="2"/>
      <c r="S149" s="2"/>
      <c r="T149" s="2"/>
      <c r="U149" s="2"/>
      <c r="V149" s="2"/>
      <c r="W149" s="2"/>
      <c r="X149" s="2"/>
      <c r="Y149" s="2"/>
      <c r="Z149" s="2"/>
    </row>
    <row r="150" customHeight="1" spans="1:26">
      <c r="A150" s="186" t="s">
        <v>2663</v>
      </c>
      <c r="B150" s="187" t="s">
        <v>2664</v>
      </c>
      <c r="C150" s="194"/>
      <c r="D150" s="189">
        <v>-5000</v>
      </c>
      <c r="E150" s="188" t="s">
        <v>37</v>
      </c>
      <c r="F150" s="54" t="str">
        <f t="shared" si="0"/>
        <v>http://cdn.emiratesnbd.com/en/assets/Image/SCP_english.jpg</v>
      </c>
      <c r="G150" s="54" t="str">
        <f t="shared" si="1"/>
        <v>http://www.emiratesnbd.com/en/</v>
      </c>
      <c r="H150" s="2"/>
      <c r="I150" s="2"/>
      <c r="J150" s="2"/>
      <c r="K150" s="2"/>
      <c r="L150" s="2"/>
      <c r="M150" s="2"/>
      <c r="N150" s="2"/>
      <c r="O150" s="2"/>
      <c r="P150" s="2"/>
      <c r="Q150" s="2"/>
      <c r="R150" s="2"/>
      <c r="S150" s="2"/>
      <c r="T150" s="2"/>
      <c r="U150" s="2"/>
      <c r="V150" s="2"/>
      <c r="W150" s="2"/>
      <c r="X150" s="2"/>
      <c r="Y150" s="2"/>
      <c r="Z150" s="2"/>
    </row>
    <row r="151" customHeight="1" spans="1:26">
      <c r="A151" s="186" t="s">
        <v>2665</v>
      </c>
      <c r="B151" s="187" t="s">
        <v>2666</v>
      </c>
      <c r="C151" s="194"/>
      <c r="D151" s="190">
        <v>5000</v>
      </c>
      <c r="E151" s="188" t="s">
        <v>37</v>
      </c>
      <c r="F151" s="54" t="str">
        <f t="shared" si="0"/>
        <v>http://cdn.emiratesnbd.com/en/assets/Image/SCP_english.jpg</v>
      </c>
      <c r="G151" s="54" t="str">
        <f t="shared" si="1"/>
        <v>http://www.emiratesnbd.com/en/</v>
      </c>
      <c r="H151" s="2"/>
      <c r="I151" s="2"/>
      <c r="J151" s="2"/>
      <c r="K151" s="2"/>
      <c r="L151" s="2"/>
      <c r="M151" s="2"/>
      <c r="N151" s="2"/>
      <c r="O151" s="2"/>
      <c r="P151" s="2"/>
      <c r="Q151" s="2"/>
      <c r="R151" s="2"/>
      <c r="S151" s="2"/>
      <c r="T151" s="2"/>
      <c r="U151" s="2"/>
      <c r="V151" s="2"/>
      <c r="W151" s="2"/>
      <c r="X151" s="2"/>
      <c r="Y151" s="2"/>
      <c r="Z151" s="2"/>
    </row>
    <row r="152" customHeight="1" spans="1:26">
      <c r="A152" s="186" t="s">
        <v>2667</v>
      </c>
      <c r="B152" s="187" t="s">
        <v>2668</v>
      </c>
      <c r="C152" s="194"/>
      <c r="D152" s="190">
        <v>25000</v>
      </c>
      <c r="E152" s="188" t="s">
        <v>37</v>
      </c>
      <c r="F152" s="54" t="str">
        <f t="shared" si="0"/>
        <v>http://cdn.emiratesnbd.com/en/assets/Image/SCP_english.jpg</v>
      </c>
      <c r="G152" s="54" t="str">
        <f t="shared" si="1"/>
        <v>http://www.emiratesnbd.com/en/</v>
      </c>
      <c r="H152" s="2"/>
      <c r="I152" s="2"/>
      <c r="J152" s="2"/>
      <c r="K152" s="2"/>
      <c r="L152" s="2"/>
      <c r="M152" s="2"/>
      <c r="N152" s="2"/>
      <c r="O152" s="2"/>
      <c r="P152" s="2"/>
      <c r="Q152" s="2"/>
      <c r="R152" s="2"/>
      <c r="S152" s="2"/>
      <c r="T152" s="2"/>
      <c r="U152" s="2"/>
      <c r="V152" s="2"/>
      <c r="W152" s="2"/>
      <c r="X152" s="2"/>
      <c r="Y152" s="2"/>
      <c r="Z152" s="2"/>
    </row>
    <row r="153" customHeight="1" spans="1:26">
      <c r="A153" s="186" t="s">
        <v>2669</v>
      </c>
      <c r="B153" s="187" t="s">
        <v>2670</v>
      </c>
      <c r="C153" s="194"/>
      <c r="D153" s="189">
        <v>-2500</v>
      </c>
      <c r="E153" s="188" t="s">
        <v>37</v>
      </c>
      <c r="F153" s="54" t="str">
        <f t="shared" si="0"/>
        <v>http://cdn.emiratesnbd.com/en/assets/Image/SCP_english.jpg</v>
      </c>
      <c r="G153" s="54" t="str">
        <f t="shared" si="1"/>
        <v>http://www.emiratesnbd.com/en/</v>
      </c>
      <c r="H153" s="2"/>
      <c r="I153" s="2"/>
      <c r="J153" s="2"/>
      <c r="K153" s="2"/>
      <c r="L153" s="2"/>
      <c r="M153" s="2"/>
      <c r="N153" s="2"/>
      <c r="O153" s="2"/>
      <c r="P153" s="2"/>
      <c r="Q153" s="2"/>
      <c r="R153" s="2"/>
      <c r="S153" s="2"/>
      <c r="T153" s="2"/>
      <c r="U153" s="2"/>
      <c r="V153" s="2"/>
      <c r="W153" s="2"/>
      <c r="X153" s="2"/>
      <c r="Y153" s="2"/>
      <c r="Z153" s="2"/>
    </row>
    <row r="154" customHeight="1" spans="1:26">
      <c r="A154" s="186" t="s">
        <v>2671</v>
      </c>
      <c r="B154" s="187" t="s">
        <v>2672</v>
      </c>
      <c r="C154" s="194"/>
      <c r="D154" s="189">
        <v>700</v>
      </c>
      <c r="E154" s="188" t="s">
        <v>37</v>
      </c>
      <c r="F154" s="54" t="str">
        <f t="shared" si="0"/>
        <v>http://cdn.emiratesnbd.com/en/assets/Image/SCP_english.jpg</v>
      </c>
      <c r="G154" s="54" t="str">
        <f t="shared" si="1"/>
        <v>http://www.emiratesnbd.com/en/</v>
      </c>
      <c r="H154" s="2"/>
      <c r="I154" s="2"/>
      <c r="J154" s="2"/>
      <c r="K154" s="2"/>
      <c r="L154" s="2"/>
      <c r="M154" s="2"/>
      <c r="N154" s="2"/>
      <c r="O154" s="2"/>
      <c r="P154" s="2"/>
      <c r="Q154" s="2"/>
      <c r="R154" s="2"/>
      <c r="S154" s="2"/>
      <c r="T154" s="2"/>
      <c r="U154" s="2"/>
      <c r="V154" s="2"/>
      <c r="W154" s="2"/>
      <c r="X154" s="2"/>
      <c r="Y154" s="2"/>
      <c r="Z154" s="2"/>
    </row>
    <row r="155" customHeight="1" spans="1:26">
      <c r="A155" s="186" t="s">
        <v>2673</v>
      </c>
      <c r="B155" s="187" t="s">
        <v>2674</v>
      </c>
      <c r="C155" s="194"/>
      <c r="D155" s="190">
        <v>80000</v>
      </c>
      <c r="E155" s="188" t="s">
        <v>37</v>
      </c>
      <c r="F155" s="54" t="str">
        <f t="shared" si="0"/>
        <v>http://cdn.emiratesnbd.com/en/assets/Image/SCP_english.jpg</v>
      </c>
      <c r="G155" s="54" t="str">
        <f t="shared" si="1"/>
        <v>http://www.emiratesnbd.com/en/</v>
      </c>
      <c r="H155" s="2"/>
      <c r="I155" s="2"/>
      <c r="J155" s="2"/>
      <c r="K155" s="2"/>
      <c r="L155" s="2"/>
      <c r="M155" s="2"/>
      <c r="N155" s="2"/>
      <c r="O155" s="2"/>
      <c r="P155" s="2"/>
      <c r="Q155" s="2"/>
      <c r="R155" s="2"/>
      <c r="S155" s="2"/>
      <c r="T155" s="2"/>
      <c r="U155" s="2"/>
      <c r="V155" s="2"/>
      <c r="W155" s="2"/>
      <c r="X155" s="2"/>
      <c r="Y155" s="2"/>
      <c r="Z155" s="2"/>
    </row>
    <row r="156" customHeight="1" spans="1:26">
      <c r="A156" s="186" t="s">
        <v>2675</v>
      </c>
      <c r="B156" s="187" t="s">
        <v>2676</v>
      </c>
      <c r="C156" s="194"/>
      <c r="D156" s="189">
        <v>-200</v>
      </c>
      <c r="E156" s="188" t="s">
        <v>37</v>
      </c>
      <c r="F156" s="54" t="str">
        <f t="shared" si="0"/>
        <v>http://cdn.emiratesnbd.com/en/assets/Image/SCP_english.jpg</v>
      </c>
      <c r="G156" s="54" t="str">
        <f t="shared" si="1"/>
        <v>http://www.emiratesnbd.com/en/</v>
      </c>
      <c r="H156" s="2"/>
      <c r="I156" s="2"/>
      <c r="J156" s="2"/>
      <c r="K156" s="2"/>
      <c r="L156" s="2"/>
      <c r="M156" s="2"/>
      <c r="N156" s="2"/>
      <c r="O156" s="2"/>
      <c r="P156" s="2"/>
      <c r="Q156" s="2"/>
      <c r="R156" s="2"/>
      <c r="S156" s="2"/>
      <c r="T156" s="2"/>
      <c r="U156" s="2"/>
      <c r="V156" s="2"/>
      <c r="W156" s="2"/>
      <c r="X156" s="2"/>
      <c r="Y156" s="2"/>
      <c r="Z156" s="2"/>
    </row>
    <row r="157" customHeight="1" spans="1:26">
      <c r="A157" s="186" t="s">
        <v>2677</v>
      </c>
      <c r="B157" s="187" t="s">
        <v>2678</v>
      </c>
      <c r="C157" s="194"/>
      <c r="D157" s="189">
        <v>-2000</v>
      </c>
      <c r="E157" s="188" t="s">
        <v>37</v>
      </c>
      <c r="F157" s="54" t="str">
        <f t="shared" si="0"/>
        <v>http://cdn.emiratesnbd.com/en/assets/Image/SCP_english.jpg</v>
      </c>
      <c r="G157" s="54" t="str">
        <f t="shared" si="1"/>
        <v>http://www.emiratesnbd.com/en/</v>
      </c>
      <c r="H157" s="2"/>
      <c r="I157" s="2"/>
      <c r="J157" s="2"/>
      <c r="K157" s="2"/>
      <c r="L157" s="2"/>
      <c r="M157" s="2"/>
      <c r="N157" s="2"/>
      <c r="O157" s="2"/>
      <c r="P157" s="2"/>
      <c r="Q157" s="2"/>
      <c r="R157" s="2"/>
      <c r="S157" s="2"/>
      <c r="T157" s="2"/>
      <c r="U157" s="2"/>
      <c r="V157" s="2"/>
      <c r="W157" s="2"/>
      <c r="X157" s="2"/>
      <c r="Y157" s="2"/>
      <c r="Z157" s="2"/>
    </row>
    <row r="158" customHeight="1" spans="1:26">
      <c r="A158" s="186" t="s">
        <v>2679</v>
      </c>
      <c r="B158" s="187" t="s">
        <v>2680</v>
      </c>
      <c r="C158" s="194"/>
      <c r="D158" s="189">
        <v>-6000</v>
      </c>
      <c r="E158" s="188" t="s">
        <v>37</v>
      </c>
      <c r="F158" s="54" t="str">
        <f t="shared" si="0"/>
        <v>http://cdn.emiratesnbd.com/en/assets/Image/SCP_english.jpg</v>
      </c>
      <c r="G158" s="54" t="str">
        <f t="shared" si="1"/>
        <v>http://www.emiratesnbd.com/en/</v>
      </c>
      <c r="H158" s="2"/>
      <c r="I158" s="2"/>
      <c r="J158" s="2"/>
      <c r="K158" s="2"/>
      <c r="L158" s="2"/>
      <c r="M158" s="2"/>
      <c r="N158" s="2"/>
      <c r="O158" s="2"/>
      <c r="P158" s="2"/>
      <c r="Q158" s="2"/>
      <c r="R158" s="2"/>
      <c r="S158" s="2"/>
      <c r="T158" s="2"/>
      <c r="U158" s="2"/>
      <c r="V158" s="2"/>
      <c r="W158" s="2"/>
      <c r="X158" s="2"/>
      <c r="Y158" s="2"/>
      <c r="Z158" s="2"/>
    </row>
    <row r="159" customHeight="1" spans="1:26">
      <c r="A159" s="186" t="s">
        <v>2681</v>
      </c>
      <c r="B159" s="187" t="s">
        <v>2682</v>
      </c>
      <c r="C159" s="194"/>
      <c r="D159" s="189">
        <v>-800</v>
      </c>
      <c r="E159" s="188" t="s">
        <v>37</v>
      </c>
      <c r="F159" s="54" t="str">
        <f t="shared" si="0"/>
        <v>http://cdn.emiratesnbd.com/en/assets/Image/SCP_english.jpg</v>
      </c>
      <c r="G159" s="54" t="str">
        <f t="shared" si="1"/>
        <v>http://www.emiratesnbd.com/en/</v>
      </c>
      <c r="H159" s="2"/>
      <c r="I159" s="2"/>
      <c r="J159" s="2"/>
      <c r="K159" s="2"/>
      <c r="L159" s="2"/>
      <c r="M159" s="2"/>
      <c r="N159" s="2"/>
      <c r="O159" s="2"/>
      <c r="P159" s="2"/>
      <c r="Q159" s="2"/>
      <c r="R159" s="2"/>
      <c r="S159" s="2"/>
      <c r="T159" s="2"/>
      <c r="U159" s="2"/>
      <c r="V159" s="2"/>
      <c r="W159" s="2"/>
      <c r="X159" s="2"/>
      <c r="Y159" s="2"/>
      <c r="Z159" s="2"/>
    </row>
    <row r="160" customHeight="1" spans="1:26">
      <c r="A160" s="186" t="s">
        <v>2683</v>
      </c>
      <c r="B160" s="187" t="s">
        <v>2684</v>
      </c>
      <c r="C160" s="194"/>
      <c r="D160" s="189">
        <v>-450</v>
      </c>
      <c r="E160" s="188" t="s">
        <v>37</v>
      </c>
      <c r="F160" s="54" t="str">
        <f t="shared" si="0"/>
        <v>http://cdn.emiratesnbd.com/en/assets/Image/SCP_english.jpg</v>
      </c>
      <c r="G160" s="54" t="str">
        <f t="shared" si="1"/>
        <v>http://www.emiratesnbd.com/en/</v>
      </c>
      <c r="H160" s="2"/>
      <c r="I160" s="2"/>
      <c r="J160" s="2"/>
      <c r="K160" s="2"/>
      <c r="L160" s="2"/>
      <c r="M160" s="2"/>
      <c r="N160" s="2"/>
      <c r="O160" s="2"/>
      <c r="P160" s="2"/>
      <c r="Q160" s="2"/>
      <c r="R160" s="2"/>
      <c r="S160" s="2"/>
      <c r="T160" s="2"/>
      <c r="U160" s="2"/>
      <c r="V160" s="2"/>
      <c r="W160" s="2"/>
      <c r="X160" s="2"/>
      <c r="Y160" s="2"/>
      <c r="Z160" s="2"/>
    </row>
    <row r="161" customHeight="1" spans="1:26">
      <c r="A161" s="186" t="s">
        <v>2685</v>
      </c>
      <c r="B161" s="187" t="s">
        <v>2686</v>
      </c>
      <c r="C161" s="194"/>
      <c r="D161" s="189">
        <v>-7000</v>
      </c>
      <c r="E161" s="188" t="s">
        <v>37</v>
      </c>
      <c r="F161" s="54" t="str">
        <f t="shared" si="0"/>
        <v>http://cdn.emiratesnbd.com/en/assets/Image/SCP_english.jpg</v>
      </c>
      <c r="G161" s="54" t="str">
        <f t="shared" si="1"/>
        <v>http://www.emiratesnbd.com/en/</v>
      </c>
      <c r="H161" s="2"/>
      <c r="I161" s="2"/>
      <c r="J161" s="2"/>
      <c r="K161" s="2"/>
      <c r="L161" s="2"/>
      <c r="M161" s="2"/>
      <c r="N161" s="2"/>
      <c r="O161" s="2"/>
      <c r="P161" s="2"/>
      <c r="Q161" s="2"/>
      <c r="R161" s="2"/>
      <c r="S161" s="2"/>
      <c r="T161" s="2"/>
      <c r="U161" s="2"/>
      <c r="V161" s="2"/>
      <c r="W161" s="2"/>
      <c r="X161" s="2"/>
      <c r="Y161" s="2"/>
      <c r="Z161" s="2"/>
    </row>
    <row r="162" customHeight="1" spans="1:26">
      <c r="A162" s="186" t="s">
        <v>2687</v>
      </c>
      <c r="B162" s="187" t="s">
        <v>2688</v>
      </c>
      <c r="C162" s="194"/>
      <c r="D162" s="189">
        <v>-1000</v>
      </c>
      <c r="E162" s="188" t="s">
        <v>37</v>
      </c>
      <c r="F162" s="54" t="str">
        <f t="shared" si="0"/>
        <v>http://cdn.emiratesnbd.com/en/assets/Image/SCP_english.jpg</v>
      </c>
      <c r="G162" s="54" t="str">
        <f t="shared" si="1"/>
        <v>http://www.emiratesnbd.com/en/</v>
      </c>
      <c r="H162" s="2"/>
      <c r="I162" s="2"/>
      <c r="J162" s="2"/>
      <c r="K162" s="2"/>
      <c r="L162" s="2"/>
      <c r="M162" s="2"/>
      <c r="N162" s="2"/>
      <c r="O162" s="2"/>
      <c r="P162" s="2"/>
      <c r="Q162" s="2"/>
      <c r="R162" s="2"/>
      <c r="S162" s="2"/>
      <c r="T162" s="2"/>
      <c r="U162" s="2"/>
      <c r="V162" s="2"/>
      <c r="W162" s="2"/>
      <c r="X162" s="2"/>
      <c r="Y162" s="2"/>
      <c r="Z162" s="2"/>
    </row>
    <row r="163" customHeight="1" spans="1:26">
      <c r="A163" s="186" t="s">
        <v>2689</v>
      </c>
      <c r="B163" s="187" t="s">
        <v>2690</v>
      </c>
      <c r="C163" s="194"/>
      <c r="D163" s="189">
        <v>-4500</v>
      </c>
      <c r="E163" s="188" t="s">
        <v>37</v>
      </c>
      <c r="F163" s="54" t="str">
        <f t="shared" si="0"/>
        <v>http://cdn.emiratesnbd.com/en/assets/Image/SCP_english.jpg</v>
      </c>
      <c r="G163" s="54" t="str">
        <f t="shared" si="1"/>
        <v>http://www.emiratesnbd.com/en/</v>
      </c>
      <c r="H163" s="2"/>
      <c r="I163" s="2"/>
      <c r="J163" s="2"/>
      <c r="K163" s="2"/>
      <c r="L163" s="2"/>
      <c r="M163" s="2"/>
      <c r="N163" s="2"/>
      <c r="O163" s="2"/>
      <c r="P163" s="2"/>
      <c r="Q163" s="2"/>
      <c r="R163" s="2"/>
      <c r="S163" s="2"/>
      <c r="T163" s="2"/>
      <c r="U163" s="2"/>
      <c r="V163" s="2"/>
      <c r="W163" s="2"/>
      <c r="X163" s="2"/>
      <c r="Y163" s="2"/>
      <c r="Z163" s="2"/>
    </row>
    <row r="164" customHeight="1" spans="1:26">
      <c r="A164" s="186" t="s">
        <v>2691</v>
      </c>
      <c r="B164" s="187" t="s">
        <v>2692</v>
      </c>
      <c r="C164" s="194"/>
      <c r="D164" s="189">
        <v>-25000</v>
      </c>
      <c r="E164" s="188" t="s">
        <v>37</v>
      </c>
      <c r="F164" s="54" t="str">
        <f t="shared" si="0"/>
        <v>http://cdn.emiratesnbd.com/en/assets/Image/SCP_english.jpg</v>
      </c>
      <c r="G164" s="54" t="str">
        <f t="shared" si="1"/>
        <v>http://www.emiratesnbd.com/en/</v>
      </c>
      <c r="H164" s="2"/>
      <c r="I164" s="2"/>
      <c r="J164" s="2"/>
      <c r="K164" s="2"/>
      <c r="L164" s="2"/>
      <c r="M164" s="2"/>
      <c r="N164" s="2"/>
      <c r="O164" s="2"/>
      <c r="P164" s="2"/>
      <c r="Q164" s="2"/>
      <c r="R164" s="2"/>
      <c r="S164" s="2"/>
      <c r="T164" s="2"/>
      <c r="U164" s="2"/>
      <c r="V164" s="2"/>
      <c r="W164" s="2"/>
      <c r="X164" s="2"/>
      <c r="Y164" s="2"/>
      <c r="Z164" s="2"/>
    </row>
    <row r="165" customHeight="1" spans="1:26">
      <c r="A165" s="186" t="s">
        <v>2693</v>
      </c>
      <c r="B165" s="187" t="s">
        <v>2694</v>
      </c>
      <c r="C165" s="194"/>
      <c r="D165" s="189">
        <v>-400</v>
      </c>
      <c r="E165" s="188" t="s">
        <v>37</v>
      </c>
      <c r="F165" s="54" t="str">
        <f t="shared" si="0"/>
        <v>http://cdn.emiratesnbd.com/en/assets/Image/SCP_english.jpg</v>
      </c>
      <c r="G165" s="54" t="str">
        <f t="shared" si="1"/>
        <v>http://www.emiratesnbd.com/en/</v>
      </c>
      <c r="H165" s="2"/>
      <c r="I165" s="2"/>
      <c r="J165" s="2"/>
      <c r="K165" s="2"/>
      <c r="L165" s="2"/>
      <c r="M165" s="2"/>
      <c r="N165" s="2"/>
      <c r="O165" s="2"/>
      <c r="P165" s="2"/>
      <c r="Q165" s="2"/>
      <c r="R165" s="2"/>
      <c r="S165" s="2"/>
      <c r="T165" s="2"/>
      <c r="U165" s="2"/>
      <c r="V165" s="2"/>
      <c r="W165" s="2"/>
      <c r="X165" s="2"/>
      <c r="Y165" s="2"/>
      <c r="Z165" s="2"/>
    </row>
    <row r="166" customHeight="1" spans="1:26">
      <c r="A166" s="186" t="s">
        <v>2695</v>
      </c>
      <c r="B166" s="187" t="s">
        <v>2696</v>
      </c>
      <c r="C166" s="194"/>
      <c r="D166" s="189">
        <v>-700</v>
      </c>
      <c r="E166" s="188" t="s">
        <v>37</v>
      </c>
      <c r="F166" s="54" t="str">
        <f t="shared" si="0"/>
        <v>http://cdn.emiratesnbd.com/en/assets/Image/SCP_english.jpg</v>
      </c>
      <c r="G166" s="54" t="str">
        <f t="shared" si="1"/>
        <v>http://www.emiratesnbd.com/en/</v>
      </c>
      <c r="H166" s="2"/>
      <c r="I166" s="2"/>
      <c r="J166" s="2"/>
      <c r="K166" s="2"/>
      <c r="L166" s="2"/>
      <c r="M166" s="2"/>
      <c r="N166" s="2"/>
      <c r="O166" s="2"/>
      <c r="P166" s="2"/>
      <c r="Q166" s="2"/>
      <c r="R166" s="2"/>
      <c r="S166" s="2"/>
      <c r="T166" s="2"/>
      <c r="U166" s="2"/>
      <c r="V166" s="2"/>
      <c r="W166" s="2"/>
      <c r="X166" s="2"/>
      <c r="Y166" s="2"/>
      <c r="Z166" s="2"/>
    </row>
    <row r="167" customHeight="1" spans="1:26">
      <c r="A167" s="186" t="s">
        <v>2697</v>
      </c>
      <c r="B167" s="187" t="s">
        <v>2698</v>
      </c>
      <c r="C167" s="194"/>
      <c r="D167" s="189">
        <v>-500</v>
      </c>
      <c r="E167" s="188" t="s">
        <v>37</v>
      </c>
      <c r="F167" s="54" t="str">
        <f t="shared" si="0"/>
        <v>http://cdn.emiratesnbd.com/en/assets/Image/SCP_english.jpg</v>
      </c>
      <c r="G167" s="54" t="str">
        <f t="shared" si="1"/>
        <v>http://www.emiratesnbd.com/en/</v>
      </c>
      <c r="H167" s="2"/>
      <c r="I167" s="2"/>
      <c r="J167" s="2"/>
      <c r="K167" s="2"/>
      <c r="L167" s="2"/>
      <c r="M167" s="2"/>
      <c r="N167" s="2"/>
      <c r="O167" s="2"/>
      <c r="P167" s="2"/>
      <c r="Q167" s="2"/>
      <c r="R167" s="2"/>
      <c r="S167" s="2"/>
      <c r="T167" s="2"/>
      <c r="U167" s="2"/>
      <c r="V167" s="2"/>
      <c r="W167" s="2"/>
      <c r="X167" s="2"/>
      <c r="Y167" s="2"/>
      <c r="Z167" s="2"/>
    </row>
    <row r="168" customHeight="1" spans="1:26">
      <c r="A168" s="57"/>
      <c r="B168" s="98"/>
      <c r="C168" s="57"/>
      <c r="D168" s="98"/>
      <c r="E168" s="196"/>
      <c r="F168" s="184"/>
      <c r="G168" s="184"/>
      <c r="H168" s="2"/>
      <c r="I168" s="2"/>
      <c r="J168" s="2"/>
      <c r="K168" s="2"/>
      <c r="L168" s="2"/>
      <c r="M168" s="2"/>
      <c r="N168" s="2"/>
      <c r="O168" s="2"/>
      <c r="P168" s="2"/>
      <c r="Q168" s="2"/>
      <c r="R168" s="2"/>
      <c r="S168" s="2"/>
      <c r="T168" s="2"/>
      <c r="U168" s="2"/>
      <c r="V168" s="2"/>
      <c r="W168" s="2"/>
      <c r="X168" s="2"/>
      <c r="Y168" s="2"/>
      <c r="Z168" s="2"/>
    </row>
    <row r="169" ht="13.5" customHeight="1"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 width="29.6607142857143" customWidth="1"/>
    <col min="2" max="2" width="23.1607142857143" customWidth="1"/>
    <col min="3" max="4" width="8.16071428571429" customWidth="1"/>
    <col min="5" max="5" width="8.5" customWidth="1"/>
    <col min="6" max="6" width="23.6607142857143" customWidth="1"/>
    <col min="7" max="7" width="25.1607142857143" customWidth="1"/>
    <col min="8" max="17" width="8.1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2699</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1643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63" t="s">
        <v>10</v>
      </c>
      <c r="B4" s="63" t="s">
        <v>2700</v>
      </c>
      <c r="C4" s="63" t="s">
        <v>12</v>
      </c>
      <c r="D4" s="98"/>
      <c r="E4" s="98"/>
      <c r="F4" s="63" t="s">
        <v>2701</v>
      </c>
      <c r="G4" s="63" t="s">
        <v>2702</v>
      </c>
      <c r="H4" s="2"/>
      <c r="I4" s="2"/>
      <c r="J4" s="2"/>
      <c r="K4" s="2"/>
      <c r="L4" s="2"/>
      <c r="M4" s="2"/>
      <c r="N4" s="2"/>
      <c r="O4" s="2"/>
      <c r="P4" s="2"/>
      <c r="Q4" s="2"/>
      <c r="R4" s="2"/>
      <c r="S4" s="2"/>
      <c r="T4" s="2"/>
      <c r="U4" s="2"/>
      <c r="V4" s="2"/>
      <c r="W4" s="2"/>
      <c r="X4" s="2"/>
      <c r="Y4" s="2"/>
      <c r="Z4" s="2"/>
    </row>
    <row r="5" customHeight="1" spans="1:26">
      <c r="A5" s="13" t="s">
        <v>15</v>
      </c>
      <c r="B5" s="13" t="s">
        <v>2703</v>
      </c>
      <c r="C5" s="13" t="s">
        <v>12</v>
      </c>
      <c r="D5" s="57"/>
      <c r="E5" s="57"/>
      <c r="F5" s="13" t="s">
        <v>2704</v>
      </c>
      <c r="G5" s="13" t="s">
        <v>2705</v>
      </c>
      <c r="H5" s="2"/>
      <c r="I5" s="2"/>
      <c r="J5" s="2"/>
      <c r="K5" s="2"/>
      <c r="L5" s="2"/>
      <c r="M5" s="2"/>
      <c r="N5" s="2"/>
      <c r="O5" s="2"/>
      <c r="P5" s="2"/>
      <c r="Q5" s="2"/>
      <c r="R5" s="2"/>
      <c r="S5" s="2"/>
      <c r="T5" s="2"/>
      <c r="U5" s="2"/>
      <c r="V5" s="2"/>
      <c r="W5" s="2"/>
      <c r="X5" s="2"/>
      <c r="Y5" s="2"/>
      <c r="Z5" s="2"/>
    </row>
    <row r="6" customHeight="1" spans="1:26">
      <c r="A6" s="13" t="s">
        <v>18</v>
      </c>
      <c r="B6" s="13" t="s">
        <v>2706</v>
      </c>
      <c r="C6" s="13" t="s">
        <v>2566</v>
      </c>
      <c r="D6" s="57"/>
      <c r="E6" s="57"/>
      <c r="F6" s="13" t="s">
        <v>2707</v>
      </c>
      <c r="G6" s="13" t="s">
        <v>2708</v>
      </c>
      <c r="H6" s="2"/>
      <c r="I6" s="2"/>
      <c r="J6" s="2"/>
      <c r="K6" s="2"/>
      <c r="L6" s="2"/>
      <c r="M6" s="2"/>
      <c r="N6" s="2"/>
      <c r="O6" s="2"/>
      <c r="P6" s="2"/>
      <c r="Q6" s="2"/>
      <c r="R6" s="2"/>
      <c r="S6" s="2"/>
      <c r="T6" s="2"/>
      <c r="U6" s="2"/>
      <c r="V6" s="2"/>
      <c r="W6" s="2"/>
      <c r="X6" s="2"/>
      <c r="Y6" s="2"/>
      <c r="Z6" s="2"/>
    </row>
    <row r="7" customHeight="1" spans="1:26">
      <c r="A7" s="13" t="s">
        <v>24</v>
      </c>
      <c r="B7" s="13" t="s">
        <v>2709</v>
      </c>
      <c r="C7" s="13" t="s">
        <v>2512</v>
      </c>
      <c r="D7" s="57"/>
      <c r="E7" s="57"/>
      <c r="F7" s="13" t="s">
        <v>2710</v>
      </c>
      <c r="G7" s="13" t="s">
        <v>2711</v>
      </c>
      <c r="H7" s="2"/>
      <c r="I7" s="2"/>
      <c r="J7" s="2"/>
      <c r="K7" s="2"/>
      <c r="L7" s="2"/>
      <c r="M7" s="2"/>
      <c r="N7" s="2"/>
      <c r="O7" s="2"/>
      <c r="P7" s="2"/>
      <c r="Q7" s="2"/>
      <c r="R7" s="2"/>
      <c r="S7" s="2"/>
      <c r="T7" s="2"/>
      <c r="U7" s="2"/>
      <c r="V7" s="2"/>
      <c r="W7" s="2"/>
      <c r="X7" s="2"/>
      <c r="Y7" s="2"/>
      <c r="Z7" s="2"/>
    </row>
    <row r="8" customHeight="1" spans="1:26">
      <c r="A8" s="64" t="s">
        <v>29</v>
      </c>
      <c r="B8" s="13" t="s">
        <v>2712</v>
      </c>
      <c r="C8" s="13" t="s">
        <v>31</v>
      </c>
      <c r="D8" s="65">
        <v>30</v>
      </c>
      <c r="E8" s="13" t="s">
        <v>32</v>
      </c>
      <c r="F8" s="13" t="s">
        <v>2713</v>
      </c>
      <c r="G8" s="13" t="s">
        <v>2714</v>
      </c>
      <c r="H8" s="2"/>
      <c r="I8" s="2"/>
      <c r="J8" s="2"/>
      <c r="K8" s="2"/>
      <c r="L8" s="2"/>
      <c r="M8" s="2"/>
      <c r="N8" s="2"/>
      <c r="O8" s="2"/>
      <c r="P8" s="2"/>
      <c r="Q8" s="2"/>
      <c r="R8" s="2"/>
      <c r="S8" s="2"/>
      <c r="T8" s="2"/>
      <c r="U8" s="2"/>
      <c r="V8" s="2"/>
      <c r="W8" s="2"/>
      <c r="X8" s="2"/>
      <c r="Y8" s="2"/>
      <c r="Z8" s="2"/>
    </row>
    <row r="9" customHeight="1" spans="1:26">
      <c r="A9" s="64" t="s">
        <v>35</v>
      </c>
      <c r="B9" s="13" t="s">
        <v>2715</v>
      </c>
      <c r="C9" s="13" t="s">
        <v>31</v>
      </c>
      <c r="D9" s="65">
        <v>30</v>
      </c>
      <c r="E9" s="13" t="s">
        <v>37</v>
      </c>
      <c r="F9" s="13" t="s">
        <v>2716</v>
      </c>
      <c r="G9" s="13" t="s">
        <v>2717</v>
      </c>
      <c r="H9" s="2"/>
      <c r="I9" s="2"/>
      <c r="J9" s="2"/>
      <c r="K9" s="2"/>
      <c r="L9" s="2"/>
      <c r="M9" s="2"/>
      <c r="N9" s="2"/>
      <c r="O9" s="2"/>
      <c r="P9" s="2"/>
      <c r="Q9" s="2"/>
      <c r="R9" s="2"/>
      <c r="S9" s="2"/>
      <c r="T9" s="2"/>
      <c r="U9" s="2"/>
      <c r="V9" s="2"/>
      <c r="W9" s="2"/>
      <c r="X9" s="2"/>
      <c r="Y9" s="2"/>
      <c r="Z9" s="2"/>
    </row>
    <row r="10" customHeight="1" spans="1:26">
      <c r="A10" s="64" t="s">
        <v>40</v>
      </c>
      <c r="B10" s="13" t="s">
        <v>41</v>
      </c>
      <c r="C10" s="13" t="s">
        <v>41</v>
      </c>
      <c r="D10" s="65">
        <v>106</v>
      </c>
      <c r="E10" s="13" t="s">
        <v>21</v>
      </c>
      <c r="F10" s="13" t="s">
        <v>42</v>
      </c>
      <c r="G10" s="13" t="s">
        <v>43</v>
      </c>
      <c r="H10" s="2"/>
      <c r="I10" s="2"/>
      <c r="J10" s="2"/>
      <c r="K10" s="2"/>
      <c r="L10" s="2"/>
      <c r="M10" s="2"/>
      <c r="N10" s="2"/>
      <c r="O10" s="2"/>
      <c r="P10" s="2"/>
      <c r="Q10" s="2"/>
      <c r="R10" s="2"/>
      <c r="S10" s="2"/>
      <c r="T10" s="2"/>
      <c r="U10" s="2"/>
      <c r="V10" s="2"/>
      <c r="W10" s="2"/>
      <c r="X10" s="2"/>
      <c r="Y10" s="2"/>
      <c r="Z10" s="2"/>
    </row>
    <row r="11" customHeight="1" spans="1:26">
      <c r="A11" s="13" t="s">
        <v>44</v>
      </c>
      <c r="B11" s="13" t="s">
        <v>2718</v>
      </c>
      <c r="C11" s="13" t="s">
        <v>664</v>
      </c>
      <c r="D11" s="57"/>
      <c r="E11" s="57"/>
      <c r="F11" s="13" t="s">
        <v>2719</v>
      </c>
      <c r="G11" s="13" t="s">
        <v>2720</v>
      </c>
      <c r="H11" s="2"/>
      <c r="I11" s="2"/>
      <c r="J11" s="2"/>
      <c r="K11" s="2"/>
      <c r="L11" s="2"/>
      <c r="M11" s="2"/>
      <c r="N11" s="2"/>
      <c r="O11" s="2"/>
      <c r="P11" s="2"/>
      <c r="Q11" s="2"/>
      <c r="R11" s="2"/>
      <c r="S11" s="2"/>
      <c r="T11" s="2"/>
      <c r="U11" s="2"/>
      <c r="V11" s="2"/>
      <c r="W11" s="2"/>
      <c r="X11" s="2"/>
      <c r="Y11" s="2"/>
      <c r="Z11" s="2"/>
    </row>
    <row r="12" customHeight="1" spans="1:26">
      <c r="A12" s="13" t="s">
        <v>49</v>
      </c>
      <c r="B12" s="13" t="s">
        <v>2721</v>
      </c>
      <c r="C12" s="13" t="s">
        <v>2579</v>
      </c>
      <c r="D12" s="57"/>
      <c r="E12" s="57"/>
      <c r="F12" s="13" t="s">
        <v>2722</v>
      </c>
      <c r="G12" s="13" t="s">
        <v>2723</v>
      </c>
      <c r="H12" s="2"/>
      <c r="I12" s="2"/>
      <c r="J12" s="2"/>
      <c r="K12" s="2"/>
      <c r="L12" s="2"/>
      <c r="M12" s="2"/>
      <c r="N12" s="2"/>
      <c r="O12" s="2"/>
      <c r="P12" s="2"/>
      <c r="Q12" s="2"/>
      <c r="R12" s="2"/>
      <c r="S12" s="2"/>
      <c r="T12" s="2"/>
      <c r="U12" s="2"/>
      <c r="V12" s="2"/>
      <c r="W12" s="2"/>
      <c r="X12" s="2"/>
      <c r="Y12" s="2"/>
      <c r="Z12" s="2"/>
    </row>
    <row r="13" customHeight="1" spans="1:26">
      <c r="A13" s="13" t="s">
        <v>54</v>
      </c>
      <c r="B13" s="13" t="s">
        <v>2724</v>
      </c>
      <c r="C13" s="13" t="s">
        <v>2583</v>
      </c>
      <c r="D13" s="57"/>
      <c r="E13" s="57"/>
      <c r="F13" s="13" t="s">
        <v>2725</v>
      </c>
      <c r="G13" s="13" t="s">
        <v>2726</v>
      </c>
      <c r="H13" s="2"/>
      <c r="I13" s="2"/>
      <c r="J13" s="2"/>
      <c r="K13" s="2"/>
      <c r="L13" s="2"/>
      <c r="M13" s="2"/>
      <c r="N13" s="2"/>
      <c r="O13" s="2"/>
      <c r="P13" s="2"/>
      <c r="Q13" s="2"/>
      <c r="R13" s="2"/>
      <c r="S13" s="2"/>
      <c r="T13" s="2"/>
      <c r="U13" s="2"/>
      <c r="V13" s="2"/>
      <c r="W13" s="2"/>
      <c r="X13" s="2"/>
      <c r="Y13" s="2"/>
      <c r="Z13" s="2"/>
    </row>
    <row r="14" customHeight="1" spans="1:26">
      <c r="A14" s="64" t="s">
        <v>59</v>
      </c>
      <c r="B14" s="13" t="s">
        <v>2727</v>
      </c>
      <c r="C14" s="13" t="s">
        <v>61</v>
      </c>
      <c r="D14" s="65">
        <v>13</v>
      </c>
      <c r="E14" s="13" t="s">
        <v>37</v>
      </c>
      <c r="F14" s="13" t="s">
        <v>2728</v>
      </c>
      <c r="G14" s="2" t="s">
        <v>2729</v>
      </c>
      <c r="H14" s="2"/>
      <c r="I14" s="2"/>
      <c r="J14" s="2"/>
      <c r="K14" s="2"/>
      <c r="L14" s="2"/>
      <c r="M14" s="2"/>
      <c r="N14" s="2"/>
      <c r="O14" s="2"/>
      <c r="P14" s="2"/>
      <c r="Q14" s="2"/>
      <c r="R14" s="2"/>
      <c r="S14" s="2"/>
      <c r="T14" s="2"/>
      <c r="U14" s="2"/>
      <c r="V14" s="2"/>
      <c r="W14" s="2"/>
      <c r="X14" s="2"/>
      <c r="Y14" s="2"/>
      <c r="Z14" s="2"/>
    </row>
    <row r="15" customHeight="1" spans="1:26">
      <c r="A15" s="64" t="s">
        <v>64</v>
      </c>
      <c r="B15" s="13" t="s">
        <v>2730</v>
      </c>
      <c r="C15" s="13" t="s">
        <v>66</v>
      </c>
      <c r="D15" s="65">
        <v>13</v>
      </c>
      <c r="E15" s="13" t="s">
        <v>32</v>
      </c>
      <c r="F15" s="13" t="s">
        <v>2731</v>
      </c>
      <c r="G15" s="13" t="s">
        <v>2732</v>
      </c>
      <c r="H15" s="2"/>
      <c r="I15" s="2"/>
      <c r="J15" s="2"/>
      <c r="K15" s="2"/>
      <c r="L15" s="2"/>
      <c r="M15" s="2"/>
      <c r="N15" s="2"/>
      <c r="O15" s="2"/>
      <c r="P15" s="2"/>
      <c r="Q15" s="2"/>
      <c r="R15" s="2"/>
      <c r="S15" s="2"/>
      <c r="T15" s="2"/>
      <c r="U15" s="2"/>
      <c r="V15" s="2"/>
      <c r="W15" s="2"/>
      <c r="X15" s="2"/>
      <c r="Y15" s="2"/>
      <c r="Z15" s="2"/>
    </row>
    <row r="16" customHeight="1" spans="1:26">
      <c r="A16" s="64" t="s">
        <v>69</v>
      </c>
      <c r="B16" s="13" t="s">
        <v>2733</v>
      </c>
      <c r="C16" s="13" t="s">
        <v>66</v>
      </c>
      <c r="D16" s="65">
        <v>12</v>
      </c>
      <c r="E16" s="13" t="s">
        <v>71</v>
      </c>
      <c r="F16" s="13" t="s">
        <v>2734</v>
      </c>
      <c r="G16" s="13" t="s">
        <v>2735</v>
      </c>
      <c r="H16" s="2"/>
      <c r="I16" s="2"/>
      <c r="J16" s="2"/>
      <c r="K16" s="2"/>
      <c r="L16" s="2"/>
      <c r="M16" s="2"/>
      <c r="N16" s="2"/>
      <c r="O16" s="2"/>
      <c r="P16" s="2"/>
      <c r="Q16" s="2"/>
      <c r="R16" s="2"/>
      <c r="S16" s="2"/>
      <c r="T16" s="2"/>
      <c r="U16" s="2"/>
      <c r="V16" s="2"/>
      <c r="W16" s="2"/>
      <c r="X16" s="2"/>
      <c r="Y16" s="2"/>
      <c r="Z16" s="2"/>
    </row>
    <row r="17" customHeight="1" spans="1:26">
      <c r="A17" s="13" t="s">
        <v>74</v>
      </c>
      <c r="B17" s="13" t="s">
        <v>2736</v>
      </c>
      <c r="C17" s="13" t="s">
        <v>2609</v>
      </c>
      <c r="D17" s="57"/>
      <c r="E17" s="57"/>
      <c r="F17" s="13" t="s">
        <v>2737</v>
      </c>
      <c r="G17" s="13" t="s">
        <v>2738</v>
      </c>
      <c r="H17" s="2"/>
      <c r="I17" s="2"/>
      <c r="J17" s="2"/>
      <c r="K17" s="2"/>
      <c r="L17" s="2"/>
      <c r="M17" s="2"/>
      <c r="N17" s="2"/>
      <c r="O17" s="2"/>
      <c r="P17" s="2"/>
      <c r="Q17" s="2"/>
      <c r="R17" s="2"/>
      <c r="S17" s="2"/>
      <c r="T17" s="2"/>
      <c r="U17" s="2"/>
      <c r="V17" s="2"/>
      <c r="W17" s="2"/>
      <c r="X17" s="2"/>
      <c r="Y17" s="2"/>
      <c r="Z17" s="2"/>
    </row>
    <row r="18" customHeight="1" spans="1:26">
      <c r="A18" s="64" t="s">
        <v>79</v>
      </c>
      <c r="B18" s="13" t="s">
        <v>2739</v>
      </c>
      <c r="C18" s="13" t="s">
        <v>81</v>
      </c>
      <c r="D18" s="65">
        <v>30</v>
      </c>
      <c r="E18" s="13" t="s">
        <v>37</v>
      </c>
      <c r="F18" s="13" t="s">
        <v>2740</v>
      </c>
      <c r="G18" s="13" t="s">
        <v>2741</v>
      </c>
      <c r="H18" s="2"/>
      <c r="I18" s="2"/>
      <c r="J18" s="2"/>
      <c r="K18" s="2"/>
      <c r="L18" s="2"/>
      <c r="M18" s="2"/>
      <c r="N18" s="2"/>
      <c r="O18" s="2"/>
      <c r="P18" s="2"/>
      <c r="Q18" s="2"/>
      <c r="R18" s="2"/>
      <c r="S18" s="2"/>
      <c r="T18" s="2"/>
      <c r="U18" s="2"/>
      <c r="V18" s="2"/>
      <c r="W18" s="2"/>
      <c r="X18" s="2"/>
      <c r="Y18" s="2"/>
      <c r="Z18" s="2"/>
    </row>
    <row r="19" customHeight="1" spans="1:26">
      <c r="A19" s="13" t="s">
        <v>84</v>
      </c>
      <c r="B19" s="13" t="s">
        <v>2742</v>
      </c>
      <c r="C19" s="13" t="s">
        <v>86</v>
      </c>
      <c r="D19" s="57"/>
      <c r="E19" s="57"/>
      <c r="F19" s="13" t="s">
        <v>2743</v>
      </c>
      <c r="G19" s="13" t="s">
        <v>2744</v>
      </c>
      <c r="H19" s="2"/>
      <c r="I19" s="2"/>
      <c r="J19" s="2"/>
      <c r="K19" s="2"/>
      <c r="L19" s="2"/>
      <c r="M19" s="2"/>
      <c r="N19" s="2"/>
      <c r="O19" s="2"/>
      <c r="P19" s="2"/>
      <c r="Q19" s="2"/>
      <c r="R19" s="2"/>
      <c r="S19" s="2"/>
      <c r="T19" s="2"/>
      <c r="U19" s="2"/>
      <c r="V19" s="2"/>
      <c r="W19" s="2"/>
      <c r="X19" s="2"/>
      <c r="Y19" s="2"/>
      <c r="Z19" s="2"/>
    </row>
    <row r="20" customHeight="1" spans="1:26">
      <c r="A20" s="13" t="s">
        <v>89</v>
      </c>
      <c r="B20" s="13" t="s">
        <v>2745</v>
      </c>
      <c r="C20" s="13" t="s">
        <v>2590</v>
      </c>
      <c r="D20" s="57"/>
      <c r="E20" s="57"/>
      <c r="F20" s="13" t="s">
        <v>2746</v>
      </c>
      <c r="G20" s="13" t="s">
        <v>2747</v>
      </c>
      <c r="H20" s="2"/>
      <c r="I20" s="2"/>
      <c r="J20" s="2"/>
      <c r="K20" s="2"/>
      <c r="L20" s="2"/>
      <c r="M20" s="2"/>
      <c r="N20" s="2"/>
      <c r="O20" s="2"/>
      <c r="P20" s="2"/>
      <c r="Q20" s="2"/>
      <c r="R20" s="2"/>
      <c r="S20" s="2"/>
      <c r="T20" s="2"/>
      <c r="U20" s="2"/>
      <c r="V20" s="2"/>
      <c r="W20" s="2"/>
      <c r="X20" s="2"/>
      <c r="Y20" s="2"/>
      <c r="Z20" s="2"/>
    </row>
    <row r="21" customHeight="1" spans="1:26">
      <c r="A21" s="64" t="s">
        <v>94</v>
      </c>
      <c r="B21" s="13" t="s">
        <v>1691</v>
      </c>
      <c r="C21" s="13" t="s">
        <v>925</v>
      </c>
      <c r="D21" s="65">
        <v>60</v>
      </c>
      <c r="E21" s="13" t="s">
        <v>71</v>
      </c>
      <c r="F21" s="13" t="s">
        <v>1692</v>
      </c>
      <c r="G21" s="13" t="s">
        <v>2748</v>
      </c>
      <c r="H21" s="2"/>
      <c r="I21" s="2"/>
      <c r="J21" s="2"/>
      <c r="K21" s="2"/>
      <c r="L21" s="2"/>
      <c r="M21" s="2"/>
      <c r="N21" s="2"/>
      <c r="O21" s="2"/>
      <c r="P21" s="2"/>
      <c r="Q21" s="2"/>
      <c r="R21" s="2"/>
      <c r="S21" s="2"/>
      <c r="T21" s="2"/>
      <c r="U21" s="2"/>
      <c r="V21" s="2"/>
      <c r="W21" s="2"/>
      <c r="X21" s="2"/>
      <c r="Y21" s="2"/>
      <c r="Z21" s="2"/>
    </row>
    <row r="22" customHeight="1" spans="1:26">
      <c r="A22" s="64" t="s">
        <v>99</v>
      </c>
      <c r="B22" s="13" t="s">
        <v>928</v>
      </c>
      <c r="C22" s="13" t="s">
        <v>925</v>
      </c>
      <c r="D22" s="65">
        <v>70</v>
      </c>
      <c r="E22" s="13" t="s">
        <v>32</v>
      </c>
      <c r="F22" s="13" t="s">
        <v>929</v>
      </c>
      <c r="G22" s="13" t="s">
        <v>2749</v>
      </c>
      <c r="H22" s="2"/>
      <c r="I22" s="2"/>
      <c r="J22" s="2"/>
      <c r="K22" s="2"/>
      <c r="L22" s="2"/>
      <c r="M22" s="2"/>
      <c r="N22" s="2"/>
      <c r="O22" s="2"/>
      <c r="P22" s="2"/>
      <c r="Q22" s="2"/>
      <c r="R22" s="2"/>
      <c r="S22" s="2"/>
      <c r="T22" s="2"/>
      <c r="U22" s="2"/>
      <c r="V22" s="2"/>
      <c r="W22" s="2"/>
      <c r="X22" s="2"/>
      <c r="Y22" s="2"/>
      <c r="Z22" s="2"/>
    </row>
    <row r="23" customHeight="1" spans="1:26">
      <c r="A23" s="13" t="s">
        <v>102</v>
      </c>
      <c r="B23" s="13" t="s">
        <v>2750</v>
      </c>
      <c r="C23" s="13" t="s">
        <v>108</v>
      </c>
      <c r="D23" s="57"/>
      <c r="E23" s="57"/>
      <c r="F23" s="13" t="s">
        <v>2751</v>
      </c>
      <c r="G23" s="13" t="s">
        <v>2752</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2753</v>
      </c>
      <c r="H24" s="2"/>
      <c r="I24" s="2"/>
      <c r="J24" s="2"/>
      <c r="K24" s="2"/>
      <c r="L24" s="2"/>
      <c r="M24" s="2"/>
      <c r="N24" s="2"/>
      <c r="O24" s="2"/>
      <c r="P24" s="2"/>
      <c r="Q24" s="2"/>
      <c r="R24" s="2"/>
      <c r="S24" s="2"/>
      <c r="T24" s="2"/>
      <c r="U24" s="2"/>
      <c r="V24" s="2"/>
      <c r="W24" s="2"/>
      <c r="X24" s="2"/>
      <c r="Y24" s="2"/>
      <c r="Z24" s="2"/>
    </row>
    <row r="25" customHeight="1" spans="1:26">
      <c r="A25" s="13" t="s">
        <v>110</v>
      </c>
      <c r="B25" s="13" t="s">
        <v>2754</v>
      </c>
      <c r="C25" s="13" t="s">
        <v>112</v>
      </c>
      <c r="D25" s="57"/>
      <c r="E25" s="57"/>
      <c r="F25" s="13" t="s">
        <v>2755</v>
      </c>
      <c r="G25" s="13" t="s">
        <v>2756</v>
      </c>
      <c r="H25" s="2"/>
      <c r="I25" s="2"/>
      <c r="J25" s="2"/>
      <c r="K25" s="2"/>
      <c r="L25" s="2"/>
      <c r="M25" s="2"/>
      <c r="N25" s="2"/>
      <c r="O25" s="2"/>
      <c r="P25" s="2"/>
      <c r="Q25" s="2"/>
      <c r="R25" s="2"/>
      <c r="S25" s="2"/>
      <c r="T25" s="2"/>
      <c r="U25" s="2"/>
      <c r="V25" s="2"/>
      <c r="W25" s="2"/>
      <c r="X25" s="2"/>
      <c r="Y25" s="2"/>
      <c r="Z25" s="2"/>
    </row>
    <row r="26" customHeight="1" spans="1:26">
      <c r="A26" s="13" t="s">
        <v>115</v>
      </c>
      <c r="B26" s="13" t="s">
        <v>2757</v>
      </c>
      <c r="C26" s="13" t="s">
        <v>117</v>
      </c>
      <c r="D26" s="65">
        <v>90</v>
      </c>
      <c r="E26" s="13" t="s">
        <v>32</v>
      </c>
      <c r="F26" s="13" t="s">
        <v>2758</v>
      </c>
      <c r="G26" s="13" t="s">
        <v>2759</v>
      </c>
      <c r="H26" s="2"/>
      <c r="I26" s="2"/>
      <c r="J26" s="2"/>
      <c r="K26" s="2"/>
      <c r="L26" s="2"/>
      <c r="M26" s="2"/>
      <c r="N26" s="2"/>
      <c r="O26" s="2"/>
      <c r="P26" s="2"/>
      <c r="Q26" s="2"/>
      <c r="R26" s="2"/>
      <c r="S26" s="2"/>
      <c r="T26" s="2"/>
      <c r="U26" s="2"/>
      <c r="V26" s="2"/>
      <c r="W26" s="2"/>
      <c r="X26" s="2"/>
      <c r="Y26" s="2"/>
      <c r="Z26" s="2"/>
    </row>
    <row r="27" customHeight="1" spans="1:26">
      <c r="A27" s="64" t="s">
        <v>120</v>
      </c>
      <c r="B27" s="13" t="s">
        <v>2757</v>
      </c>
      <c r="C27" s="13" t="s">
        <v>117</v>
      </c>
      <c r="D27" s="65">
        <v>60</v>
      </c>
      <c r="E27" s="13" t="s">
        <v>37</v>
      </c>
      <c r="F27" s="13" t="s">
        <v>2760</v>
      </c>
      <c r="G27" s="13" t="s">
        <v>2759</v>
      </c>
      <c r="H27" s="2"/>
      <c r="I27" s="2"/>
      <c r="J27" s="2"/>
      <c r="K27" s="2"/>
      <c r="L27" s="2"/>
      <c r="M27" s="2"/>
      <c r="N27" s="2"/>
      <c r="O27" s="2"/>
      <c r="P27" s="2"/>
      <c r="Q27" s="2"/>
      <c r="R27" s="2"/>
      <c r="S27" s="2"/>
      <c r="T27" s="2"/>
      <c r="U27" s="2"/>
      <c r="V27" s="2"/>
      <c r="W27" s="2"/>
      <c r="X27" s="2"/>
      <c r="Y27" s="2"/>
      <c r="Z27" s="2"/>
    </row>
    <row r="28" customHeight="1" spans="1:26">
      <c r="A28" s="13" t="s">
        <v>123</v>
      </c>
      <c r="B28" s="13" t="s">
        <v>2761</v>
      </c>
      <c r="C28" s="13" t="s">
        <v>117</v>
      </c>
      <c r="D28" s="65">
        <v>80</v>
      </c>
      <c r="E28" s="13" t="s">
        <v>245</v>
      </c>
      <c r="F28" s="13" t="s">
        <v>2762</v>
      </c>
      <c r="G28" s="13" t="s">
        <v>2763</v>
      </c>
      <c r="H28" s="2"/>
      <c r="I28" s="2"/>
      <c r="J28" s="2"/>
      <c r="K28" s="2"/>
      <c r="L28" s="2"/>
      <c r="M28" s="2"/>
      <c r="N28" s="2"/>
      <c r="O28" s="2"/>
      <c r="P28" s="2"/>
      <c r="Q28" s="2"/>
      <c r="R28" s="2"/>
      <c r="S28" s="2"/>
      <c r="T28" s="2"/>
      <c r="U28" s="2"/>
      <c r="V28" s="2"/>
      <c r="W28" s="2"/>
      <c r="X28" s="2"/>
      <c r="Y28" s="2"/>
      <c r="Z28" s="2"/>
    </row>
    <row r="29" customHeight="1" spans="1:26">
      <c r="A29" s="64" t="s">
        <v>127</v>
      </c>
      <c r="B29" s="13" t="s">
        <v>2764</v>
      </c>
      <c r="C29" s="13" t="s">
        <v>117</v>
      </c>
      <c r="D29" s="65">
        <v>50</v>
      </c>
      <c r="E29" s="13" t="s">
        <v>37</v>
      </c>
      <c r="F29" s="13" t="s">
        <v>2765</v>
      </c>
      <c r="G29" s="13" t="s">
        <v>2766</v>
      </c>
      <c r="H29" s="2"/>
      <c r="I29" s="2"/>
      <c r="J29" s="2"/>
      <c r="K29" s="2"/>
      <c r="L29" s="2"/>
      <c r="M29" s="2"/>
      <c r="N29" s="2"/>
      <c r="O29" s="2"/>
      <c r="P29" s="2"/>
      <c r="Q29" s="2"/>
      <c r="R29" s="2"/>
      <c r="S29" s="2"/>
      <c r="T29" s="2"/>
      <c r="U29" s="2"/>
      <c r="V29" s="2"/>
      <c r="W29" s="2"/>
      <c r="X29" s="2"/>
      <c r="Y29" s="2"/>
      <c r="Z29" s="2"/>
    </row>
    <row r="30" customHeight="1" spans="1:26">
      <c r="A30" s="64" t="s">
        <v>131</v>
      </c>
      <c r="B30" s="13" t="s">
        <v>2767</v>
      </c>
      <c r="C30" s="13" t="s">
        <v>117</v>
      </c>
      <c r="D30" s="65">
        <v>50</v>
      </c>
      <c r="E30" s="13" t="s">
        <v>32</v>
      </c>
      <c r="F30" s="13" t="s">
        <v>2768</v>
      </c>
      <c r="G30" s="13" t="s">
        <v>2769</v>
      </c>
      <c r="H30" s="2"/>
      <c r="I30" s="2"/>
      <c r="J30" s="2"/>
      <c r="K30" s="2"/>
      <c r="L30" s="2"/>
      <c r="M30" s="2"/>
      <c r="N30" s="2"/>
      <c r="O30" s="2"/>
      <c r="P30" s="2"/>
      <c r="Q30" s="2"/>
      <c r="R30" s="2"/>
      <c r="S30" s="2"/>
      <c r="T30" s="2"/>
      <c r="U30" s="2"/>
      <c r="V30" s="2"/>
      <c r="W30" s="2"/>
      <c r="X30" s="2"/>
      <c r="Y30" s="2"/>
      <c r="Z30" s="2"/>
    </row>
    <row r="31" customHeight="1" spans="1:26">
      <c r="A31" s="64" t="s">
        <v>135</v>
      </c>
      <c r="B31" s="13" t="s">
        <v>2770</v>
      </c>
      <c r="C31" s="13" t="s">
        <v>117</v>
      </c>
      <c r="D31" s="65">
        <v>30</v>
      </c>
      <c r="E31" s="13" t="s">
        <v>32</v>
      </c>
      <c r="F31" s="13" t="s">
        <v>2771</v>
      </c>
      <c r="G31" s="13" t="s">
        <v>2772</v>
      </c>
      <c r="H31" s="2"/>
      <c r="I31" s="2"/>
      <c r="J31" s="2"/>
      <c r="K31" s="2"/>
      <c r="L31" s="2"/>
      <c r="M31" s="2"/>
      <c r="N31" s="2"/>
      <c r="O31" s="2"/>
      <c r="P31" s="2"/>
      <c r="Q31" s="2"/>
      <c r="R31" s="2"/>
      <c r="S31" s="2"/>
      <c r="T31" s="2"/>
      <c r="U31" s="2"/>
      <c r="V31" s="2"/>
      <c r="W31" s="2"/>
      <c r="X31" s="2"/>
      <c r="Y31" s="2"/>
      <c r="Z31" s="2"/>
    </row>
    <row r="32" customHeight="1" spans="1:26">
      <c r="A32" s="13" t="s">
        <v>139</v>
      </c>
      <c r="B32" s="13" t="s">
        <v>2773</v>
      </c>
      <c r="C32" s="13" t="s">
        <v>141</v>
      </c>
      <c r="D32" s="57"/>
      <c r="E32" s="57"/>
      <c r="F32" s="13" t="s">
        <v>2774</v>
      </c>
      <c r="G32" s="13" t="s">
        <v>2774</v>
      </c>
      <c r="H32" s="2"/>
      <c r="I32" s="2"/>
      <c r="J32" s="2"/>
      <c r="K32" s="2"/>
      <c r="L32" s="2"/>
      <c r="M32" s="2"/>
      <c r="N32" s="2"/>
      <c r="O32" s="2"/>
      <c r="P32" s="2"/>
      <c r="Q32" s="2"/>
      <c r="R32" s="2"/>
      <c r="S32" s="2"/>
      <c r="T32" s="2"/>
      <c r="U32" s="2"/>
      <c r="V32" s="2"/>
      <c r="W32" s="2"/>
      <c r="X32" s="2"/>
      <c r="Y32" s="2"/>
      <c r="Z32" s="2"/>
    </row>
    <row r="33" customHeight="1" spans="1:26">
      <c r="A33" s="13" t="s">
        <v>144</v>
      </c>
      <c r="B33" s="13" t="s">
        <v>2775</v>
      </c>
      <c r="C33" s="13" t="s">
        <v>2616</v>
      </c>
      <c r="D33" s="57"/>
      <c r="E33" s="57"/>
      <c r="F33" s="13" t="s">
        <v>2776</v>
      </c>
      <c r="G33" s="13" t="s">
        <v>2777</v>
      </c>
      <c r="H33" s="2"/>
      <c r="I33" s="2"/>
      <c r="J33" s="2"/>
      <c r="K33" s="2"/>
      <c r="L33" s="2"/>
      <c r="M33" s="2"/>
      <c r="N33" s="2"/>
      <c r="O33" s="2"/>
      <c r="P33" s="2"/>
      <c r="Q33" s="2"/>
      <c r="R33" s="2"/>
      <c r="S33" s="2"/>
      <c r="T33" s="2"/>
      <c r="U33" s="2"/>
      <c r="V33" s="2"/>
      <c r="W33" s="2"/>
      <c r="X33" s="2"/>
      <c r="Y33" s="2"/>
      <c r="Z33" s="2"/>
    </row>
    <row r="34" customHeight="1" spans="1:26">
      <c r="A34" s="13" t="s">
        <v>149</v>
      </c>
      <c r="B34" s="13" t="s">
        <v>2778</v>
      </c>
      <c r="C34" s="13" t="s">
        <v>151</v>
      </c>
      <c r="D34" s="57"/>
      <c r="E34" s="57"/>
      <c r="F34" s="13" t="s">
        <v>2779</v>
      </c>
      <c r="G34" s="13" t="s">
        <v>2780</v>
      </c>
      <c r="H34" s="2"/>
      <c r="I34" s="2"/>
      <c r="J34" s="2"/>
      <c r="K34" s="2"/>
      <c r="L34" s="2"/>
      <c r="M34" s="2"/>
      <c r="N34" s="2"/>
      <c r="O34" s="2"/>
      <c r="P34" s="2"/>
      <c r="Q34" s="2"/>
      <c r="R34" s="2"/>
      <c r="S34" s="2"/>
      <c r="T34" s="2"/>
      <c r="U34" s="2"/>
      <c r="V34" s="2"/>
      <c r="W34" s="2"/>
      <c r="X34" s="2"/>
      <c r="Y34" s="2"/>
      <c r="Z34" s="2"/>
    </row>
    <row r="35" customHeight="1" spans="1:26">
      <c r="A35" s="64" t="s">
        <v>154</v>
      </c>
      <c r="B35" s="13" t="s">
        <v>2781</v>
      </c>
      <c r="C35" s="13" t="s">
        <v>156</v>
      </c>
      <c r="D35" s="65">
        <v>30</v>
      </c>
      <c r="E35" s="13" t="s">
        <v>37</v>
      </c>
      <c r="F35" s="13" t="s">
        <v>2782</v>
      </c>
      <c r="G35" s="13" t="s">
        <v>2783</v>
      </c>
      <c r="H35" s="2"/>
      <c r="I35" s="2"/>
      <c r="J35" s="2"/>
      <c r="K35" s="2"/>
      <c r="L35" s="2"/>
      <c r="M35" s="2"/>
      <c r="N35" s="2"/>
      <c r="O35" s="2"/>
      <c r="P35" s="2"/>
      <c r="Q35" s="2"/>
      <c r="R35" s="2"/>
      <c r="S35" s="2"/>
      <c r="T35" s="2"/>
      <c r="U35" s="2"/>
      <c r="V35" s="2"/>
      <c r="W35" s="2"/>
      <c r="X35" s="2"/>
      <c r="Y35" s="2"/>
      <c r="Z35" s="2"/>
    </row>
    <row r="36" customHeight="1" spans="1:26">
      <c r="A36" s="13" t="s">
        <v>159</v>
      </c>
      <c r="B36" s="13" t="s">
        <v>2784</v>
      </c>
      <c r="C36" s="13" t="s">
        <v>2623</v>
      </c>
      <c r="D36" s="57"/>
      <c r="E36" s="57"/>
      <c r="F36" s="13" t="s">
        <v>2785</v>
      </c>
      <c r="G36" s="13" t="s">
        <v>2786</v>
      </c>
      <c r="H36" s="2"/>
      <c r="I36" s="2"/>
      <c r="J36" s="2"/>
      <c r="K36" s="2"/>
      <c r="L36" s="2"/>
      <c r="M36" s="2"/>
      <c r="N36" s="2"/>
      <c r="O36" s="2"/>
      <c r="P36" s="2"/>
      <c r="Q36" s="2"/>
      <c r="R36" s="2"/>
      <c r="S36" s="2"/>
      <c r="T36" s="2"/>
      <c r="U36" s="2"/>
      <c r="V36" s="2"/>
      <c r="W36" s="2"/>
      <c r="X36" s="2"/>
      <c r="Y36" s="2"/>
      <c r="Z36" s="2"/>
    </row>
    <row r="37" customHeight="1" spans="1:26">
      <c r="A37" s="13" t="s">
        <v>164</v>
      </c>
      <c r="B37" s="13" t="s">
        <v>2787</v>
      </c>
      <c r="C37" s="13" t="s">
        <v>2620</v>
      </c>
      <c r="D37" s="57"/>
      <c r="E37" s="57"/>
      <c r="F37" s="13" t="s">
        <v>2788</v>
      </c>
      <c r="G37" s="13" t="s">
        <v>2789</v>
      </c>
      <c r="H37" s="2"/>
      <c r="I37" s="2"/>
      <c r="J37" s="2"/>
      <c r="K37" s="2"/>
      <c r="L37" s="2"/>
      <c r="M37" s="2"/>
      <c r="N37" s="2"/>
      <c r="O37" s="2"/>
      <c r="P37" s="2"/>
      <c r="Q37" s="2"/>
      <c r="R37" s="2"/>
      <c r="S37" s="2"/>
      <c r="T37" s="2"/>
      <c r="U37" s="2"/>
      <c r="V37" s="2"/>
      <c r="W37" s="2"/>
      <c r="X37" s="2"/>
      <c r="Y37" s="2"/>
      <c r="Z37" s="2"/>
    </row>
    <row r="38" customHeight="1" spans="1:26">
      <c r="A38" s="64" t="s">
        <v>169</v>
      </c>
      <c r="B38" s="13" t="s">
        <v>2790</v>
      </c>
      <c r="C38" s="13" t="s">
        <v>171</v>
      </c>
      <c r="D38" s="65">
        <v>46</v>
      </c>
      <c r="E38" s="13" t="s">
        <v>37</v>
      </c>
      <c r="F38" s="13" t="s">
        <v>2791</v>
      </c>
      <c r="G38" s="13" t="s">
        <v>2792</v>
      </c>
      <c r="H38" s="2"/>
      <c r="I38" s="2"/>
      <c r="J38" s="2"/>
      <c r="K38" s="2"/>
      <c r="L38" s="2"/>
      <c r="M38" s="2"/>
      <c r="N38" s="2"/>
      <c r="O38" s="2"/>
      <c r="P38" s="2"/>
      <c r="Q38" s="2"/>
      <c r="R38" s="2"/>
      <c r="S38" s="2"/>
      <c r="T38" s="2"/>
      <c r="U38" s="2"/>
      <c r="V38" s="2"/>
      <c r="W38" s="2"/>
      <c r="X38" s="2"/>
      <c r="Y38" s="2"/>
      <c r="Z38" s="2"/>
    </row>
    <row r="39" customHeight="1" spans="1:26">
      <c r="A39" s="64" t="s">
        <v>174</v>
      </c>
      <c r="B39" s="13" t="s">
        <v>2793</v>
      </c>
      <c r="C39" s="13" t="s">
        <v>171</v>
      </c>
      <c r="D39" s="65">
        <v>30</v>
      </c>
      <c r="E39" s="13" t="s">
        <v>37</v>
      </c>
      <c r="F39" s="13" t="s">
        <v>2794</v>
      </c>
      <c r="G39" s="13" t="s">
        <v>2795</v>
      </c>
      <c r="H39" s="2"/>
      <c r="I39" s="2"/>
      <c r="J39" s="2"/>
      <c r="K39" s="2"/>
      <c r="L39" s="2"/>
      <c r="M39" s="2"/>
      <c r="N39" s="2"/>
      <c r="O39" s="2"/>
      <c r="P39" s="2"/>
      <c r="Q39" s="2"/>
      <c r="R39" s="2"/>
      <c r="S39" s="2"/>
      <c r="T39" s="2"/>
      <c r="U39" s="2"/>
      <c r="V39" s="2"/>
      <c r="W39" s="2"/>
      <c r="X39" s="2"/>
      <c r="Y39" s="2"/>
      <c r="Z39" s="2"/>
    </row>
    <row r="40" customHeight="1" spans="1:26">
      <c r="A40" s="64" t="s">
        <v>178</v>
      </c>
      <c r="B40" s="13" t="s">
        <v>2796</v>
      </c>
      <c r="C40" s="13" t="s">
        <v>180</v>
      </c>
      <c r="D40" s="65">
        <v>45</v>
      </c>
      <c r="E40" s="13" t="s">
        <v>37</v>
      </c>
      <c r="F40" s="57" t="s">
        <v>2797</v>
      </c>
      <c r="G40" s="13" t="s">
        <v>2798</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customHeight="1" spans="1:26">
      <c r="A42" s="64" t="s">
        <v>188</v>
      </c>
      <c r="B42" s="13" t="s">
        <v>189</v>
      </c>
      <c r="C42" s="13" t="s">
        <v>190</v>
      </c>
      <c r="D42" s="65">
        <v>650</v>
      </c>
      <c r="E42" s="13" t="s">
        <v>37</v>
      </c>
      <c r="F42" s="13" t="s">
        <v>191</v>
      </c>
      <c r="G42" s="13" t="s">
        <v>192</v>
      </c>
      <c r="H42" s="2"/>
      <c r="I42" s="2"/>
      <c r="J42" s="2"/>
      <c r="K42" s="2"/>
      <c r="L42" s="2"/>
      <c r="M42" s="2"/>
      <c r="N42" s="2"/>
      <c r="O42" s="2"/>
      <c r="P42" s="2"/>
      <c r="Q42" s="2"/>
      <c r="R42" s="2"/>
      <c r="S42" s="2"/>
      <c r="T42" s="2"/>
      <c r="U42" s="2"/>
      <c r="V42" s="2"/>
      <c r="W42" s="2"/>
      <c r="X42" s="2"/>
      <c r="Y42" s="2"/>
      <c r="Z42" s="2"/>
    </row>
    <row r="43" customHeight="1" spans="1:26">
      <c r="A43" s="13" t="s">
        <v>193</v>
      </c>
      <c r="B43" s="13" t="s">
        <v>2799</v>
      </c>
      <c r="C43" s="13" t="s">
        <v>2594</v>
      </c>
      <c r="D43" s="57"/>
      <c r="E43" s="57"/>
      <c r="F43" s="13" t="s">
        <v>2800</v>
      </c>
      <c r="G43" s="13" t="s">
        <v>2801</v>
      </c>
      <c r="H43" s="2"/>
      <c r="I43" s="2"/>
      <c r="J43" s="2"/>
      <c r="K43" s="2"/>
      <c r="L43" s="2"/>
      <c r="M43" s="2"/>
      <c r="N43" s="2"/>
      <c r="O43" s="2"/>
      <c r="P43" s="2"/>
      <c r="Q43" s="2"/>
      <c r="R43" s="2"/>
      <c r="S43" s="2"/>
      <c r="T43" s="2"/>
      <c r="U43" s="2"/>
      <c r="V43" s="2"/>
      <c r="W43" s="2"/>
      <c r="X43" s="2"/>
      <c r="Y43" s="2"/>
      <c r="Z43" s="2"/>
    </row>
    <row r="44" customHeight="1" spans="1:26">
      <c r="A44" s="13" t="s">
        <v>198</v>
      </c>
      <c r="B44" s="13" t="s">
        <v>2802</v>
      </c>
      <c r="C44" s="13" t="s">
        <v>2497</v>
      </c>
      <c r="D44" s="57"/>
      <c r="E44" s="57"/>
      <c r="F44" s="13" t="s">
        <v>2803</v>
      </c>
      <c r="G44" s="13" t="s">
        <v>2804</v>
      </c>
      <c r="H44" s="2"/>
      <c r="I44" s="2"/>
      <c r="J44" s="2"/>
      <c r="K44" s="2"/>
      <c r="L44" s="2"/>
      <c r="M44" s="2"/>
      <c r="N44" s="2"/>
      <c r="O44" s="2"/>
      <c r="P44" s="2"/>
      <c r="Q44" s="2"/>
      <c r="R44" s="2"/>
      <c r="S44" s="2"/>
      <c r="T44" s="2"/>
      <c r="U44" s="2"/>
      <c r="V44" s="2"/>
      <c r="W44" s="2"/>
      <c r="X44" s="2"/>
      <c r="Y44" s="2"/>
      <c r="Z44" s="2"/>
    </row>
    <row r="45" customHeight="1" spans="1:26">
      <c r="A45" s="13" t="s">
        <v>203</v>
      </c>
      <c r="B45" s="13" t="s">
        <v>2805</v>
      </c>
      <c r="C45" s="13" t="s">
        <v>200</v>
      </c>
      <c r="D45" s="14">
        <v>80</v>
      </c>
      <c r="E45" s="13" t="s">
        <v>21</v>
      </c>
      <c r="F45" s="13" t="s">
        <v>2806</v>
      </c>
      <c r="G45" s="13" t="s">
        <v>2807</v>
      </c>
      <c r="H45" s="2"/>
      <c r="I45" s="2"/>
      <c r="J45" s="2"/>
      <c r="K45" s="2"/>
      <c r="L45" s="2"/>
      <c r="M45" s="2"/>
      <c r="N45" s="2"/>
      <c r="O45" s="2"/>
      <c r="P45" s="2"/>
      <c r="Q45" s="2"/>
      <c r="R45" s="2"/>
      <c r="S45" s="2"/>
      <c r="T45" s="2"/>
      <c r="U45" s="2"/>
      <c r="V45" s="2"/>
      <c r="W45" s="2"/>
      <c r="X45" s="2"/>
      <c r="Y45" s="2"/>
      <c r="Z45" s="2"/>
    </row>
    <row r="46" customHeight="1" spans="1:26">
      <c r="A46" s="64" t="s">
        <v>207</v>
      </c>
      <c r="B46" s="13" t="s">
        <v>2808</v>
      </c>
      <c r="C46" s="13" t="s">
        <v>209</v>
      </c>
      <c r="D46" s="65">
        <v>5</v>
      </c>
      <c r="E46" s="13" t="s">
        <v>37</v>
      </c>
      <c r="F46" s="2" t="s">
        <v>2809</v>
      </c>
      <c r="G46" s="13" t="s">
        <v>2810</v>
      </c>
      <c r="H46" s="2"/>
      <c r="I46" s="2"/>
      <c r="J46" s="2"/>
      <c r="K46" s="2"/>
      <c r="L46" s="2"/>
      <c r="M46" s="2"/>
      <c r="N46" s="2"/>
      <c r="O46" s="2"/>
      <c r="P46" s="2"/>
      <c r="Q46" s="2"/>
      <c r="R46" s="2"/>
      <c r="S46" s="2"/>
      <c r="T46" s="2"/>
      <c r="U46" s="2"/>
      <c r="V46" s="2"/>
      <c r="W46" s="2"/>
      <c r="X46" s="2"/>
      <c r="Y46" s="2"/>
      <c r="Z46" s="2"/>
    </row>
    <row r="47" customHeight="1" spans="1:26">
      <c r="A47" s="13" t="s">
        <v>212</v>
      </c>
      <c r="B47" s="13" t="s">
        <v>2811</v>
      </c>
      <c r="C47" s="13" t="s">
        <v>214</v>
      </c>
      <c r="D47" s="57"/>
      <c r="E47" s="57"/>
      <c r="F47" s="13" t="s">
        <v>2812</v>
      </c>
      <c r="G47" s="13" t="s">
        <v>2813</v>
      </c>
      <c r="H47" s="2"/>
      <c r="I47" s="2"/>
      <c r="J47" s="2"/>
      <c r="K47" s="2"/>
      <c r="L47" s="2"/>
      <c r="M47" s="2"/>
      <c r="N47" s="2"/>
      <c r="O47" s="2"/>
      <c r="P47" s="2"/>
      <c r="Q47" s="2"/>
      <c r="R47" s="2"/>
      <c r="S47" s="2"/>
      <c r="T47" s="2"/>
      <c r="U47" s="2"/>
      <c r="V47" s="2"/>
      <c r="W47" s="2"/>
      <c r="X47" s="2"/>
      <c r="Y47" s="2"/>
      <c r="Z47" s="2"/>
    </row>
    <row r="48" customHeight="1" spans="1:26">
      <c r="A48" s="13" t="s">
        <v>217</v>
      </c>
      <c r="B48" s="13" t="s">
        <v>2814</v>
      </c>
      <c r="C48" s="13" t="s">
        <v>2601</v>
      </c>
      <c r="D48" s="57"/>
      <c r="E48" s="57"/>
      <c r="F48" s="13" t="s">
        <v>2815</v>
      </c>
      <c r="G48" s="13" t="s">
        <v>2816</v>
      </c>
      <c r="H48" s="2"/>
      <c r="I48" s="2"/>
      <c r="J48" s="2"/>
      <c r="K48" s="2"/>
      <c r="L48" s="2"/>
      <c r="M48" s="2"/>
      <c r="N48" s="2"/>
      <c r="O48" s="2"/>
      <c r="P48" s="2"/>
      <c r="Q48" s="2"/>
      <c r="R48" s="2"/>
      <c r="S48" s="2"/>
      <c r="T48" s="2"/>
      <c r="U48" s="2"/>
      <c r="V48" s="2"/>
      <c r="W48" s="2"/>
      <c r="X48" s="2"/>
      <c r="Y48" s="2"/>
      <c r="Z48" s="2"/>
    </row>
    <row r="49" customHeight="1" spans="1:26">
      <c r="A49" s="13" t="s">
        <v>222</v>
      </c>
      <c r="B49" s="13" t="s">
        <v>2817</v>
      </c>
      <c r="C49" s="13" t="s">
        <v>2487</v>
      </c>
      <c r="D49" s="57"/>
      <c r="E49" s="57"/>
      <c r="F49" s="13" t="s">
        <v>2818</v>
      </c>
      <c r="G49" s="13" t="s">
        <v>2819</v>
      </c>
      <c r="H49" s="2"/>
      <c r="I49" s="2"/>
      <c r="J49" s="2"/>
      <c r="K49" s="2"/>
      <c r="L49" s="2"/>
      <c r="M49" s="2"/>
      <c r="N49" s="2"/>
      <c r="O49" s="2"/>
      <c r="P49" s="2"/>
      <c r="Q49" s="2"/>
      <c r="R49" s="2"/>
      <c r="S49" s="2"/>
      <c r="T49" s="2"/>
      <c r="U49" s="2"/>
      <c r="V49" s="2"/>
      <c r="W49" s="2"/>
      <c r="X49" s="2"/>
      <c r="Y49" s="2"/>
      <c r="Z49" s="2"/>
    </row>
    <row r="50" customHeight="1" spans="1:26">
      <c r="A50" s="13" t="s">
        <v>227</v>
      </c>
      <c r="B50" s="13" t="s">
        <v>2820</v>
      </c>
      <c r="C50" s="13" t="s">
        <v>1000</v>
      </c>
      <c r="D50" s="57"/>
      <c r="E50" s="57"/>
      <c r="F50" s="13" t="s">
        <v>2821</v>
      </c>
      <c r="G50" s="13" t="s">
        <v>2822</v>
      </c>
      <c r="H50" s="2"/>
      <c r="I50" s="2"/>
      <c r="J50" s="2"/>
      <c r="K50" s="2"/>
      <c r="L50" s="2"/>
      <c r="M50" s="2"/>
      <c r="N50" s="2"/>
      <c r="O50" s="2"/>
      <c r="P50" s="2"/>
      <c r="Q50" s="2"/>
      <c r="R50" s="2"/>
      <c r="S50" s="2"/>
      <c r="T50" s="2"/>
      <c r="U50" s="2"/>
      <c r="V50" s="2"/>
      <c r="W50" s="2"/>
      <c r="X50" s="2"/>
      <c r="Y50" s="2"/>
      <c r="Z50" s="2"/>
    </row>
    <row r="51" customHeight="1" spans="1:26">
      <c r="A51" s="13" t="s">
        <v>231</v>
      </c>
      <c r="B51" s="13" t="s">
        <v>2823</v>
      </c>
      <c r="C51" s="13" t="s">
        <v>2487</v>
      </c>
      <c r="D51" s="57"/>
      <c r="E51" s="57"/>
      <c r="F51" s="13" t="s">
        <v>2824</v>
      </c>
      <c r="G51" s="13" t="s">
        <v>2825</v>
      </c>
      <c r="H51" s="2"/>
      <c r="I51" s="2"/>
      <c r="J51" s="2"/>
      <c r="K51" s="2"/>
      <c r="L51" s="2"/>
      <c r="M51" s="2"/>
      <c r="N51" s="2"/>
      <c r="O51" s="2"/>
      <c r="P51" s="2"/>
      <c r="Q51" s="2"/>
      <c r="R51" s="2"/>
      <c r="S51" s="2"/>
      <c r="T51" s="2"/>
      <c r="U51" s="2"/>
      <c r="V51" s="2"/>
      <c r="W51" s="2"/>
      <c r="X51" s="2"/>
      <c r="Y51" s="2"/>
      <c r="Z51" s="2"/>
    </row>
    <row r="52" customHeight="1" spans="1:26">
      <c r="A52" s="13" t="s">
        <v>234</v>
      </c>
      <c r="B52" s="13" t="s">
        <v>2826</v>
      </c>
      <c r="C52" s="13" t="s">
        <v>2516</v>
      </c>
      <c r="D52" s="57"/>
      <c r="E52" s="57"/>
      <c r="F52" s="13" t="s">
        <v>2827</v>
      </c>
      <c r="G52" s="13" t="s">
        <v>2828</v>
      </c>
      <c r="H52" s="2"/>
      <c r="I52" s="2"/>
      <c r="J52" s="2"/>
      <c r="K52" s="2"/>
      <c r="L52" s="2"/>
      <c r="M52" s="2"/>
      <c r="N52" s="2"/>
      <c r="O52" s="2"/>
      <c r="P52" s="2"/>
      <c r="Q52" s="2"/>
      <c r="R52" s="2"/>
      <c r="S52" s="2"/>
      <c r="T52" s="2"/>
      <c r="U52" s="2"/>
      <c r="V52" s="2"/>
      <c r="W52" s="2"/>
      <c r="X52" s="2"/>
      <c r="Y52" s="2"/>
      <c r="Z52" s="2"/>
    </row>
    <row r="53" customHeight="1" spans="1:26">
      <c r="A53" s="13" t="s">
        <v>239</v>
      </c>
      <c r="B53" s="13" t="s">
        <v>2829</v>
      </c>
      <c r="C53" s="13" t="s">
        <v>236</v>
      </c>
      <c r="D53" s="14">
        <v>230</v>
      </c>
      <c r="E53" s="13" t="s">
        <v>21</v>
      </c>
      <c r="F53" s="13" t="s">
        <v>2830</v>
      </c>
      <c r="G53" s="13" t="s">
        <v>2831</v>
      </c>
      <c r="H53" s="2"/>
      <c r="I53" s="2"/>
      <c r="J53" s="2"/>
      <c r="K53" s="2"/>
      <c r="L53" s="2"/>
      <c r="M53" s="2"/>
      <c r="N53" s="2"/>
      <c r="O53" s="2"/>
      <c r="P53" s="2"/>
      <c r="Q53" s="2"/>
      <c r="R53" s="2"/>
      <c r="S53" s="2"/>
      <c r="T53" s="2"/>
      <c r="U53" s="2"/>
      <c r="V53" s="2"/>
      <c r="W53" s="2"/>
      <c r="X53" s="2"/>
      <c r="Y53" s="2"/>
      <c r="Z53" s="2"/>
    </row>
    <row r="54" customHeight="1" spans="1:26">
      <c r="A54" s="13" t="s">
        <v>243</v>
      </c>
      <c r="B54" s="13" t="s">
        <v>2832</v>
      </c>
      <c r="C54" s="13" t="s">
        <v>236</v>
      </c>
      <c r="D54" s="14">
        <v>100</v>
      </c>
      <c r="E54" s="13" t="s">
        <v>245</v>
      </c>
      <c r="F54" s="57" t="s">
        <v>2833</v>
      </c>
      <c r="G54" s="57" t="s">
        <v>2834</v>
      </c>
      <c r="H54" s="2"/>
      <c r="I54" s="2"/>
      <c r="J54" s="2"/>
      <c r="K54" s="2"/>
      <c r="L54" s="2"/>
      <c r="M54" s="2"/>
      <c r="N54" s="2"/>
      <c r="O54" s="2"/>
      <c r="P54" s="2"/>
      <c r="Q54" s="2"/>
      <c r="R54" s="2"/>
      <c r="S54" s="2"/>
      <c r="T54" s="2"/>
      <c r="U54" s="2"/>
      <c r="V54" s="2"/>
      <c r="W54" s="2"/>
      <c r="X54" s="2"/>
      <c r="Y54" s="2"/>
      <c r="Z54" s="2"/>
    </row>
    <row r="55" customHeight="1" spans="1:26">
      <c r="A55" s="13" t="s">
        <v>248</v>
      </c>
      <c r="B55" s="13" t="s">
        <v>2835</v>
      </c>
      <c r="C55" s="13" t="s">
        <v>236</v>
      </c>
      <c r="D55" s="14">
        <v>100</v>
      </c>
      <c r="E55" s="13" t="s">
        <v>245</v>
      </c>
      <c r="F55" s="57" t="s">
        <v>2836</v>
      </c>
      <c r="G55" s="57" t="s">
        <v>2837</v>
      </c>
      <c r="H55" s="2"/>
      <c r="I55" s="2"/>
      <c r="J55" s="2"/>
      <c r="K55" s="2"/>
      <c r="L55" s="2"/>
      <c r="M55" s="2"/>
      <c r="N55" s="2"/>
      <c r="O55" s="2"/>
      <c r="P55" s="2"/>
      <c r="Q55" s="2"/>
      <c r="R55" s="2"/>
      <c r="S55" s="2"/>
      <c r="T55" s="2"/>
      <c r="U55" s="2"/>
      <c r="V55" s="2"/>
      <c r="W55" s="2"/>
      <c r="X55" s="2"/>
      <c r="Y55" s="2"/>
      <c r="Z55" s="2"/>
    </row>
    <row r="56" customHeight="1" spans="1:26">
      <c r="A56" s="64" t="s">
        <v>252</v>
      </c>
      <c r="B56" s="13" t="s">
        <v>2838</v>
      </c>
      <c r="C56" s="13" t="s">
        <v>236</v>
      </c>
      <c r="D56" s="65">
        <v>35</v>
      </c>
      <c r="E56" s="13" t="s">
        <v>37</v>
      </c>
      <c r="F56" s="13" t="s">
        <v>2839</v>
      </c>
      <c r="G56" s="13" t="s">
        <v>2840</v>
      </c>
      <c r="H56" s="2"/>
      <c r="I56" s="2"/>
      <c r="J56" s="2"/>
      <c r="K56" s="2"/>
      <c r="L56" s="2"/>
      <c r="M56" s="2"/>
      <c r="N56" s="2"/>
      <c r="O56" s="2"/>
      <c r="P56" s="2"/>
      <c r="Q56" s="2"/>
      <c r="R56" s="2"/>
      <c r="S56" s="2"/>
      <c r="T56" s="2"/>
      <c r="U56" s="2"/>
      <c r="V56" s="2"/>
      <c r="W56" s="2"/>
      <c r="X56" s="2"/>
      <c r="Y56" s="2"/>
      <c r="Z56" s="2"/>
    </row>
    <row r="57" customHeight="1" spans="1:26">
      <c r="A57" s="64" t="s">
        <v>256</v>
      </c>
      <c r="B57" s="13" t="s">
        <v>2841</v>
      </c>
      <c r="C57" s="13" t="s">
        <v>236</v>
      </c>
      <c r="D57" s="65">
        <v>40</v>
      </c>
      <c r="E57" s="13" t="s">
        <v>37</v>
      </c>
      <c r="F57" s="13" t="s">
        <v>2842</v>
      </c>
      <c r="G57" s="13" t="s">
        <v>2843</v>
      </c>
      <c r="H57" s="2"/>
      <c r="I57" s="2"/>
      <c r="J57" s="2"/>
      <c r="K57" s="2"/>
      <c r="L57" s="2"/>
      <c r="M57" s="2"/>
      <c r="N57" s="2"/>
      <c r="O57" s="2"/>
      <c r="P57" s="2"/>
      <c r="Q57" s="2"/>
      <c r="R57" s="2"/>
      <c r="S57" s="2"/>
      <c r="T57" s="2"/>
      <c r="U57" s="2"/>
      <c r="V57" s="2"/>
      <c r="W57" s="2"/>
      <c r="X57" s="2"/>
      <c r="Y57" s="2"/>
      <c r="Z57" s="2"/>
    </row>
    <row r="58" customHeight="1" spans="1:26">
      <c r="A58" s="64" t="s">
        <v>260</v>
      </c>
      <c r="B58" s="13" t="s">
        <v>2844</v>
      </c>
      <c r="C58" s="13" t="s">
        <v>236</v>
      </c>
      <c r="D58" s="65">
        <v>8</v>
      </c>
      <c r="E58" s="13" t="s">
        <v>262</v>
      </c>
      <c r="F58" s="13" t="s">
        <v>2845</v>
      </c>
      <c r="G58" s="13" t="s">
        <v>2846</v>
      </c>
      <c r="H58" s="2"/>
      <c r="I58" s="2"/>
      <c r="J58" s="2"/>
      <c r="K58" s="2"/>
      <c r="L58" s="2"/>
      <c r="M58" s="2"/>
      <c r="N58" s="2"/>
      <c r="O58" s="2"/>
      <c r="P58" s="2"/>
      <c r="Q58" s="2"/>
      <c r="R58" s="2"/>
      <c r="S58" s="2"/>
      <c r="T58" s="2"/>
      <c r="U58" s="2"/>
      <c r="V58" s="2"/>
      <c r="W58" s="2"/>
      <c r="X58" s="2"/>
      <c r="Y58" s="2"/>
      <c r="Z58" s="2"/>
    </row>
    <row r="59" customHeight="1" spans="1:26">
      <c r="A59" s="64" t="s">
        <v>265</v>
      </c>
      <c r="B59" s="13" t="s">
        <v>2847</v>
      </c>
      <c r="C59" s="13" t="s">
        <v>236</v>
      </c>
      <c r="D59" s="65">
        <v>30</v>
      </c>
      <c r="E59" s="13" t="s">
        <v>37</v>
      </c>
      <c r="F59" s="13" t="s">
        <v>2848</v>
      </c>
      <c r="G59" s="13" t="s">
        <v>2849</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13" t="s">
        <v>2850</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2851</v>
      </c>
      <c r="H61" s="2"/>
      <c r="I61" s="2"/>
      <c r="J61" s="2"/>
      <c r="K61" s="2"/>
      <c r="L61" s="2"/>
      <c r="M61" s="2"/>
      <c r="N61" s="2"/>
      <c r="O61" s="2"/>
      <c r="P61" s="2"/>
      <c r="Q61" s="2"/>
      <c r="R61" s="2"/>
      <c r="S61" s="2"/>
      <c r="T61" s="2"/>
      <c r="U61" s="2"/>
      <c r="V61" s="2"/>
      <c r="W61" s="2"/>
      <c r="X61" s="2"/>
      <c r="Y61" s="2"/>
      <c r="Z61" s="2"/>
    </row>
    <row r="62" ht="16.5" customHeight="1" spans="1:26">
      <c r="A62" s="64" t="s">
        <v>277</v>
      </c>
      <c r="B62" s="13" t="s">
        <v>2852</v>
      </c>
      <c r="C62" s="13" t="s">
        <v>236</v>
      </c>
      <c r="D62" s="65">
        <v>37</v>
      </c>
      <c r="E62" s="13" t="s">
        <v>37</v>
      </c>
      <c r="F62" s="13" t="s">
        <v>2853</v>
      </c>
      <c r="G62" s="13" t="s">
        <v>2854</v>
      </c>
      <c r="H62" s="2"/>
      <c r="I62" s="2"/>
      <c r="J62" s="2"/>
      <c r="K62" s="2"/>
      <c r="L62" s="2"/>
      <c r="M62" s="2"/>
      <c r="N62" s="2"/>
      <c r="O62" s="2"/>
      <c r="P62" s="2"/>
      <c r="Q62" s="2"/>
      <c r="R62" s="2"/>
      <c r="S62" s="2"/>
      <c r="T62" s="2"/>
      <c r="U62" s="2"/>
      <c r="V62" s="2"/>
      <c r="W62" s="2"/>
      <c r="X62" s="2"/>
      <c r="Y62" s="2"/>
      <c r="Z62" s="2"/>
    </row>
    <row r="63" customHeight="1" spans="1:26">
      <c r="A63" s="64" t="s">
        <v>281</v>
      </c>
      <c r="B63" s="13" t="s">
        <v>2855</v>
      </c>
      <c r="C63" s="13" t="s">
        <v>236</v>
      </c>
      <c r="D63" s="65">
        <v>40</v>
      </c>
      <c r="E63" s="13" t="s">
        <v>37</v>
      </c>
      <c r="F63" s="13" t="s">
        <v>2856</v>
      </c>
      <c r="G63" s="13" t="s">
        <v>2857</v>
      </c>
      <c r="H63" s="2"/>
      <c r="I63" s="2"/>
      <c r="J63" s="2"/>
      <c r="K63" s="2"/>
      <c r="L63" s="2"/>
      <c r="M63" s="2"/>
      <c r="N63" s="2"/>
      <c r="O63" s="2"/>
      <c r="P63" s="2"/>
      <c r="Q63" s="2"/>
      <c r="R63" s="2"/>
      <c r="S63" s="2"/>
      <c r="T63" s="2"/>
      <c r="U63" s="2"/>
      <c r="V63" s="2"/>
      <c r="W63" s="2"/>
      <c r="X63" s="2"/>
      <c r="Y63" s="2"/>
      <c r="Z63" s="2"/>
    </row>
    <row r="64" customHeight="1" spans="1:26">
      <c r="A64" s="13" t="s">
        <v>285</v>
      </c>
      <c r="B64" s="13" t="s">
        <v>2858</v>
      </c>
      <c r="C64" s="13" t="s">
        <v>2859</v>
      </c>
      <c r="D64" s="57"/>
      <c r="E64" s="57"/>
      <c r="F64" s="13" t="s">
        <v>2860</v>
      </c>
      <c r="G64" s="13" t="s">
        <v>2861</v>
      </c>
      <c r="H64" s="2"/>
      <c r="I64" s="2"/>
      <c r="J64" s="2"/>
      <c r="K64" s="2"/>
      <c r="L64" s="2"/>
      <c r="M64" s="2"/>
      <c r="N64" s="2"/>
      <c r="O64" s="2"/>
      <c r="P64" s="2"/>
      <c r="Q64" s="2"/>
      <c r="R64" s="2"/>
      <c r="S64" s="2"/>
      <c r="T64" s="2"/>
      <c r="U64" s="2"/>
      <c r="V64" s="2"/>
      <c r="W64" s="2"/>
      <c r="X64" s="2"/>
      <c r="Y64" s="2"/>
      <c r="Z64" s="2"/>
    </row>
    <row r="65" customHeight="1" spans="1:26">
      <c r="A65" s="64" t="s">
        <v>288</v>
      </c>
      <c r="B65" s="13" t="s">
        <v>2862</v>
      </c>
      <c r="C65" s="13" t="s">
        <v>290</v>
      </c>
      <c r="D65" s="65">
        <v>300</v>
      </c>
      <c r="E65" s="13" t="s">
        <v>37</v>
      </c>
      <c r="F65" s="13" t="s">
        <v>2863</v>
      </c>
      <c r="G65" s="13" t="s">
        <v>2864</v>
      </c>
      <c r="H65" s="2"/>
      <c r="I65" s="2"/>
      <c r="J65" s="2"/>
      <c r="K65" s="2"/>
      <c r="L65" s="2"/>
      <c r="M65" s="2"/>
      <c r="N65" s="2"/>
      <c r="O65" s="2"/>
      <c r="P65" s="2"/>
      <c r="Q65" s="2"/>
      <c r="R65" s="2"/>
      <c r="S65" s="2"/>
      <c r="T65" s="2"/>
      <c r="U65" s="2"/>
      <c r="V65" s="2"/>
      <c r="W65" s="2"/>
      <c r="X65" s="2"/>
      <c r="Y65" s="2"/>
      <c r="Z65" s="2"/>
    </row>
    <row r="66" customHeight="1" spans="1:26">
      <c r="A66" s="64" t="s">
        <v>293</v>
      </c>
      <c r="B66" s="13" t="s">
        <v>2865</v>
      </c>
      <c r="C66" s="13" t="s">
        <v>290</v>
      </c>
      <c r="D66" s="65">
        <v>35</v>
      </c>
      <c r="E66" s="13" t="s">
        <v>37</v>
      </c>
      <c r="F66" s="13" t="s">
        <v>2866</v>
      </c>
      <c r="G66" s="13" t="s">
        <v>2867</v>
      </c>
      <c r="H66" s="2"/>
      <c r="I66" s="2"/>
      <c r="J66" s="2"/>
      <c r="K66" s="2"/>
      <c r="L66" s="2"/>
      <c r="M66" s="2"/>
      <c r="N66" s="2"/>
      <c r="O66" s="2"/>
      <c r="P66" s="2"/>
      <c r="Q66" s="2"/>
      <c r="R66" s="2"/>
      <c r="S66" s="2"/>
      <c r="T66" s="2"/>
      <c r="U66" s="2"/>
      <c r="V66" s="2"/>
      <c r="W66" s="2"/>
      <c r="X66" s="2"/>
      <c r="Y66" s="2"/>
      <c r="Z66" s="2"/>
    </row>
    <row r="67" customHeight="1" spans="1:26">
      <c r="A67" s="13" t="s">
        <v>297</v>
      </c>
      <c r="B67" s="13" t="s">
        <v>2868</v>
      </c>
      <c r="C67" s="13" t="s">
        <v>1807</v>
      </c>
      <c r="D67" s="57"/>
      <c r="E67" s="57"/>
      <c r="F67" s="13" t="s">
        <v>2869</v>
      </c>
      <c r="G67" s="13" t="s">
        <v>2870</v>
      </c>
      <c r="H67" s="2"/>
      <c r="I67" s="2"/>
      <c r="J67" s="2"/>
      <c r="K67" s="2"/>
      <c r="L67" s="2"/>
      <c r="M67" s="2"/>
      <c r="N67" s="2"/>
      <c r="O67" s="2"/>
      <c r="P67" s="2"/>
      <c r="Q67" s="2"/>
      <c r="R67" s="2"/>
      <c r="S67" s="2"/>
      <c r="T67" s="2"/>
      <c r="U67" s="2"/>
      <c r="V67" s="2"/>
      <c r="W67" s="2"/>
      <c r="X67" s="2"/>
      <c r="Y67" s="2"/>
      <c r="Z67" s="2"/>
    </row>
    <row r="68" customHeight="1" spans="1:26">
      <c r="A68" s="13" t="s">
        <v>302</v>
      </c>
      <c r="B68" s="13" t="s">
        <v>2871</v>
      </c>
      <c r="C68" s="13" t="s">
        <v>2630</v>
      </c>
      <c r="D68" s="57"/>
      <c r="E68" s="57"/>
      <c r="F68" s="13" t="s">
        <v>2872</v>
      </c>
      <c r="G68" s="13" t="s">
        <v>2873</v>
      </c>
      <c r="H68" s="2"/>
      <c r="I68" s="2"/>
      <c r="J68" s="2"/>
      <c r="K68" s="2"/>
      <c r="L68" s="2"/>
      <c r="M68" s="2"/>
      <c r="N68" s="2"/>
      <c r="O68" s="2"/>
      <c r="P68" s="2"/>
      <c r="Q68" s="2"/>
      <c r="R68" s="2"/>
      <c r="S68" s="2"/>
      <c r="T68" s="2"/>
      <c r="U68" s="2"/>
      <c r="V68" s="2"/>
      <c r="W68" s="2"/>
      <c r="X68" s="2"/>
      <c r="Y68" s="2"/>
      <c r="Z68" s="2"/>
    </row>
    <row r="69" customHeight="1" spans="1:26">
      <c r="A69" s="70" t="s">
        <v>307</v>
      </c>
      <c r="B69" s="13" t="s">
        <v>2874</v>
      </c>
      <c r="C69" s="63" t="s">
        <v>309</v>
      </c>
      <c r="D69" s="71">
        <v>45</v>
      </c>
      <c r="E69" s="63" t="s">
        <v>310</v>
      </c>
      <c r="F69" s="13" t="s">
        <v>2875</v>
      </c>
      <c r="G69" s="13" t="s">
        <v>2875</v>
      </c>
      <c r="H69" s="2"/>
      <c r="I69" s="2"/>
      <c r="J69" s="2"/>
      <c r="K69" s="2"/>
      <c r="L69" s="2"/>
      <c r="M69" s="2"/>
      <c r="N69" s="2"/>
      <c r="O69" s="2"/>
      <c r="P69" s="2"/>
      <c r="Q69" s="2"/>
      <c r="R69" s="2"/>
      <c r="S69" s="2"/>
      <c r="T69" s="2"/>
      <c r="U69" s="2"/>
      <c r="V69" s="2"/>
      <c r="W69" s="2"/>
      <c r="X69" s="2"/>
      <c r="Y69" s="2"/>
      <c r="Z69" s="2"/>
    </row>
    <row r="70" customHeight="1" spans="1:26">
      <c r="A70" s="13" t="s">
        <v>313</v>
      </c>
      <c r="B70" s="13" t="s">
        <v>314</v>
      </c>
      <c r="C70" s="13" t="s">
        <v>315</v>
      </c>
      <c r="D70" s="65">
        <v>90</v>
      </c>
      <c r="E70" s="13" t="s">
        <v>32</v>
      </c>
      <c r="F70" s="73" t="s">
        <v>316</v>
      </c>
      <c r="G70" s="73" t="str">
        <f>HYPERLINK("http://www.disneystore.sg/","http://www.disneystore.sg/")</f>
        <v>http://www.disneystore.sg/</v>
      </c>
      <c r="H70" s="2"/>
      <c r="I70" s="2"/>
      <c r="J70" s="2"/>
      <c r="K70" s="2"/>
      <c r="L70" s="2"/>
      <c r="M70" s="2"/>
      <c r="N70" s="2"/>
      <c r="O70" s="2"/>
      <c r="P70" s="2"/>
      <c r="Q70" s="2"/>
      <c r="R70" s="2"/>
      <c r="S70" s="2"/>
      <c r="T70" s="2"/>
      <c r="U70" s="2"/>
      <c r="V70" s="2"/>
      <c r="W70" s="2"/>
      <c r="X70" s="2"/>
      <c r="Y70" s="2"/>
      <c r="Z70" s="2"/>
    </row>
    <row r="71" customHeight="1" spans="1:26">
      <c r="A71" s="13" t="s">
        <v>317</v>
      </c>
      <c r="B71" s="13" t="s">
        <v>2876</v>
      </c>
      <c r="C71" s="13" t="s">
        <v>319</v>
      </c>
      <c r="D71" s="65">
        <v>400</v>
      </c>
      <c r="E71" s="13" t="s">
        <v>245</v>
      </c>
      <c r="F71" s="13" t="s">
        <v>2877</v>
      </c>
      <c r="G71" s="13" t="s">
        <v>2878</v>
      </c>
      <c r="H71" s="2"/>
      <c r="I71" s="2"/>
      <c r="J71" s="2"/>
      <c r="K71" s="2"/>
      <c r="L71" s="2"/>
      <c r="M71" s="2"/>
      <c r="N71" s="2"/>
      <c r="O71" s="2"/>
      <c r="P71" s="2"/>
      <c r="Q71" s="2"/>
      <c r="R71" s="2"/>
      <c r="S71" s="2"/>
      <c r="T71" s="2"/>
      <c r="U71" s="2"/>
      <c r="V71" s="2"/>
      <c r="W71" s="2"/>
      <c r="X71" s="2"/>
      <c r="Y71" s="2"/>
      <c r="Z71" s="2"/>
    </row>
    <row r="72" customHeight="1" spans="1:26">
      <c r="A72" s="64" t="s">
        <v>321</v>
      </c>
      <c r="B72" s="13" t="s">
        <v>2879</v>
      </c>
      <c r="C72" s="13" t="s">
        <v>315</v>
      </c>
      <c r="D72" s="65">
        <v>13</v>
      </c>
      <c r="E72" s="13" t="s">
        <v>262</v>
      </c>
      <c r="F72" s="13" t="s">
        <v>2880</v>
      </c>
      <c r="G72" s="13" t="s">
        <v>2881</v>
      </c>
      <c r="H72" s="2"/>
      <c r="I72" s="2"/>
      <c r="J72" s="2"/>
      <c r="K72" s="2"/>
      <c r="L72" s="2"/>
      <c r="M72" s="2"/>
      <c r="N72" s="2"/>
      <c r="O72" s="2"/>
      <c r="P72" s="2"/>
      <c r="Q72" s="2"/>
      <c r="R72" s="2"/>
      <c r="S72" s="2"/>
      <c r="T72" s="2"/>
      <c r="U72" s="2"/>
      <c r="V72" s="2"/>
      <c r="W72" s="2"/>
      <c r="X72" s="2"/>
      <c r="Y72" s="2"/>
      <c r="Z72" s="2"/>
    </row>
    <row r="73" customHeight="1" spans="1:26">
      <c r="A73" s="13" t="s">
        <v>325</v>
      </c>
      <c r="B73" s="13" t="s">
        <v>2882</v>
      </c>
      <c r="C73" s="13" t="s">
        <v>327</v>
      </c>
      <c r="D73" s="57"/>
      <c r="E73" s="57"/>
      <c r="F73" s="13" t="s">
        <v>2883</v>
      </c>
      <c r="G73" s="13" t="s">
        <v>2884</v>
      </c>
      <c r="H73" s="2"/>
      <c r="I73" s="2"/>
      <c r="J73" s="2"/>
      <c r="K73" s="2"/>
      <c r="L73" s="2"/>
      <c r="M73" s="2"/>
      <c r="N73" s="2"/>
      <c r="O73" s="2"/>
      <c r="P73" s="2"/>
      <c r="Q73" s="2"/>
      <c r="R73" s="2"/>
      <c r="S73" s="2"/>
      <c r="T73" s="2"/>
      <c r="U73" s="2"/>
      <c r="V73" s="2"/>
      <c r="W73" s="2"/>
      <c r="X73" s="2"/>
      <c r="Y73" s="2"/>
      <c r="Z73" s="2"/>
    </row>
    <row r="74" customHeight="1" spans="1:26">
      <c r="A74" s="64" t="s">
        <v>330</v>
      </c>
      <c r="B74" s="13" t="s">
        <v>331</v>
      </c>
      <c r="C74" s="13" t="s">
        <v>315</v>
      </c>
      <c r="D74" s="65">
        <v>50</v>
      </c>
      <c r="E74" s="13" t="s">
        <v>37</v>
      </c>
      <c r="F74" s="13" t="s">
        <v>332</v>
      </c>
      <c r="G74" s="13" t="s">
        <v>2885</v>
      </c>
      <c r="H74" s="2"/>
      <c r="I74" s="2"/>
      <c r="J74" s="2"/>
      <c r="K74" s="2"/>
      <c r="L74" s="2"/>
      <c r="M74" s="2"/>
      <c r="N74" s="2"/>
      <c r="O74" s="2"/>
      <c r="P74" s="2"/>
      <c r="Q74" s="2"/>
      <c r="R74" s="2"/>
      <c r="S74" s="2"/>
      <c r="T74" s="2"/>
      <c r="U74" s="2"/>
      <c r="V74" s="2"/>
      <c r="W74" s="2"/>
      <c r="X74" s="2"/>
      <c r="Y74" s="2"/>
      <c r="Z74" s="2"/>
    </row>
    <row r="75" customHeight="1" spans="1:26">
      <c r="A75" s="64" t="s">
        <v>334</v>
      </c>
      <c r="B75" s="13" t="s">
        <v>335</v>
      </c>
      <c r="C75" s="13" t="s">
        <v>315</v>
      </c>
      <c r="D75" s="65">
        <v>50</v>
      </c>
      <c r="E75" s="13" t="s">
        <v>37</v>
      </c>
      <c r="F75" s="13" t="s">
        <v>336</v>
      </c>
      <c r="G75" s="74" t="s">
        <v>2886</v>
      </c>
      <c r="H75" s="2"/>
      <c r="I75" s="2"/>
      <c r="J75" s="2"/>
      <c r="K75" s="2"/>
      <c r="L75" s="2"/>
      <c r="M75" s="2"/>
      <c r="N75" s="2"/>
      <c r="O75" s="2"/>
      <c r="P75" s="2"/>
      <c r="Q75" s="2"/>
      <c r="R75" s="2"/>
      <c r="S75" s="2"/>
      <c r="T75" s="2"/>
      <c r="U75" s="2"/>
      <c r="V75" s="2"/>
      <c r="W75" s="2"/>
      <c r="X75" s="2"/>
      <c r="Y75" s="2"/>
      <c r="Z75" s="2"/>
    </row>
    <row r="76" customHeight="1" spans="1:26">
      <c r="A76" s="64" t="s">
        <v>338</v>
      </c>
      <c r="B76" s="13" t="s">
        <v>2887</v>
      </c>
      <c r="C76" s="13" t="s">
        <v>315</v>
      </c>
      <c r="D76" s="65">
        <v>125</v>
      </c>
      <c r="E76" s="13" t="s">
        <v>262</v>
      </c>
      <c r="F76" s="13" t="s">
        <v>2888</v>
      </c>
      <c r="G76" s="13" t="s">
        <v>2889</v>
      </c>
      <c r="H76" s="2"/>
      <c r="I76" s="2"/>
      <c r="J76" s="2"/>
      <c r="K76" s="2"/>
      <c r="L76" s="2"/>
      <c r="M76" s="2"/>
      <c r="N76" s="2"/>
      <c r="O76" s="2"/>
      <c r="P76" s="2"/>
      <c r="Q76" s="2"/>
      <c r="R76" s="2"/>
      <c r="S76" s="2"/>
      <c r="T76" s="2"/>
      <c r="U76" s="2"/>
      <c r="V76" s="2"/>
      <c r="W76" s="2"/>
      <c r="X76" s="2"/>
      <c r="Y76" s="2"/>
      <c r="Z76" s="2"/>
    </row>
    <row r="77" customHeight="1" spans="1:26">
      <c r="A77" s="64" t="s">
        <v>342</v>
      </c>
      <c r="B77" s="13" t="s">
        <v>343</v>
      </c>
      <c r="C77" s="13" t="s">
        <v>315</v>
      </c>
      <c r="D77" s="65">
        <v>45</v>
      </c>
      <c r="E77" s="13" t="s">
        <v>262</v>
      </c>
      <c r="F77" s="13" t="s">
        <v>344</v>
      </c>
      <c r="G77" s="13" t="s">
        <v>2890</v>
      </c>
      <c r="H77" s="2"/>
      <c r="I77" s="2"/>
      <c r="J77" s="2"/>
      <c r="K77" s="2"/>
      <c r="L77" s="2"/>
      <c r="M77" s="2"/>
      <c r="N77" s="2"/>
      <c r="O77" s="2"/>
      <c r="P77" s="2"/>
      <c r="Q77" s="2"/>
      <c r="R77" s="2"/>
      <c r="S77" s="2"/>
      <c r="T77" s="2"/>
      <c r="U77" s="2"/>
      <c r="V77" s="2"/>
      <c r="W77" s="2"/>
      <c r="X77" s="2"/>
      <c r="Y77" s="2"/>
      <c r="Z77" s="2"/>
    </row>
    <row r="78" customHeight="1" spans="1:26">
      <c r="A78" s="64" t="s">
        <v>346</v>
      </c>
      <c r="B78" s="13" t="s">
        <v>347</v>
      </c>
      <c r="C78" s="13" t="s">
        <v>315</v>
      </c>
      <c r="D78" s="65">
        <v>55</v>
      </c>
      <c r="E78" s="13" t="s">
        <v>37</v>
      </c>
      <c r="F78" s="13" t="s">
        <v>348</v>
      </c>
      <c r="G78" s="74" t="s">
        <v>2891</v>
      </c>
      <c r="H78" s="2"/>
      <c r="I78" s="2"/>
      <c r="J78" s="2"/>
      <c r="K78" s="2"/>
      <c r="L78" s="2"/>
      <c r="M78" s="2"/>
      <c r="N78" s="2"/>
      <c r="O78" s="2"/>
      <c r="P78" s="2"/>
      <c r="Q78" s="2"/>
      <c r="R78" s="2"/>
      <c r="S78" s="2"/>
      <c r="T78" s="2"/>
      <c r="U78" s="2"/>
      <c r="V78" s="2"/>
      <c r="W78" s="2"/>
      <c r="X78" s="2"/>
      <c r="Y78" s="2"/>
      <c r="Z78" s="2"/>
    </row>
    <row r="79" customHeight="1" spans="1:26">
      <c r="A79" s="64" t="s">
        <v>350</v>
      </c>
      <c r="B79" s="13" t="s">
        <v>351</v>
      </c>
      <c r="C79" s="13" t="s">
        <v>315</v>
      </c>
      <c r="D79" s="65">
        <v>20</v>
      </c>
      <c r="E79" s="13" t="s">
        <v>262</v>
      </c>
      <c r="F79" s="13" t="s">
        <v>352</v>
      </c>
      <c r="G79" s="13" t="s">
        <v>2892</v>
      </c>
      <c r="H79" s="2"/>
      <c r="I79" s="2"/>
      <c r="J79" s="2"/>
      <c r="K79" s="2"/>
      <c r="L79" s="2"/>
      <c r="M79" s="2"/>
      <c r="N79" s="2"/>
      <c r="O79" s="2"/>
      <c r="P79" s="2"/>
      <c r="Q79" s="2"/>
      <c r="R79" s="2"/>
      <c r="S79" s="2"/>
      <c r="T79" s="2"/>
      <c r="U79" s="2"/>
      <c r="V79" s="2"/>
      <c r="W79" s="2"/>
      <c r="X79" s="2"/>
      <c r="Y79" s="2"/>
      <c r="Z79" s="2"/>
    </row>
    <row r="80" customHeight="1" spans="1:26">
      <c r="A80" s="13" t="s">
        <v>354</v>
      </c>
      <c r="B80" s="13" t="s">
        <v>355</v>
      </c>
      <c r="C80" s="13" t="s">
        <v>356</v>
      </c>
      <c r="D80" s="65">
        <v>123</v>
      </c>
      <c r="E80" s="13" t="s">
        <v>310</v>
      </c>
      <c r="F80" s="13" t="s">
        <v>357</v>
      </c>
      <c r="G80" s="73" t="str">
        <f>HYPERLINK("http://www.maccosmetics.sg/","http://www.maccosmetics.sg/")</f>
        <v>http://www.maccosmetics.sg/</v>
      </c>
      <c r="H80" s="2"/>
      <c r="I80" s="2"/>
      <c r="J80" s="2"/>
      <c r="K80" s="2"/>
      <c r="L80" s="2"/>
      <c r="M80" s="2"/>
      <c r="N80" s="2"/>
      <c r="O80" s="2"/>
      <c r="P80" s="2"/>
      <c r="Q80" s="2"/>
      <c r="R80" s="2"/>
      <c r="S80" s="2"/>
      <c r="T80" s="2"/>
      <c r="U80" s="2"/>
      <c r="V80" s="2"/>
      <c r="W80" s="2"/>
      <c r="X80" s="2"/>
      <c r="Y80" s="2"/>
      <c r="Z80" s="2"/>
    </row>
    <row r="81" customHeight="1" spans="1:26">
      <c r="A81" s="13" t="s">
        <v>359</v>
      </c>
      <c r="B81" s="13" t="s">
        <v>2893</v>
      </c>
      <c r="C81" s="13" t="s">
        <v>2383</v>
      </c>
      <c r="D81" s="57"/>
      <c r="E81" s="57"/>
      <c r="F81" s="13" t="s">
        <v>2894</v>
      </c>
      <c r="G81" s="13" t="s">
        <v>2895</v>
      </c>
      <c r="H81" s="2"/>
      <c r="I81" s="2"/>
      <c r="J81" s="2"/>
      <c r="K81" s="2"/>
      <c r="L81" s="2"/>
      <c r="M81" s="2"/>
      <c r="N81" s="2"/>
      <c r="O81" s="2"/>
      <c r="P81" s="2"/>
      <c r="Q81" s="2"/>
      <c r="R81" s="2"/>
      <c r="S81" s="2"/>
      <c r="T81" s="2"/>
      <c r="U81" s="2"/>
      <c r="V81" s="2"/>
      <c r="W81" s="2"/>
      <c r="X81" s="2"/>
      <c r="Y81" s="2"/>
      <c r="Z81" s="2"/>
    </row>
    <row r="82" customHeight="1" spans="1:26">
      <c r="A82" s="64" t="s">
        <v>364</v>
      </c>
      <c r="B82" s="13" t="s">
        <v>365</v>
      </c>
      <c r="C82" s="13" t="s">
        <v>366</v>
      </c>
      <c r="D82" s="65">
        <v>35</v>
      </c>
      <c r="E82" s="13" t="s">
        <v>262</v>
      </c>
      <c r="F82" s="13" t="s">
        <v>367</v>
      </c>
      <c r="G82" s="73" t="str">
        <f>HYPERLINK("http://www.ebay.sg/","http://www.ebay.sg/")</f>
        <v>http://www.ebay.sg/</v>
      </c>
      <c r="H82" s="2"/>
      <c r="I82" s="2"/>
      <c r="J82" s="2"/>
      <c r="K82" s="2"/>
      <c r="L82" s="2"/>
      <c r="M82" s="2"/>
      <c r="N82" s="2"/>
      <c r="O82" s="2"/>
      <c r="P82" s="2"/>
      <c r="Q82" s="2"/>
      <c r="R82" s="2"/>
      <c r="S82" s="2"/>
      <c r="T82" s="2"/>
      <c r="U82" s="2"/>
      <c r="V82" s="2"/>
      <c r="W82" s="2"/>
      <c r="X82" s="2"/>
      <c r="Y82" s="2"/>
      <c r="Z82" s="2"/>
    </row>
    <row r="83" customHeight="1" spans="1:26">
      <c r="A83" s="64" t="s">
        <v>368</v>
      </c>
      <c r="B83" s="13" t="s">
        <v>369</v>
      </c>
      <c r="C83" s="13" t="s">
        <v>366</v>
      </c>
      <c r="D83" s="65">
        <v>30</v>
      </c>
      <c r="E83" s="13" t="s">
        <v>262</v>
      </c>
      <c r="F83" s="13" t="s">
        <v>370</v>
      </c>
      <c r="G83" s="73" t="str">
        <f>HYPERLINK("http://www.amazon.sg/","http://www.amazon.sg/")</f>
        <v>http://www.amazon.sg/</v>
      </c>
      <c r="H83" s="2"/>
      <c r="I83" s="2"/>
      <c r="J83" s="2"/>
      <c r="K83" s="2"/>
      <c r="L83" s="2"/>
      <c r="M83" s="2"/>
      <c r="N83" s="2"/>
      <c r="O83" s="2"/>
      <c r="P83" s="2"/>
      <c r="Q83" s="2"/>
      <c r="R83" s="2"/>
      <c r="S83" s="2"/>
      <c r="T83" s="2"/>
      <c r="U83" s="2"/>
      <c r="V83" s="2"/>
      <c r="W83" s="2"/>
      <c r="X83" s="2"/>
      <c r="Y83" s="2"/>
      <c r="Z83" s="2"/>
    </row>
    <row r="84" customHeight="1" spans="1:26">
      <c r="A84" s="64" t="s">
        <v>371</v>
      </c>
      <c r="B84" s="13" t="s">
        <v>372</v>
      </c>
      <c r="C84" s="13" t="s">
        <v>373</v>
      </c>
      <c r="D84" s="65">
        <v>35</v>
      </c>
      <c r="E84" s="13" t="s">
        <v>37</v>
      </c>
      <c r="F84" s="13" t="s">
        <v>374</v>
      </c>
      <c r="G84" s="73" t="str">
        <f>HYPERLINK("http://www.next.sg/","http://www.next.sg/")</f>
        <v>http://www.next.sg/</v>
      </c>
      <c r="H84" s="2"/>
      <c r="I84" s="2"/>
      <c r="J84" s="2"/>
      <c r="K84" s="2"/>
      <c r="L84" s="2"/>
      <c r="M84" s="2"/>
      <c r="N84" s="2"/>
      <c r="O84" s="2"/>
      <c r="P84" s="2"/>
      <c r="Q84" s="2"/>
      <c r="R84" s="2"/>
      <c r="S84" s="2"/>
      <c r="T84" s="2"/>
      <c r="U84" s="2"/>
      <c r="V84" s="2"/>
      <c r="W84" s="2"/>
      <c r="X84" s="2"/>
      <c r="Y84" s="2"/>
      <c r="Z84" s="2"/>
    </row>
    <row r="85" customHeight="1" spans="1:26">
      <c r="A85" s="64" t="s">
        <v>375</v>
      </c>
      <c r="B85" s="13" t="s">
        <v>2223</v>
      </c>
      <c r="C85" s="13" t="s">
        <v>373</v>
      </c>
      <c r="D85" s="65">
        <v>90</v>
      </c>
      <c r="E85" s="13" t="s">
        <v>37</v>
      </c>
      <c r="F85" s="13" t="s">
        <v>2224</v>
      </c>
      <c r="G85" s="13" t="s">
        <v>2225</v>
      </c>
      <c r="H85" s="2"/>
      <c r="I85" s="2"/>
      <c r="J85" s="2"/>
      <c r="K85" s="2"/>
      <c r="L85" s="2"/>
      <c r="M85" s="2"/>
      <c r="N85" s="2"/>
      <c r="O85" s="2"/>
      <c r="P85" s="2"/>
      <c r="Q85" s="2"/>
      <c r="R85" s="2"/>
      <c r="S85" s="2"/>
      <c r="T85" s="2"/>
      <c r="U85" s="2"/>
      <c r="V85" s="2"/>
      <c r="W85" s="2"/>
      <c r="X85" s="2"/>
      <c r="Y85" s="2"/>
      <c r="Z85" s="2"/>
    </row>
    <row r="86" customHeight="1" spans="1:26">
      <c r="A86" s="64" t="s">
        <v>379</v>
      </c>
      <c r="B86" s="13" t="s">
        <v>2226</v>
      </c>
      <c r="C86" s="13" t="s">
        <v>373</v>
      </c>
      <c r="D86" s="65">
        <v>66</v>
      </c>
      <c r="E86" s="13" t="s">
        <v>21</v>
      </c>
      <c r="F86" s="13" t="s">
        <v>2227</v>
      </c>
      <c r="G86" s="13" t="s">
        <v>2228</v>
      </c>
      <c r="H86" s="2"/>
      <c r="I86" s="2"/>
      <c r="J86" s="2"/>
      <c r="K86" s="2"/>
      <c r="L86" s="2"/>
      <c r="M86" s="2"/>
      <c r="N86" s="2"/>
      <c r="O86" s="2"/>
      <c r="P86" s="2"/>
      <c r="Q86" s="2"/>
      <c r="R86" s="2"/>
      <c r="S86" s="2"/>
      <c r="T86" s="2"/>
      <c r="U86" s="2"/>
      <c r="V86" s="2"/>
      <c r="W86" s="2"/>
      <c r="X86" s="2"/>
      <c r="Y86" s="2"/>
      <c r="Z86" s="2"/>
    </row>
    <row r="87" customHeight="1" spans="1:26">
      <c r="A87" s="13" t="s">
        <v>383</v>
      </c>
      <c r="B87" s="13" t="s">
        <v>1838</v>
      </c>
      <c r="C87" s="13" t="s">
        <v>373</v>
      </c>
      <c r="D87" s="65">
        <v>150</v>
      </c>
      <c r="E87" s="13" t="s">
        <v>310</v>
      </c>
      <c r="F87" s="13" t="s">
        <v>1839</v>
      </c>
      <c r="G87" s="13" t="s">
        <v>2229</v>
      </c>
      <c r="H87" s="2"/>
      <c r="I87" s="2"/>
      <c r="J87" s="2"/>
      <c r="K87" s="2"/>
      <c r="L87" s="2"/>
      <c r="M87" s="2"/>
      <c r="N87" s="2"/>
      <c r="O87" s="2"/>
      <c r="P87" s="2"/>
      <c r="Q87" s="2"/>
      <c r="R87" s="2"/>
      <c r="S87" s="2"/>
      <c r="T87" s="2"/>
      <c r="U87" s="2"/>
      <c r="V87" s="2"/>
      <c r="W87" s="2"/>
      <c r="X87" s="2"/>
      <c r="Y87" s="2"/>
      <c r="Z87" s="2"/>
    </row>
    <row r="88" customHeight="1" spans="1:26">
      <c r="A88" s="13" t="s">
        <v>387</v>
      </c>
      <c r="B88" s="13" t="s">
        <v>388</v>
      </c>
      <c r="C88" s="13" t="s">
        <v>373</v>
      </c>
      <c r="D88" s="65">
        <v>76</v>
      </c>
      <c r="E88" s="13" t="s">
        <v>37</v>
      </c>
      <c r="F88" s="13" t="s">
        <v>389</v>
      </c>
      <c r="G88" s="13" t="s">
        <v>2896</v>
      </c>
      <c r="H88" s="2"/>
      <c r="I88" s="2"/>
      <c r="J88" s="2"/>
      <c r="K88" s="2"/>
      <c r="L88" s="2"/>
      <c r="M88" s="2"/>
      <c r="N88" s="2"/>
      <c r="O88" s="2"/>
      <c r="P88" s="2"/>
      <c r="Q88" s="2"/>
      <c r="R88" s="2"/>
      <c r="S88" s="2"/>
      <c r="T88" s="2"/>
      <c r="U88" s="2"/>
      <c r="V88" s="2"/>
      <c r="W88" s="2"/>
      <c r="X88" s="2"/>
      <c r="Y88" s="2"/>
      <c r="Z88" s="2"/>
    </row>
    <row r="89" customHeight="1" spans="1:26">
      <c r="A89" s="13" t="s">
        <v>391</v>
      </c>
      <c r="B89" s="13" t="s">
        <v>392</v>
      </c>
      <c r="C89" s="13" t="s">
        <v>393</v>
      </c>
      <c r="D89" s="14">
        <v>3500</v>
      </c>
      <c r="E89" s="13" t="s">
        <v>21</v>
      </c>
      <c r="F89" s="13" t="s">
        <v>394</v>
      </c>
      <c r="G89" s="73" t="str">
        <f>HYPERLINK("http://www.chanel.com/sg_SG/","http://www.chanel.com/sg_SG/")</f>
        <v>http://www.chanel.com/sg_SG/</v>
      </c>
      <c r="H89" s="2"/>
      <c r="I89" s="2"/>
      <c r="J89" s="2"/>
      <c r="K89" s="2"/>
      <c r="L89" s="2"/>
      <c r="M89" s="2"/>
      <c r="N89" s="2"/>
      <c r="O89" s="2"/>
      <c r="P89" s="2"/>
      <c r="Q89" s="2"/>
      <c r="R89" s="2"/>
      <c r="S89" s="2"/>
      <c r="T89" s="2"/>
      <c r="U89" s="2"/>
      <c r="V89" s="2"/>
      <c r="W89" s="2"/>
      <c r="X89" s="2"/>
      <c r="Y89" s="2"/>
      <c r="Z89" s="2"/>
    </row>
    <row r="90" customHeight="1" spans="1:26">
      <c r="A90" s="13" t="s">
        <v>395</v>
      </c>
      <c r="B90" s="13" t="s">
        <v>396</v>
      </c>
      <c r="C90" s="13" t="s">
        <v>393</v>
      </c>
      <c r="D90" s="14">
        <v>1230</v>
      </c>
      <c r="E90" s="13" t="s">
        <v>21</v>
      </c>
      <c r="F90" s="13" t="s">
        <v>397</v>
      </c>
      <c r="G90" s="13" t="s">
        <v>398</v>
      </c>
      <c r="H90" s="2"/>
      <c r="I90" s="2"/>
      <c r="J90" s="2"/>
      <c r="K90" s="2"/>
      <c r="L90" s="2"/>
      <c r="M90" s="2"/>
      <c r="N90" s="2"/>
      <c r="O90" s="2"/>
      <c r="P90" s="2"/>
      <c r="Q90" s="2"/>
      <c r="R90" s="2"/>
      <c r="S90" s="2"/>
      <c r="T90" s="2"/>
      <c r="U90" s="2"/>
      <c r="V90" s="2"/>
      <c r="W90" s="2"/>
      <c r="X90" s="2"/>
      <c r="Y90" s="2"/>
      <c r="Z90" s="2"/>
    </row>
    <row r="91" customHeight="1" spans="1:26">
      <c r="A91" s="13" t="s">
        <v>399</v>
      </c>
      <c r="B91" s="13" t="s">
        <v>2897</v>
      </c>
      <c r="C91" s="13" t="s">
        <v>224</v>
      </c>
      <c r="D91" s="65">
        <v>130</v>
      </c>
      <c r="E91" s="13" t="s">
        <v>262</v>
      </c>
      <c r="F91" s="13" t="s">
        <v>2898</v>
      </c>
      <c r="G91" s="13" t="s">
        <v>2899</v>
      </c>
      <c r="H91" s="2"/>
      <c r="I91" s="2"/>
      <c r="J91" s="2"/>
      <c r="K91" s="2"/>
      <c r="L91" s="2"/>
      <c r="M91" s="2"/>
      <c r="N91" s="2"/>
      <c r="O91" s="2"/>
      <c r="P91" s="2"/>
      <c r="Q91" s="2"/>
      <c r="R91" s="2"/>
      <c r="S91" s="2"/>
      <c r="T91" s="2"/>
      <c r="U91" s="2"/>
      <c r="V91" s="2"/>
      <c r="W91" s="2"/>
      <c r="X91" s="2"/>
      <c r="Y91" s="2"/>
      <c r="Z91" s="2"/>
    </row>
    <row r="92" customHeight="1" spans="1:26">
      <c r="A92" s="13" t="s">
        <v>403</v>
      </c>
      <c r="B92" s="13" t="s">
        <v>2900</v>
      </c>
      <c r="C92" s="13" t="s">
        <v>229</v>
      </c>
      <c r="D92" s="65">
        <v>500</v>
      </c>
      <c r="E92" s="13" t="s">
        <v>21</v>
      </c>
      <c r="F92" s="13" t="s">
        <v>2901</v>
      </c>
      <c r="G92" s="13" t="s">
        <v>2902</v>
      </c>
      <c r="H92" s="2"/>
      <c r="I92" s="2"/>
      <c r="J92" s="2"/>
      <c r="K92" s="2"/>
      <c r="L92" s="2"/>
      <c r="M92" s="2"/>
      <c r="N92" s="2"/>
      <c r="O92" s="2"/>
      <c r="P92" s="2"/>
      <c r="Q92" s="2"/>
      <c r="R92" s="2"/>
      <c r="S92" s="2"/>
      <c r="T92" s="2"/>
      <c r="U92" s="2"/>
      <c r="V92" s="2"/>
      <c r="W92" s="2"/>
      <c r="X92" s="2"/>
      <c r="Y92" s="2"/>
      <c r="Z92" s="2"/>
    </row>
    <row r="93" customHeight="1" spans="1:26">
      <c r="A93" s="13" t="s">
        <v>407</v>
      </c>
      <c r="B93" s="13" t="s">
        <v>2903</v>
      </c>
      <c r="C93" s="13" t="s">
        <v>229</v>
      </c>
      <c r="D93" s="65">
        <v>350</v>
      </c>
      <c r="E93" s="13" t="s">
        <v>21</v>
      </c>
      <c r="F93" s="13" t="s">
        <v>2904</v>
      </c>
      <c r="G93" s="13" t="s">
        <v>2905</v>
      </c>
      <c r="H93" s="2"/>
      <c r="I93" s="2"/>
      <c r="J93" s="2"/>
      <c r="K93" s="2"/>
      <c r="L93" s="2"/>
      <c r="M93" s="2"/>
      <c r="N93" s="2"/>
      <c r="O93" s="2"/>
      <c r="P93" s="2"/>
      <c r="Q93" s="2"/>
      <c r="R93" s="2"/>
      <c r="S93" s="2"/>
      <c r="T93" s="2"/>
      <c r="U93" s="2"/>
      <c r="V93" s="2"/>
      <c r="W93" s="2"/>
      <c r="X93" s="2"/>
      <c r="Y93" s="2"/>
      <c r="Z93" s="2"/>
    </row>
    <row r="94" customHeight="1" spans="1:26">
      <c r="A94" s="13" t="s">
        <v>411</v>
      </c>
      <c r="B94" s="13" t="s">
        <v>2906</v>
      </c>
      <c r="C94" s="13" t="s">
        <v>413</v>
      </c>
      <c r="D94" s="57"/>
      <c r="E94" s="57"/>
      <c r="F94" s="13" t="s">
        <v>2907</v>
      </c>
      <c r="G94" s="13" t="s">
        <v>2908</v>
      </c>
      <c r="H94" s="2"/>
      <c r="I94" s="2"/>
      <c r="J94" s="2"/>
      <c r="K94" s="2"/>
      <c r="L94" s="2"/>
      <c r="M94" s="2"/>
      <c r="N94" s="2"/>
      <c r="O94" s="2"/>
      <c r="P94" s="2"/>
      <c r="Q94" s="2"/>
      <c r="R94" s="2"/>
      <c r="S94" s="2"/>
      <c r="T94" s="2"/>
      <c r="U94" s="2"/>
      <c r="V94" s="2"/>
      <c r="W94" s="2"/>
      <c r="X94" s="2"/>
      <c r="Y94" s="2"/>
      <c r="Z94" s="2"/>
    </row>
    <row r="95" customHeight="1" spans="1:26">
      <c r="A95" s="13" t="s">
        <v>416</v>
      </c>
      <c r="B95" s="13" t="s">
        <v>2909</v>
      </c>
      <c r="C95" s="13" t="s">
        <v>2469</v>
      </c>
      <c r="D95" s="57"/>
      <c r="E95" s="57"/>
      <c r="F95" s="13" t="s">
        <v>2910</v>
      </c>
      <c r="G95" s="13" t="s">
        <v>2911</v>
      </c>
      <c r="H95" s="2"/>
      <c r="I95" s="2"/>
      <c r="J95" s="2"/>
      <c r="K95" s="2"/>
      <c r="L95" s="2"/>
      <c r="M95" s="2"/>
      <c r="N95" s="2"/>
      <c r="O95" s="2"/>
      <c r="P95" s="2"/>
      <c r="Q95" s="2"/>
      <c r="R95" s="2"/>
      <c r="S95" s="2"/>
      <c r="T95" s="2"/>
      <c r="U95" s="2"/>
      <c r="V95" s="2"/>
      <c r="W95" s="2"/>
      <c r="X95" s="2"/>
      <c r="Y95" s="2"/>
      <c r="Z95" s="2"/>
    </row>
    <row r="96" customHeight="1" spans="1:26">
      <c r="A96" s="13" t="s">
        <v>421</v>
      </c>
      <c r="B96" s="13" t="s">
        <v>2912</v>
      </c>
      <c r="C96" s="13" t="s">
        <v>2483</v>
      </c>
      <c r="D96" s="57"/>
      <c r="E96" s="57"/>
      <c r="F96" s="13" t="s">
        <v>2913</v>
      </c>
      <c r="G96" s="13" t="s">
        <v>2914</v>
      </c>
      <c r="H96" s="2"/>
      <c r="I96" s="2"/>
      <c r="J96" s="2"/>
      <c r="K96" s="2"/>
      <c r="L96" s="2"/>
      <c r="M96" s="2"/>
      <c r="N96" s="2"/>
      <c r="O96" s="2"/>
      <c r="P96" s="2"/>
      <c r="Q96" s="2"/>
      <c r="R96" s="2"/>
      <c r="S96" s="2"/>
      <c r="T96" s="2"/>
      <c r="U96" s="2"/>
      <c r="V96" s="2"/>
      <c r="W96" s="2"/>
      <c r="X96" s="2"/>
      <c r="Y96" s="2"/>
      <c r="Z96" s="2"/>
    </row>
    <row r="97" customHeight="1" spans="1:26">
      <c r="A97" s="13" t="s">
        <v>426</v>
      </c>
      <c r="B97" s="13" t="s">
        <v>2915</v>
      </c>
      <c r="C97" s="13" t="s">
        <v>428</v>
      </c>
      <c r="D97" s="65">
        <v>13</v>
      </c>
      <c r="E97" s="13" t="s">
        <v>262</v>
      </c>
      <c r="F97" s="13" t="s">
        <v>2916</v>
      </c>
      <c r="G97" s="13" t="s">
        <v>2917</v>
      </c>
      <c r="H97" s="2"/>
      <c r="I97" s="2"/>
      <c r="J97" s="2"/>
      <c r="K97" s="2"/>
      <c r="L97" s="2"/>
      <c r="M97" s="2"/>
      <c r="N97" s="2"/>
      <c r="O97" s="2"/>
      <c r="P97" s="2"/>
      <c r="Q97" s="2"/>
      <c r="R97" s="2"/>
      <c r="S97" s="2"/>
      <c r="T97" s="2"/>
      <c r="U97" s="2"/>
      <c r="V97" s="2"/>
      <c r="W97" s="2"/>
      <c r="X97" s="2"/>
      <c r="Y97" s="2"/>
      <c r="Z97" s="2"/>
    </row>
    <row r="98" customHeight="1" spans="1:26">
      <c r="A98" s="13" t="s">
        <v>431</v>
      </c>
      <c r="B98" s="13" t="s">
        <v>2918</v>
      </c>
      <c r="C98" s="13" t="s">
        <v>428</v>
      </c>
      <c r="D98" s="65">
        <v>879</v>
      </c>
      <c r="E98" s="13" t="s">
        <v>21</v>
      </c>
      <c r="F98" s="13" t="s">
        <v>2919</v>
      </c>
      <c r="G98" s="13" t="s">
        <v>2920</v>
      </c>
      <c r="H98" s="2"/>
      <c r="I98" s="2"/>
      <c r="J98" s="2"/>
      <c r="K98" s="2"/>
      <c r="L98" s="2"/>
      <c r="M98" s="2"/>
      <c r="N98" s="2"/>
      <c r="O98" s="2"/>
      <c r="P98" s="2"/>
      <c r="Q98" s="2"/>
      <c r="R98" s="2"/>
      <c r="S98" s="2"/>
      <c r="T98" s="2"/>
      <c r="U98" s="2"/>
      <c r="V98" s="2"/>
      <c r="W98" s="2"/>
      <c r="X98" s="2"/>
      <c r="Y98" s="2"/>
      <c r="Z98" s="2"/>
    </row>
    <row r="99" customHeight="1" spans="1:26">
      <c r="A99" s="13" t="s">
        <v>435</v>
      </c>
      <c r="B99" s="13" t="s">
        <v>2921</v>
      </c>
      <c r="C99" s="13" t="s">
        <v>428</v>
      </c>
      <c r="D99" s="14">
        <v>1000</v>
      </c>
      <c r="E99" s="13" t="s">
        <v>21</v>
      </c>
      <c r="F99" s="13" t="s">
        <v>2922</v>
      </c>
      <c r="G99" s="13" t="s">
        <v>2923</v>
      </c>
      <c r="H99" s="2"/>
      <c r="I99" s="2"/>
      <c r="J99" s="2"/>
      <c r="K99" s="2"/>
      <c r="L99" s="2"/>
      <c r="M99" s="2"/>
      <c r="N99" s="2"/>
      <c r="O99" s="2"/>
      <c r="P99" s="2"/>
      <c r="Q99" s="2"/>
      <c r="R99" s="2"/>
      <c r="S99" s="2"/>
      <c r="T99" s="2"/>
      <c r="U99" s="2"/>
      <c r="V99" s="2"/>
      <c r="W99" s="2"/>
      <c r="X99" s="2"/>
      <c r="Y99" s="2"/>
      <c r="Z99" s="2"/>
    </row>
    <row r="100" customHeight="1" spans="1:26">
      <c r="A100" s="64" t="s">
        <v>439</v>
      </c>
      <c r="B100" s="13" t="s">
        <v>2924</v>
      </c>
      <c r="C100" s="13" t="s">
        <v>315</v>
      </c>
      <c r="D100" s="65">
        <v>15</v>
      </c>
      <c r="E100" s="13" t="s">
        <v>37</v>
      </c>
      <c r="F100" s="13" t="s">
        <v>2925</v>
      </c>
      <c r="G100" s="13" t="s">
        <v>2926</v>
      </c>
      <c r="H100" s="2"/>
      <c r="I100" s="2"/>
      <c r="J100" s="2"/>
      <c r="K100" s="2"/>
      <c r="L100" s="2"/>
      <c r="M100" s="2"/>
      <c r="N100" s="2"/>
      <c r="O100" s="2"/>
      <c r="P100" s="2"/>
      <c r="Q100" s="2"/>
      <c r="R100" s="2"/>
      <c r="S100" s="2"/>
      <c r="T100" s="2"/>
      <c r="U100" s="2"/>
      <c r="V100" s="2"/>
      <c r="W100" s="2"/>
      <c r="X100" s="2"/>
      <c r="Y100" s="2"/>
      <c r="Z100" s="2"/>
    </row>
    <row r="101" customHeight="1" spans="1:26">
      <c r="A101" s="13" t="s">
        <v>443</v>
      </c>
      <c r="B101" s="13" t="s">
        <v>2927</v>
      </c>
      <c r="C101" s="13" t="s">
        <v>445</v>
      </c>
      <c r="D101" s="57"/>
      <c r="E101" s="57"/>
      <c r="F101" s="13" t="s">
        <v>2928</v>
      </c>
      <c r="G101" s="13" t="s">
        <v>2929</v>
      </c>
      <c r="H101" s="2"/>
      <c r="I101" s="2"/>
      <c r="J101" s="2"/>
      <c r="K101" s="2"/>
      <c r="L101" s="2"/>
      <c r="M101" s="2"/>
      <c r="N101" s="2"/>
      <c r="O101" s="2"/>
      <c r="P101" s="2"/>
      <c r="Q101" s="2"/>
      <c r="R101" s="2"/>
      <c r="S101" s="2"/>
      <c r="T101" s="2"/>
      <c r="U101" s="2"/>
      <c r="V101" s="2"/>
      <c r="W101" s="2"/>
      <c r="X101" s="2"/>
      <c r="Y101" s="2"/>
      <c r="Z101" s="2"/>
    </row>
    <row r="102" customHeight="1" spans="1:26">
      <c r="A102" s="13" t="s">
        <v>448</v>
      </c>
      <c r="B102" s="13" t="s">
        <v>2930</v>
      </c>
      <c r="C102" s="13" t="s">
        <v>450</v>
      </c>
      <c r="D102" s="57"/>
      <c r="E102" s="57"/>
      <c r="F102" s="13" t="s">
        <v>2931</v>
      </c>
      <c r="G102" s="13" t="s">
        <v>2932</v>
      </c>
      <c r="H102" s="2"/>
      <c r="I102" s="2"/>
      <c r="J102" s="2"/>
      <c r="K102" s="2"/>
      <c r="L102" s="2"/>
      <c r="M102" s="2"/>
      <c r="N102" s="2"/>
      <c r="O102" s="2"/>
      <c r="P102" s="2"/>
      <c r="Q102" s="2"/>
      <c r="R102" s="2"/>
      <c r="S102" s="2"/>
      <c r="T102" s="2"/>
      <c r="U102" s="2"/>
      <c r="V102" s="2"/>
      <c r="W102" s="2"/>
      <c r="X102" s="2"/>
      <c r="Y102" s="2"/>
      <c r="Z102" s="2"/>
    </row>
    <row r="103" customHeight="1" spans="1:26">
      <c r="A103" s="13" t="s">
        <v>452</v>
      </c>
      <c r="B103" s="13" t="s">
        <v>2933</v>
      </c>
      <c r="C103" s="13" t="s">
        <v>450</v>
      </c>
      <c r="D103" s="65">
        <v>89</v>
      </c>
      <c r="E103" s="13" t="s">
        <v>310</v>
      </c>
      <c r="F103" s="13" t="s">
        <v>2934</v>
      </c>
      <c r="G103" s="13" t="s">
        <v>2935</v>
      </c>
      <c r="H103" s="2"/>
      <c r="I103" s="2"/>
      <c r="J103" s="2"/>
      <c r="K103" s="2"/>
      <c r="L103" s="2"/>
      <c r="M103" s="2"/>
      <c r="N103" s="2"/>
      <c r="O103" s="2"/>
      <c r="P103" s="2"/>
      <c r="Q103" s="2"/>
      <c r="R103" s="2"/>
      <c r="S103" s="2"/>
      <c r="T103" s="2"/>
      <c r="U103" s="2"/>
      <c r="V103" s="2"/>
      <c r="W103" s="2"/>
      <c r="X103" s="2"/>
      <c r="Y103" s="2"/>
      <c r="Z103" s="2"/>
    </row>
    <row r="104" customHeight="1" spans="1:26">
      <c r="A104" s="13" t="s">
        <v>455</v>
      </c>
      <c r="B104" s="13" t="s">
        <v>2936</v>
      </c>
      <c r="C104" s="13" t="s">
        <v>457</v>
      </c>
      <c r="D104" s="14">
        <v>400</v>
      </c>
      <c r="E104" s="13" t="s">
        <v>21</v>
      </c>
      <c r="F104" s="13" t="s">
        <v>2937</v>
      </c>
      <c r="G104" s="13" t="s">
        <v>2938</v>
      </c>
      <c r="H104" s="2"/>
      <c r="I104" s="2"/>
      <c r="J104" s="2"/>
      <c r="K104" s="2"/>
      <c r="L104" s="2"/>
      <c r="M104" s="2"/>
      <c r="N104" s="2"/>
      <c r="O104" s="2"/>
      <c r="P104" s="2"/>
      <c r="Q104" s="2"/>
      <c r="R104" s="2"/>
      <c r="S104" s="2"/>
      <c r="T104" s="2"/>
      <c r="U104" s="2"/>
      <c r="V104" s="2"/>
      <c r="W104" s="2"/>
      <c r="X104" s="2"/>
      <c r="Y104" s="2"/>
      <c r="Z104" s="2"/>
    </row>
    <row r="105" customHeight="1" spans="1:26">
      <c r="A105" s="13" t="s">
        <v>460</v>
      </c>
      <c r="B105" s="13" t="s">
        <v>2939</v>
      </c>
      <c r="C105" s="13" t="s">
        <v>462</v>
      </c>
      <c r="D105" s="57"/>
      <c r="E105" s="57"/>
      <c r="F105" s="13" t="s">
        <v>2940</v>
      </c>
      <c r="G105" s="13" t="s">
        <v>2941</v>
      </c>
      <c r="H105" s="2"/>
      <c r="I105" s="2"/>
      <c r="J105" s="2"/>
      <c r="K105" s="2"/>
      <c r="L105" s="2"/>
      <c r="M105" s="2"/>
      <c r="N105" s="2"/>
      <c r="O105" s="2"/>
      <c r="P105" s="2"/>
      <c r="Q105" s="2"/>
      <c r="R105" s="2"/>
      <c r="S105" s="2"/>
      <c r="T105" s="2"/>
      <c r="U105" s="2"/>
      <c r="V105" s="2"/>
      <c r="W105" s="2"/>
      <c r="X105" s="2"/>
      <c r="Y105" s="2"/>
      <c r="Z105" s="2"/>
    </row>
    <row r="106" customHeight="1" spans="1:26">
      <c r="A106" s="64" t="s">
        <v>465</v>
      </c>
      <c r="B106" s="13" t="s">
        <v>466</v>
      </c>
      <c r="C106" s="13" t="s">
        <v>315</v>
      </c>
      <c r="D106" s="65">
        <v>30</v>
      </c>
      <c r="E106" s="13" t="s">
        <v>21</v>
      </c>
      <c r="F106" s="13" t="s">
        <v>467</v>
      </c>
      <c r="G106" s="13" t="s">
        <v>2942</v>
      </c>
      <c r="H106" s="2"/>
      <c r="I106" s="2"/>
      <c r="J106" s="2"/>
      <c r="K106" s="2"/>
      <c r="L106" s="2"/>
      <c r="M106" s="2"/>
      <c r="N106" s="2"/>
      <c r="O106" s="2"/>
      <c r="P106" s="2"/>
      <c r="Q106" s="2"/>
      <c r="R106" s="2"/>
      <c r="S106" s="2"/>
      <c r="T106" s="2"/>
      <c r="U106" s="2"/>
      <c r="V106" s="2"/>
      <c r="W106" s="2"/>
      <c r="X106" s="2"/>
      <c r="Y106" s="2"/>
      <c r="Z106" s="2"/>
    </row>
    <row r="107" customHeight="1" spans="1:26">
      <c r="A107" s="13" t="s">
        <v>469</v>
      </c>
      <c r="B107" s="13" t="s">
        <v>2943</v>
      </c>
      <c r="C107" s="13" t="s">
        <v>471</v>
      </c>
      <c r="D107" s="14">
        <v>43</v>
      </c>
      <c r="E107" s="13" t="s">
        <v>310</v>
      </c>
      <c r="F107" s="13" t="s">
        <v>2944</v>
      </c>
      <c r="G107" s="13" t="s">
        <v>2945</v>
      </c>
      <c r="H107" s="2"/>
      <c r="I107" s="2"/>
      <c r="J107" s="2"/>
      <c r="K107" s="2"/>
      <c r="L107" s="2"/>
      <c r="M107" s="2"/>
      <c r="N107" s="2"/>
      <c r="O107" s="2"/>
      <c r="P107" s="2"/>
      <c r="Q107" s="2"/>
      <c r="R107" s="2"/>
      <c r="S107" s="2"/>
      <c r="T107" s="2"/>
      <c r="U107" s="2"/>
      <c r="V107" s="2"/>
      <c r="W107" s="2"/>
      <c r="X107" s="2"/>
      <c r="Y107" s="2"/>
      <c r="Z107" s="2"/>
    </row>
    <row r="108" customHeight="1" spans="1:26">
      <c r="A108" s="13" t="s">
        <v>474</v>
      </c>
      <c r="B108" s="13" t="s">
        <v>812</v>
      </c>
      <c r="C108" s="13" t="s">
        <v>476</v>
      </c>
      <c r="D108" s="57"/>
      <c r="E108" s="57"/>
      <c r="F108" s="13" t="s">
        <v>2946</v>
      </c>
      <c r="G108" s="13" t="s">
        <v>2947</v>
      </c>
      <c r="H108" s="2"/>
      <c r="I108" s="2"/>
      <c r="J108" s="2"/>
      <c r="K108" s="2"/>
      <c r="L108" s="2"/>
      <c r="M108" s="2"/>
      <c r="N108" s="2"/>
      <c r="O108" s="2"/>
      <c r="P108" s="2"/>
      <c r="Q108" s="2"/>
      <c r="R108" s="2"/>
      <c r="S108" s="2"/>
      <c r="T108" s="2"/>
      <c r="U108" s="2"/>
      <c r="V108" s="2"/>
      <c r="W108" s="2"/>
      <c r="X108" s="2"/>
      <c r="Y108" s="2"/>
      <c r="Z108" s="2"/>
    </row>
    <row r="109" customHeight="1" spans="1:26">
      <c r="A109" s="13" t="s">
        <v>479</v>
      </c>
      <c r="B109" s="13" t="s">
        <v>2948</v>
      </c>
      <c r="C109" s="13" t="s">
        <v>476</v>
      </c>
      <c r="D109" s="57"/>
      <c r="E109" s="57"/>
      <c r="F109" s="13" t="s">
        <v>2949</v>
      </c>
      <c r="G109" s="13" t="s">
        <v>2950</v>
      </c>
      <c r="H109" s="2"/>
      <c r="I109" s="2"/>
      <c r="J109" s="2"/>
      <c r="K109" s="2"/>
      <c r="L109" s="2"/>
      <c r="M109" s="2"/>
      <c r="N109" s="2"/>
      <c r="O109" s="2"/>
      <c r="P109" s="2"/>
      <c r="Q109" s="2"/>
      <c r="R109" s="2"/>
      <c r="S109" s="2"/>
      <c r="T109" s="2"/>
      <c r="U109" s="2"/>
      <c r="V109" s="2"/>
      <c r="W109" s="2"/>
      <c r="X109" s="2"/>
      <c r="Y109" s="2"/>
      <c r="Z109" s="2"/>
    </row>
    <row r="110" customHeight="1" spans="1:26">
      <c r="A110" s="64" t="s">
        <v>483</v>
      </c>
      <c r="B110" s="13" t="s">
        <v>2951</v>
      </c>
      <c r="C110" s="13" t="s">
        <v>485</v>
      </c>
      <c r="D110" s="65">
        <v>77</v>
      </c>
      <c r="E110" s="13" t="s">
        <v>37</v>
      </c>
      <c r="F110" s="13" t="s">
        <v>2952</v>
      </c>
      <c r="G110" s="13" t="s">
        <v>2953</v>
      </c>
      <c r="H110" s="2"/>
      <c r="I110" s="2"/>
      <c r="J110" s="2"/>
      <c r="K110" s="2"/>
      <c r="L110" s="2"/>
      <c r="M110" s="2"/>
      <c r="N110" s="2"/>
      <c r="O110" s="2"/>
      <c r="P110" s="2"/>
      <c r="Q110" s="2"/>
      <c r="R110" s="2"/>
      <c r="S110" s="2"/>
      <c r="T110" s="2"/>
      <c r="U110" s="2"/>
      <c r="V110" s="2"/>
      <c r="W110" s="2"/>
      <c r="X110" s="2"/>
      <c r="Y110" s="2"/>
      <c r="Z110" s="2"/>
    </row>
    <row r="111" customHeight="1" spans="1:26">
      <c r="A111" s="13" t="s">
        <v>488</v>
      </c>
      <c r="B111" s="13" t="s">
        <v>2954</v>
      </c>
      <c r="C111" s="13" t="s">
        <v>490</v>
      </c>
      <c r="D111" s="57"/>
      <c r="E111" s="57"/>
      <c r="F111" s="13" t="s">
        <v>2955</v>
      </c>
      <c r="G111" s="13" t="s">
        <v>2956</v>
      </c>
      <c r="H111" s="2"/>
      <c r="I111" s="2"/>
      <c r="J111" s="2"/>
      <c r="K111" s="2"/>
      <c r="L111" s="2"/>
      <c r="M111" s="2"/>
      <c r="N111" s="2"/>
      <c r="O111" s="2"/>
      <c r="P111" s="2"/>
      <c r="Q111" s="2"/>
      <c r="R111" s="2"/>
      <c r="S111" s="2"/>
      <c r="T111" s="2"/>
      <c r="U111" s="2"/>
      <c r="V111" s="2"/>
      <c r="W111" s="2"/>
      <c r="X111" s="2"/>
      <c r="Y111" s="2"/>
      <c r="Z111" s="2"/>
    </row>
    <row r="112" customHeight="1" spans="1:26">
      <c r="A112" s="13" t="s">
        <v>493</v>
      </c>
      <c r="B112" s="13" t="s">
        <v>2957</v>
      </c>
      <c r="C112" s="13" t="s">
        <v>2605</v>
      </c>
      <c r="D112" s="57"/>
      <c r="E112" s="57"/>
      <c r="F112" s="13" t="s">
        <v>2958</v>
      </c>
      <c r="G112" s="13" t="s">
        <v>2959</v>
      </c>
      <c r="H112" s="2"/>
      <c r="I112" s="2"/>
      <c r="J112" s="2"/>
      <c r="K112" s="2"/>
      <c r="L112" s="2"/>
      <c r="M112" s="2"/>
      <c r="N112" s="2"/>
      <c r="O112" s="2"/>
      <c r="P112" s="2"/>
      <c r="Q112" s="2"/>
      <c r="R112" s="2"/>
      <c r="S112" s="2"/>
      <c r="T112" s="2"/>
      <c r="U112" s="2"/>
      <c r="V112" s="2"/>
      <c r="W112" s="2"/>
      <c r="X112" s="2"/>
      <c r="Y112" s="2"/>
      <c r="Z112" s="2"/>
    </row>
    <row r="113" customHeight="1" spans="1:26">
      <c r="A113" s="13" t="s">
        <v>498</v>
      </c>
      <c r="B113" s="13" t="s">
        <v>2960</v>
      </c>
      <c r="C113" s="13" t="s">
        <v>500</v>
      </c>
      <c r="D113" s="57"/>
      <c r="E113" s="57"/>
      <c r="F113" s="13" t="s">
        <v>2961</v>
      </c>
      <c r="G113" s="13" t="s">
        <v>2962</v>
      </c>
      <c r="H113" s="2"/>
      <c r="I113" s="2"/>
      <c r="J113" s="2"/>
      <c r="K113" s="2"/>
      <c r="L113" s="2"/>
      <c r="M113" s="2"/>
      <c r="N113" s="2"/>
      <c r="O113" s="2"/>
      <c r="P113" s="2"/>
      <c r="Q113" s="2"/>
      <c r="R113" s="2"/>
      <c r="S113" s="2"/>
      <c r="T113" s="2"/>
      <c r="U113" s="2"/>
      <c r="V113" s="2"/>
      <c r="W113" s="2"/>
      <c r="X113" s="2"/>
      <c r="Y113" s="2"/>
      <c r="Z113" s="2"/>
    </row>
    <row r="114" customHeight="1" spans="1:26">
      <c r="A114" s="64" t="s">
        <v>503</v>
      </c>
      <c r="B114" s="13" t="s">
        <v>504</v>
      </c>
      <c r="C114" s="13" t="s">
        <v>505</v>
      </c>
      <c r="D114" s="65">
        <v>38</v>
      </c>
      <c r="E114" s="13" t="s">
        <v>37</v>
      </c>
      <c r="F114" s="13" t="s">
        <v>506</v>
      </c>
      <c r="G114" s="13" t="s">
        <v>2963</v>
      </c>
      <c r="H114" s="2"/>
      <c r="I114" s="2"/>
      <c r="J114" s="2"/>
      <c r="K114" s="2"/>
      <c r="L114" s="2"/>
      <c r="M114" s="2"/>
      <c r="N114" s="2"/>
      <c r="O114" s="2"/>
      <c r="P114" s="2"/>
      <c r="Q114" s="2"/>
      <c r="R114" s="2"/>
      <c r="S114" s="2"/>
      <c r="T114" s="2"/>
      <c r="U114" s="2"/>
      <c r="V114" s="2"/>
      <c r="W114" s="2"/>
      <c r="X114" s="2"/>
      <c r="Y114" s="2"/>
      <c r="Z114" s="2"/>
    </row>
    <row r="115" customHeight="1" spans="1:26">
      <c r="A115" s="13" t="s">
        <v>508</v>
      </c>
      <c r="B115" s="13" t="s">
        <v>2964</v>
      </c>
      <c r="C115" s="13" t="s">
        <v>2539</v>
      </c>
      <c r="D115" s="57"/>
      <c r="E115" s="57"/>
      <c r="F115" s="13" t="s">
        <v>2965</v>
      </c>
      <c r="G115" s="13" t="s">
        <v>2966</v>
      </c>
      <c r="H115" s="2"/>
      <c r="I115" s="2"/>
      <c r="J115" s="2"/>
      <c r="K115" s="2"/>
      <c r="L115" s="2"/>
      <c r="M115" s="2"/>
      <c r="N115" s="2"/>
      <c r="O115" s="2"/>
      <c r="P115" s="2"/>
      <c r="Q115" s="2"/>
      <c r="R115" s="2"/>
      <c r="S115" s="2"/>
      <c r="T115" s="2"/>
      <c r="U115" s="2"/>
      <c r="V115" s="2"/>
      <c r="W115" s="2"/>
      <c r="X115" s="2"/>
      <c r="Y115" s="2"/>
      <c r="Z115" s="2"/>
    </row>
    <row r="116" customHeight="1" spans="1:26">
      <c r="A116" s="13" t="s">
        <v>513</v>
      </c>
      <c r="B116" s="13" t="s">
        <v>2790</v>
      </c>
      <c r="C116" s="13" t="s">
        <v>2543</v>
      </c>
      <c r="D116" s="57"/>
      <c r="E116" s="57"/>
      <c r="F116" s="13" t="s">
        <v>2967</v>
      </c>
      <c r="G116" s="13" t="s">
        <v>2968</v>
      </c>
      <c r="H116" s="2"/>
      <c r="I116" s="2"/>
      <c r="J116" s="2"/>
      <c r="K116" s="2"/>
      <c r="L116" s="2"/>
      <c r="M116" s="2"/>
      <c r="N116" s="2"/>
      <c r="O116" s="2"/>
      <c r="P116" s="2"/>
      <c r="Q116" s="2"/>
      <c r="R116" s="2"/>
      <c r="S116" s="2"/>
      <c r="T116" s="2"/>
      <c r="U116" s="2"/>
      <c r="V116" s="2"/>
      <c r="W116" s="2"/>
      <c r="X116" s="2"/>
      <c r="Y116" s="2"/>
      <c r="Z116" s="2"/>
    </row>
    <row r="117" customHeight="1" spans="1:26">
      <c r="A117" s="13" t="s">
        <v>518</v>
      </c>
      <c r="B117" s="13" t="s">
        <v>2969</v>
      </c>
      <c r="C117" s="13" t="s">
        <v>515</v>
      </c>
      <c r="D117" s="57"/>
      <c r="E117" s="57"/>
      <c r="F117" s="13" t="s">
        <v>2970</v>
      </c>
      <c r="G117" s="13" t="s">
        <v>2971</v>
      </c>
      <c r="H117" s="2"/>
      <c r="I117" s="2"/>
      <c r="J117" s="2"/>
      <c r="K117" s="2"/>
      <c r="L117" s="2"/>
      <c r="M117" s="2"/>
      <c r="N117" s="2"/>
      <c r="O117" s="2"/>
      <c r="P117" s="2"/>
      <c r="Q117" s="2"/>
      <c r="R117" s="2"/>
      <c r="S117" s="2"/>
      <c r="T117" s="2"/>
      <c r="U117" s="2"/>
      <c r="V117" s="2"/>
      <c r="W117" s="2"/>
      <c r="X117" s="2"/>
      <c r="Y117" s="2"/>
      <c r="Z117" s="2"/>
    </row>
    <row r="118" customHeight="1" spans="1:26">
      <c r="A118" s="13" t="s">
        <v>520</v>
      </c>
      <c r="B118" s="13" t="s">
        <v>2964</v>
      </c>
      <c r="C118" s="13" t="s">
        <v>515</v>
      </c>
      <c r="D118" s="14">
        <v>50</v>
      </c>
      <c r="E118" s="13" t="s">
        <v>37</v>
      </c>
      <c r="F118" s="13" t="s">
        <v>2972</v>
      </c>
      <c r="G118" s="13" t="s">
        <v>2973</v>
      </c>
      <c r="H118" s="2"/>
      <c r="I118" s="2"/>
      <c r="J118" s="2"/>
      <c r="K118" s="2"/>
      <c r="L118" s="2"/>
      <c r="M118" s="2"/>
      <c r="N118" s="2"/>
      <c r="O118" s="2"/>
      <c r="P118" s="2"/>
      <c r="Q118" s="2"/>
      <c r="R118" s="2"/>
      <c r="S118" s="2"/>
      <c r="T118" s="2"/>
      <c r="U118" s="2"/>
      <c r="V118" s="2"/>
      <c r="W118" s="2"/>
      <c r="X118" s="2"/>
      <c r="Y118" s="2"/>
      <c r="Z118" s="2"/>
    </row>
    <row r="119" customHeight="1" spans="1:26">
      <c r="A119" s="64" t="s">
        <v>522</v>
      </c>
      <c r="B119" s="13" t="s">
        <v>523</v>
      </c>
      <c r="C119" s="13" t="s">
        <v>524</v>
      </c>
      <c r="D119" s="65">
        <v>90</v>
      </c>
      <c r="E119" s="13" t="s">
        <v>21</v>
      </c>
      <c r="F119" s="13" t="s">
        <v>525</v>
      </c>
      <c r="G119" s="74" t="s">
        <v>2285</v>
      </c>
      <c r="H119" s="2"/>
      <c r="I119" s="2"/>
      <c r="J119" s="2"/>
      <c r="K119" s="2"/>
      <c r="L119" s="2"/>
      <c r="M119" s="2"/>
      <c r="N119" s="2"/>
      <c r="O119" s="2"/>
      <c r="P119" s="2"/>
      <c r="Q119" s="2"/>
      <c r="R119" s="2"/>
      <c r="S119" s="2"/>
      <c r="T119" s="2"/>
      <c r="U119" s="2"/>
      <c r="V119" s="2"/>
      <c r="W119" s="2"/>
      <c r="X119" s="2"/>
      <c r="Y119" s="2"/>
      <c r="Z119" s="2"/>
    </row>
    <row r="120" customHeight="1" spans="1:26">
      <c r="A120" s="13" t="s">
        <v>527</v>
      </c>
      <c r="B120" s="13" t="s">
        <v>2974</v>
      </c>
      <c r="C120" s="13" t="s">
        <v>529</v>
      </c>
      <c r="D120" s="57"/>
      <c r="E120" s="57"/>
      <c r="F120" s="13" t="s">
        <v>2975</v>
      </c>
      <c r="G120" s="13" t="s">
        <v>2976</v>
      </c>
      <c r="H120" s="2"/>
      <c r="I120" s="2"/>
      <c r="J120" s="2"/>
      <c r="K120" s="2"/>
      <c r="L120" s="2"/>
      <c r="M120" s="2"/>
      <c r="N120" s="2"/>
      <c r="O120" s="2"/>
      <c r="P120" s="2"/>
      <c r="Q120" s="2"/>
      <c r="R120" s="2"/>
      <c r="S120" s="2"/>
      <c r="T120" s="2"/>
      <c r="U120" s="2"/>
      <c r="V120" s="2"/>
      <c r="W120" s="2"/>
      <c r="X120" s="2"/>
      <c r="Y120" s="2"/>
      <c r="Z120" s="2"/>
    </row>
    <row r="121" customHeight="1" spans="1:26">
      <c r="A121" s="13" t="s">
        <v>532</v>
      </c>
      <c r="B121" s="13" t="s">
        <v>2977</v>
      </c>
      <c r="C121" s="13" t="s">
        <v>2554</v>
      </c>
      <c r="D121" s="57"/>
      <c r="E121" s="57"/>
      <c r="F121" s="13" t="s">
        <v>2978</v>
      </c>
      <c r="G121" s="13" t="s">
        <v>2979</v>
      </c>
      <c r="H121" s="2"/>
      <c r="I121" s="2"/>
      <c r="J121" s="2"/>
      <c r="K121" s="2"/>
      <c r="L121" s="2"/>
      <c r="M121" s="2"/>
      <c r="N121" s="2"/>
      <c r="O121" s="2"/>
      <c r="P121" s="2"/>
      <c r="Q121" s="2"/>
      <c r="R121" s="2"/>
      <c r="S121" s="2"/>
      <c r="T121" s="2"/>
      <c r="U121" s="2"/>
      <c r="V121" s="2"/>
      <c r="W121" s="2"/>
      <c r="X121" s="2"/>
      <c r="Y121" s="2"/>
      <c r="Z121" s="2"/>
    </row>
    <row r="122" customHeight="1" spans="1:26">
      <c r="A122" s="13" t="s">
        <v>537</v>
      </c>
      <c r="B122" s="13" t="s">
        <v>2980</v>
      </c>
      <c r="C122" s="13" t="s">
        <v>2523</v>
      </c>
      <c r="D122" s="57"/>
      <c r="E122" s="57"/>
      <c r="F122" s="13" t="s">
        <v>2981</v>
      </c>
      <c r="G122" s="13" t="s">
        <v>2982</v>
      </c>
      <c r="H122" s="2"/>
      <c r="I122" s="2"/>
      <c r="J122" s="2"/>
      <c r="K122" s="2"/>
      <c r="L122" s="2"/>
      <c r="M122" s="2"/>
      <c r="N122" s="2"/>
      <c r="O122" s="2"/>
      <c r="P122" s="2"/>
      <c r="Q122" s="2"/>
      <c r="R122" s="2"/>
      <c r="S122" s="2"/>
      <c r="T122" s="2"/>
      <c r="U122" s="2"/>
      <c r="V122" s="2"/>
      <c r="W122" s="2"/>
      <c r="X122" s="2"/>
      <c r="Y122" s="2"/>
      <c r="Z122" s="2"/>
    </row>
    <row r="123" customHeight="1" spans="1:26">
      <c r="A123" s="13" t="s">
        <v>542</v>
      </c>
      <c r="B123" s="13" t="s">
        <v>2983</v>
      </c>
      <c r="C123" s="13" t="s">
        <v>2527</v>
      </c>
      <c r="D123" s="57"/>
      <c r="E123" s="57"/>
      <c r="F123" s="13" t="s">
        <v>2984</v>
      </c>
      <c r="G123" s="13" t="s">
        <v>2985</v>
      </c>
      <c r="H123" s="2"/>
      <c r="I123" s="2"/>
      <c r="J123" s="2"/>
      <c r="K123" s="2"/>
      <c r="L123" s="2"/>
      <c r="M123" s="2"/>
      <c r="N123" s="2"/>
      <c r="O123" s="2"/>
      <c r="P123" s="2"/>
      <c r="Q123" s="2"/>
      <c r="R123" s="2"/>
      <c r="S123" s="2"/>
      <c r="T123" s="2"/>
      <c r="U123" s="2"/>
      <c r="V123" s="2"/>
      <c r="W123" s="2"/>
      <c r="X123" s="2"/>
      <c r="Y123" s="2"/>
      <c r="Z123" s="2"/>
    </row>
    <row r="124" customHeight="1" spans="1:26">
      <c r="A124" s="13" t="s">
        <v>546</v>
      </c>
      <c r="B124" s="13" t="s">
        <v>2986</v>
      </c>
      <c r="C124" s="13" t="s">
        <v>2531</v>
      </c>
      <c r="D124" s="57"/>
      <c r="E124" s="57"/>
      <c r="F124" s="13" t="s">
        <v>2987</v>
      </c>
      <c r="G124" s="13" t="s">
        <v>2988</v>
      </c>
      <c r="H124" s="2"/>
      <c r="I124" s="2"/>
      <c r="J124" s="2"/>
      <c r="K124" s="2"/>
      <c r="L124" s="2"/>
      <c r="M124" s="2"/>
      <c r="N124" s="2"/>
      <c r="O124" s="2"/>
      <c r="P124" s="2"/>
      <c r="Q124" s="2"/>
      <c r="R124" s="2"/>
      <c r="S124" s="2"/>
      <c r="T124" s="2"/>
      <c r="U124" s="2"/>
      <c r="V124" s="2"/>
      <c r="W124" s="2"/>
      <c r="X124" s="2"/>
      <c r="Y124" s="2"/>
      <c r="Z124" s="2"/>
    </row>
    <row r="125" customHeight="1" spans="1:26">
      <c r="A125" s="13" t="s">
        <v>551</v>
      </c>
      <c r="B125" s="13" t="s">
        <v>2989</v>
      </c>
      <c r="C125" s="13" t="s">
        <v>2535</v>
      </c>
      <c r="D125" s="57"/>
      <c r="E125" s="57"/>
      <c r="F125" s="13" t="s">
        <v>2990</v>
      </c>
      <c r="G125" s="13" t="s">
        <v>2991</v>
      </c>
      <c r="H125" s="2"/>
      <c r="I125" s="2"/>
      <c r="J125" s="2"/>
      <c r="K125" s="2"/>
      <c r="L125" s="2"/>
      <c r="M125" s="2"/>
      <c r="N125" s="2"/>
      <c r="O125" s="2"/>
      <c r="P125" s="2"/>
      <c r="Q125" s="2"/>
      <c r="R125" s="2"/>
      <c r="S125" s="2"/>
      <c r="T125" s="2"/>
      <c r="U125" s="2"/>
      <c r="V125" s="2"/>
      <c r="W125" s="2"/>
      <c r="X125" s="2"/>
      <c r="Y125" s="2"/>
      <c r="Z125" s="2"/>
    </row>
    <row r="126" customHeight="1" spans="1:26">
      <c r="A126" s="13" t="s">
        <v>556</v>
      </c>
      <c r="B126" s="13" t="s">
        <v>2992</v>
      </c>
      <c r="C126" s="13" t="s">
        <v>557</v>
      </c>
      <c r="D126" s="14">
        <v>30</v>
      </c>
      <c r="E126" s="13" t="s">
        <v>37</v>
      </c>
      <c r="F126" s="13" t="s">
        <v>2993</v>
      </c>
      <c r="G126" s="13" t="s">
        <v>2994</v>
      </c>
      <c r="H126" s="2"/>
      <c r="I126" s="2"/>
      <c r="J126" s="2"/>
      <c r="K126" s="2"/>
      <c r="L126" s="2"/>
      <c r="M126" s="2"/>
      <c r="N126" s="2"/>
      <c r="O126" s="2"/>
      <c r="P126" s="2"/>
      <c r="Q126" s="2"/>
      <c r="R126" s="2"/>
      <c r="S126" s="2"/>
      <c r="T126" s="2"/>
      <c r="U126" s="2"/>
      <c r="V126" s="2"/>
      <c r="W126" s="2"/>
      <c r="X126" s="2"/>
      <c r="Y126" s="2"/>
      <c r="Z126" s="2"/>
    </row>
    <row r="127" customHeight="1" spans="1:26">
      <c r="A127" s="13" t="s">
        <v>558</v>
      </c>
      <c r="B127" s="13" t="s">
        <v>2995</v>
      </c>
      <c r="C127" s="13" t="s">
        <v>560</v>
      </c>
      <c r="D127" s="14">
        <v>40</v>
      </c>
      <c r="E127" s="13" t="s">
        <v>37</v>
      </c>
      <c r="F127" s="13" t="s">
        <v>2302</v>
      </c>
      <c r="G127" s="13" t="s">
        <v>2996</v>
      </c>
      <c r="H127" s="2"/>
      <c r="I127" s="2"/>
      <c r="J127" s="2"/>
      <c r="K127" s="2"/>
      <c r="L127" s="2"/>
      <c r="M127" s="2"/>
      <c r="N127" s="2"/>
      <c r="O127" s="2"/>
      <c r="P127" s="2"/>
      <c r="Q127" s="2"/>
      <c r="R127" s="2"/>
      <c r="S127" s="2"/>
      <c r="T127" s="2"/>
      <c r="U127" s="2"/>
      <c r="V127" s="2"/>
      <c r="W127" s="2"/>
      <c r="X127" s="2"/>
      <c r="Y127" s="2"/>
      <c r="Z127" s="2"/>
    </row>
    <row r="128" customHeight="1" spans="1:26">
      <c r="A128" s="13" t="s">
        <v>563</v>
      </c>
      <c r="B128" s="13" t="s">
        <v>2997</v>
      </c>
      <c r="C128" s="13" t="s">
        <v>565</v>
      </c>
      <c r="D128" s="57"/>
      <c r="E128" s="57"/>
      <c r="F128" s="13" t="s">
        <v>2998</v>
      </c>
      <c r="G128" s="13" t="s">
        <v>2999</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81" t="s">
        <v>3000</v>
      </c>
      <c r="C129" s="10" t="s">
        <v>570</v>
      </c>
      <c r="D129" s="2"/>
      <c r="E129" s="2"/>
      <c r="F129" s="181" t="s">
        <v>3001</v>
      </c>
      <c r="G129" s="181" t="s">
        <v>3002</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181" t="s">
        <v>3003</v>
      </c>
      <c r="C130" s="2" t="s">
        <v>570</v>
      </c>
      <c r="D130" s="2"/>
      <c r="E130" s="2"/>
      <c r="F130" s="181" t="s">
        <v>3004</v>
      </c>
      <c r="G130" s="181" t="s">
        <v>3005</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3006</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3007</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3008</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3009</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3010</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1209</v>
      </c>
      <c r="C136" s="11" t="s">
        <v>578</v>
      </c>
      <c r="D136" s="2"/>
      <c r="E136" s="2"/>
      <c r="F136" s="2" t="s">
        <v>589</v>
      </c>
      <c r="G136" s="2" t="s">
        <v>1933</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3011</v>
      </c>
      <c r="C137" s="11" t="s">
        <v>578</v>
      </c>
      <c r="D137" s="2"/>
      <c r="E137" s="2"/>
      <c r="F137" s="181" t="s">
        <v>3012</v>
      </c>
      <c r="G137" s="181" t="s">
        <v>3013</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3014</v>
      </c>
      <c r="C138" s="11" t="s">
        <v>578</v>
      </c>
      <c r="D138" s="2"/>
      <c r="E138" s="2"/>
      <c r="F138" s="181" t="s">
        <v>3015</v>
      </c>
      <c r="G138" s="181" t="s">
        <v>3016</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3017</v>
      </c>
      <c r="C139" s="11" t="s">
        <v>578</v>
      </c>
      <c r="D139" s="2"/>
      <c r="E139" s="2"/>
      <c r="F139" s="2" t="s">
        <v>3018</v>
      </c>
      <c r="G139" s="2" t="s">
        <v>3019</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3020</v>
      </c>
      <c r="C140" s="11" t="s">
        <v>578</v>
      </c>
      <c r="D140" s="2"/>
      <c r="E140" s="2"/>
      <c r="F140" s="181" t="s">
        <v>3021</v>
      </c>
      <c r="G140" s="2" t="s">
        <v>3022</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3023</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3024</v>
      </c>
      <c r="C145" s="11" t="s">
        <v>612</v>
      </c>
      <c r="D145" s="2"/>
      <c r="E145" s="2"/>
      <c r="F145" s="2" t="s">
        <v>3025</v>
      </c>
      <c r="G145" s="2" t="s">
        <v>3026</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3027</v>
      </c>
      <c r="C146" s="11" t="s">
        <v>612</v>
      </c>
      <c r="D146" s="2"/>
      <c r="E146" s="2"/>
      <c r="F146" s="2" t="s">
        <v>3028</v>
      </c>
      <c r="G146" s="2" t="s">
        <v>3029</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3030</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3031</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3032</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3033</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3034</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3035</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3036</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3037</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3038</v>
      </c>
      <c r="C157" s="13" t="s">
        <v>648</v>
      </c>
      <c r="D157" s="14">
        <v>120</v>
      </c>
      <c r="E157" s="13" t="s">
        <v>37</v>
      </c>
      <c r="F157" s="13" t="s">
        <v>3039</v>
      </c>
      <c r="G157" s="13" t="s">
        <v>3040</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1960</v>
      </c>
      <c r="C158" s="11" t="s">
        <v>653</v>
      </c>
      <c r="D158" s="2"/>
      <c r="E158" s="2"/>
      <c r="F158" s="2" t="s">
        <v>3041</v>
      </c>
      <c r="G158" s="2" t="s">
        <v>3042</v>
      </c>
      <c r="H158" s="2"/>
      <c r="I158" s="2"/>
      <c r="J158" s="2"/>
      <c r="K158" s="2"/>
      <c r="L158" s="2"/>
      <c r="M158" s="2"/>
      <c r="N158" s="2"/>
      <c r="O158" s="2"/>
      <c r="P158" s="2"/>
      <c r="Q158" s="2"/>
      <c r="R158" s="2"/>
      <c r="S158" s="2"/>
      <c r="T158" s="2"/>
      <c r="U158" s="2"/>
      <c r="V158" s="2"/>
      <c r="W158" s="2"/>
      <c r="X158" s="2"/>
      <c r="Y158" s="2"/>
      <c r="Z158" s="2"/>
    </row>
    <row r="159" ht="13.5" customHeight="1"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3.5" customHeight="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3.5" customHeight="1"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3.5" customHeight="1"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3.5" customHeight="1"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3.5" customHeight="1"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3.5" customHeight="1"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3.5" customHeight="1"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3.5" customHeight="1"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3.5" customHeight="1"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ustomHeight="1" spans="1:26">
      <c r="A170" s="13" t="s">
        <v>2559</v>
      </c>
      <c r="B170" s="13" t="s">
        <v>3043</v>
      </c>
      <c r="C170" s="13" t="s">
        <v>2559</v>
      </c>
      <c r="D170" s="57"/>
      <c r="E170" s="57"/>
      <c r="F170" s="13" t="s">
        <v>3044</v>
      </c>
      <c r="G170" s="13" t="s">
        <v>3045</v>
      </c>
      <c r="H170" s="2"/>
      <c r="I170" s="2"/>
      <c r="J170" s="2"/>
      <c r="K170" s="2"/>
      <c r="L170" s="2"/>
      <c r="M170" s="2"/>
      <c r="N170" s="2"/>
      <c r="O170" s="2"/>
      <c r="P170" s="2"/>
      <c r="Q170" s="2"/>
      <c r="R170" s="2"/>
      <c r="S170" s="2"/>
      <c r="T170" s="2"/>
      <c r="U170" s="2"/>
      <c r="V170" s="2"/>
      <c r="W170" s="2"/>
      <c r="X170" s="2"/>
      <c r="Y170" s="2"/>
      <c r="Z170" s="2"/>
    </row>
    <row r="171" customHeight="1" spans="1:26">
      <c r="A171" s="13" t="s">
        <v>3046</v>
      </c>
      <c r="B171" s="13" t="s">
        <v>3047</v>
      </c>
      <c r="C171" s="13" t="s">
        <v>373</v>
      </c>
      <c r="D171" s="57"/>
      <c r="E171" s="57"/>
      <c r="F171" s="13" t="s">
        <v>3048</v>
      </c>
      <c r="G171" s="13" t="s">
        <v>3049</v>
      </c>
      <c r="H171" s="2"/>
      <c r="I171" s="2"/>
      <c r="J171" s="2"/>
      <c r="K171" s="2"/>
      <c r="L171" s="2"/>
      <c r="M171" s="2"/>
      <c r="N171" s="2"/>
      <c r="O171" s="2"/>
      <c r="P171" s="2"/>
      <c r="Q171" s="2"/>
      <c r="R171" s="2"/>
      <c r="S171" s="2"/>
      <c r="T171" s="2"/>
      <c r="U171" s="2"/>
      <c r="V171" s="2"/>
      <c r="W171" s="2"/>
      <c r="X171" s="2"/>
      <c r="Y171" s="2"/>
      <c r="Z171" s="2"/>
    </row>
    <row r="172" customHeight="1" spans="1:26">
      <c r="A172" s="13" t="s">
        <v>3050</v>
      </c>
      <c r="B172" s="13" t="s">
        <v>3051</v>
      </c>
      <c r="C172" s="13" t="s">
        <v>373</v>
      </c>
      <c r="D172" s="57"/>
      <c r="E172" s="57"/>
      <c r="F172" s="13" t="s">
        <v>3052</v>
      </c>
      <c r="G172" s="13" t="s">
        <v>3053</v>
      </c>
      <c r="H172" s="2"/>
      <c r="I172" s="2"/>
      <c r="J172" s="2"/>
      <c r="K172" s="2"/>
      <c r="L172" s="2"/>
      <c r="M172" s="2"/>
      <c r="N172" s="2"/>
      <c r="O172" s="2"/>
      <c r="P172" s="2"/>
      <c r="Q172" s="2"/>
      <c r="R172" s="2"/>
      <c r="S172" s="2"/>
      <c r="T172" s="2"/>
      <c r="U172" s="2"/>
      <c r="V172" s="2"/>
      <c r="W172" s="2"/>
      <c r="X172" s="2"/>
      <c r="Y172" s="2"/>
      <c r="Z172" s="2"/>
    </row>
    <row r="173" customHeight="1" spans="1:26">
      <c r="A173" s="13" t="s">
        <v>3054</v>
      </c>
      <c r="B173" s="13" t="s">
        <v>3055</v>
      </c>
      <c r="C173" s="13" t="s">
        <v>393</v>
      </c>
      <c r="D173" s="57"/>
      <c r="E173" s="57"/>
      <c r="F173" s="13" t="s">
        <v>3056</v>
      </c>
      <c r="G173" s="13" t="s">
        <v>3057</v>
      </c>
      <c r="H173" s="2"/>
      <c r="I173" s="2"/>
      <c r="J173" s="2"/>
      <c r="K173" s="2"/>
      <c r="L173" s="2"/>
      <c r="M173" s="2"/>
      <c r="N173" s="2"/>
      <c r="O173" s="2"/>
      <c r="P173" s="2"/>
      <c r="Q173" s="2"/>
      <c r="R173" s="2"/>
      <c r="S173" s="2"/>
      <c r="T173" s="2"/>
      <c r="U173" s="2"/>
      <c r="V173" s="2"/>
      <c r="W173" s="2"/>
      <c r="X173" s="2"/>
      <c r="Y173" s="2"/>
      <c r="Z173" s="2"/>
    </row>
    <row r="174" customHeight="1" spans="1:26">
      <c r="A174" s="13" t="s">
        <v>3054</v>
      </c>
      <c r="B174" s="13" t="s">
        <v>3058</v>
      </c>
      <c r="C174" s="13" t="s">
        <v>393</v>
      </c>
      <c r="D174" s="57"/>
      <c r="E174" s="57"/>
      <c r="F174" s="13" t="s">
        <v>3059</v>
      </c>
      <c r="G174" s="13" t="s">
        <v>3060</v>
      </c>
      <c r="H174" s="2"/>
      <c r="I174" s="2"/>
      <c r="J174" s="2"/>
      <c r="K174" s="2"/>
      <c r="L174" s="2"/>
      <c r="M174" s="2"/>
      <c r="N174" s="2"/>
      <c r="O174" s="2"/>
      <c r="P174" s="2"/>
      <c r="Q174" s="2"/>
      <c r="R174" s="2"/>
      <c r="S174" s="2"/>
      <c r="T174" s="2"/>
      <c r="U174" s="2"/>
      <c r="V174" s="2"/>
      <c r="W174" s="2"/>
      <c r="X174" s="2"/>
      <c r="Y174" s="2"/>
      <c r="Z174" s="2"/>
    </row>
    <row r="175" customHeight="1" spans="1:26">
      <c r="A175" s="13" t="s">
        <v>3061</v>
      </c>
      <c r="B175" s="13" t="s">
        <v>3062</v>
      </c>
      <c r="C175" s="13" t="s">
        <v>2413</v>
      </c>
      <c r="D175" s="57"/>
      <c r="E175" s="57"/>
      <c r="F175" s="13" t="s">
        <v>3063</v>
      </c>
      <c r="G175" s="13" t="s">
        <v>3064</v>
      </c>
      <c r="H175" s="2"/>
      <c r="I175" s="2"/>
      <c r="J175" s="2"/>
      <c r="K175" s="2"/>
      <c r="L175" s="2"/>
      <c r="M175" s="2"/>
      <c r="N175" s="2"/>
      <c r="O175" s="2"/>
      <c r="P175" s="2"/>
      <c r="Q175" s="2"/>
      <c r="R175" s="2"/>
      <c r="S175" s="2"/>
      <c r="T175" s="2"/>
      <c r="U175" s="2"/>
      <c r="V175" s="2"/>
      <c r="W175" s="2"/>
      <c r="X175" s="2"/>
      <c r="Y175" s="2"/>
      <c r="Z175" s="2"/>
    </row>
    <row r="176" customHeight="1" spans="1:26">
      <c r="A176" s="13" t="s">
        <v>3065</v>
      </c>
      <c r="B176" s="13" t="s">
        <v>3066</v>
      </c>
      <c r="C176" s="13" t="s">
        <v>2435</v>
      </c>
      <c r="D176" s="57"/>
      <c r="E176" s="57"/>
      <c r="F176" s="13" t="s">
        <v>3067</v>
      </c>
      <c r="G176" s="13" t="s">
        <v>3068</v>
      </c>
      <c r="H176" s="2"/>
      <c r="I176" s="2"/>
      <c r="J176" s="2"/>
      <c r="K176" s="2"/>
      <c r="L176" s="2"/>
      <c r="M176" s="2"/>
      <c r="N176" s="2"/>
      <c r="O176" s="2"/>
      <c r="P176" s="2"/>
      <c r="Q176" s="2"/>
      <c r="R176" s="2"/>
      <c r="S176" s="2"/>
      <c r="T176" s="2"/>
      <c r="U176" s="2"/>
      <c r="V176" s="2"/>
      <c r="W176" s="2"/>
      <c r="X176" s="2"/>
      <c r="Y176" s="2"/>
      <c r="Z176" s="2"/>
    </row>
    <row r="177" customHeight="1" spans="1:26">
      <c r="A177" s="13" t="s">
        <v>3069</v>
      </c>
      <c r="B177" s="13" t="s">
        <v>2379</v>
      </c>
      <c r="C177" s="13" t="s">
        <v>356</v>
      </c>
      <c r="D177" s="57"/>
      <c r="E177" s="57"/>
      <c r="F177" s="13" t="s">
        <v>3070</v>
      </c>
      <c r="G177" s="13" t="s">
        <v>3071</v>
      </c>
      <c r="H177" s="2"/>
      <c r="I177" s="2"/>
      <c r="J177" s="2"/>
      <c r="K177" s="2"/>
      <c r="L177" s="2"/>
      <c r="M177" s="2"/>
      <c r="N177" s="2"/>
      <c r="O177" s="2"/>
      <c r="P177" s="2"/>
      <c r="Q177" s="2"/>
      <c r="R177" s="2"/>
      <c r="S177" s="2"/>
      <c r="T177" s="2"/>
      <c r="U177" s="2"/>
      <c r="V177" s="2"/>
      <c r="W177" s="2"/>
      <c r="X177" s="2"/>
      <c r="Y177" s="2"/>
      <c r="Z177" s="2"/>
    </row>
    <row r="178" ht="13.5" customHeight="1"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43 B145:B148 B155:B156">
      <formula1>ValidLondonCounterpartyNames</formula1>
    </dataValidation>
  </dataValidation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 width="20.8303571428571" customWidth="1"/>
    <col min="2" max="17" width="8.1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2070</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1643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63" t="s">
        <v>2366</v>
      </c>
      <c r="B4" s="63" t="s">
        <v>3072</v>
      </c>
      <c r="C4" s="63" t="s">
        <v>680</v>
      </c>
      <c r="D4" s="98"/>
      <c r="E4" s="98"/>
      <c r="F4" s="63" t="s">
        <v>3073</v>
      </c>
      <c r="G4" s="63" t="s">
        <v>3074</v>
      </c>
      <c r="H4" s="2"/>
      <c r="I4" s="2"/>
      <c r="J4" s="2"/>
      <c r="K4" s="2"/>
      <c r="L4" s="2"/>
      <c r="M4" s="2"/>
      <c r="N4" s="2"/>
      <c r="O4" s="2"/>
      <c r="P4" s="2"/>
      <c r="Q4" s="2"/>
      <c r="R4" s="2"/>
      <c r="S4" s="2"/>
      <c r="T4" s="2"/>
      <c r="U4" s="2"/>
      <c r="V4" s="2"/>
      <c r="W4" s="2"/>
      <c r="X4" s="2"/>
      <c r="Y4" s="2"/>
      <c r="Z4" s="2"/>
    </row>
    <row r="5" customHeight="1" spans="1:26">
      <c r="A5" s="13" t="s">
        <v>2370</v>
      </c>
      <c r="B5" s="13" t="s">
        <v>3075</v>
      </c>
      <c r="C5" s="13" t="s">
        <v>373</v>
      </c>
      <c r="D5" s="57"/>
      <c r="E5" s="57"/>
      <c r="F5" s="13" t="s">
        <v>3076</v>
      </c>
      <c r="G5" s="13" t="s">
        <v>3077</v>
      </c>
      <c r="H5" s="2"/>
      <c r="I5" s="2"/>
      <c r="J5" s="2"/>
      <c r="K5" s="2"/>
      <c r="L5" s="2"/>
      <c r="M5" s="2"/>
      <c r="N5" s="2"/>
      <c r="O5" s="2"/>
      <c r="P5" s="2"/>
      <c r="Q5" s="2"/>
      <c r="R5" s="2"/>
      <c r="S5" s="2"/>
      <c r="T5" s="2"/>
      <c r="U5" s="2"/>
      <c r="V5" s="2"/>
      <c r="W5" s="2"/>
      <c r="X5" s="2"/>
      <c r="Y5" s="2"/>
      <c r="Z5" s="2"/>
    </row>
    <row r="6" customHeight="1" spans="1:26">
      <c r="A6" s="13" t="s">
        <v>2373</v>
      </c>
      <c r="B6" s="13" t="s">
        <v>3078</v>
      </c>
      <c r="C6" s="13" t="s">
        <v>373</v>
      </c>
      <c r="D6" s="57"/>
      <c r="E6" s="57"/>
      <c r="F6" s="13" t="s">
        <v>3079</v>
      </c>
      <c r="G6" s="13" t="s">
        <v>3080</v>
      </c>
      <c r="H6" s="2"/>
      <c r="I6" s="2"/>
      <c r="J6" s="2"/>
      <c r="K6" s="2"/>
      <c r="L6" s="2"/>
      <c r="M6" s="2"/>
      <c r="N6" s="2"/>
      <c r="O6" s="2"/>
      <c r="P6" s="2"/>
      <c r="Q6" s="2"/>
      <c r="R6" s="2"/>
      <c r="S6" s="2"/>
      <c r="T6" s="2"/>
      <c r="U6" s="2"/>
      <c r="V6" s="2"/>
      <c r="W6" s="2"/>
      <c r="X6" s="2"/>
      <c r="Y6" s="2"/>
      <c r="Z6" s="2"/>
    </row>
    <row r="7" customHeight="1" spans="1:26">
      <c r="A7" s="13" t="s">
        <v>371</v>
      </c>
      <c r="B7" s="13" t="s">
        <v>3081</v>
      </c>
      <c r="C7" s="13" t="s">
        <v>373</v>
      </c>
      <c r="D7" s="57"/>
      <c r="E7" s="57"/>
      <c r="F7" s="13" t="s">
        <v>3082</v>
      </c>
      <c r="G7" s="13" t="s">
        <v>3083</v>
      </c>
      <c r="H7" s="2"/>
      <c r="I7" s="2"/>
      <c r="J7" s="2"/>
      <c r="K7" s="2"/>
      <c r="L7" s="2"/>
      <c r="M7" s="2"/>
      <c r="N7" s="2"/>
      <c r="O7" s="2"/>
      <c r="P7" s="2"/>
      <c r="Q7" s="2"/>
      <c r="R7" s="2"/>
      <c r="S7" s="2"/>
      <c r="T7" s="2"/>
      <c r="U7" s="2"/>
      <c r="V7" s="2"/>
      <c r="W7" s="2"/>
      <c r="X7" s="2"/>
      <c r="Y7" s="2"/>
      <c r="Z7" s="2"/>
    </row>
    <row r="8" customHeight="1" spans="1:26">
      <c r="A8" s="13" t="s">
        <v>2378</v>
      </c>
      <c r="B8" s="13" t="s">
        <v>3084</v>
      </c>
      <c r="C8" s="13" t="s">
        <v>356</v>
      </c>
      <c r="D8" s="57"/>
      <c r="E8" s="57"/>
      <c r="F8" s="13" t="s">
        <v>3085</v>
      </c>
      <c r="G8" s="13" t="s">
        <v>3086</v>
      </c>
      <c r="H8" s="2"/>
      <c r="I8" s="2"/>
      <c r="J8" s="2"/>
      <c r="K8" s="2"/>
      <c r="L8" s="2"/>
      <c r="M8" s="2"/>
      <c r="N8" s="2"/>
      <c r="O8" s="2"/>
      <c r="P8" s="2"/>
      <c r="Q8" s="2"/>
      <c r="R8" s="2"/>
      <c r="S8" s="2"/>
      <c r="T8" s="2"/>
      <c r="U8" s="2"/>
      <c r="V8" s="2"/>
      <c r="W8" s="2"/>
      <c r="X8" s="2"/>
      <c r="Y8" s="2"/>
      <c r="Z8" s="2"/>
    </row>
    <row r="9" customHeight="1" spans="1:26">
      <c r="A9" s="13" t="s">
        <v>2382</v>
      </c>
      <c r="B9" s="13" t="s">
        <v>3087</v>
      </c>
      <c r="C9" s="13" t="s">
        <v>2383</v>
      </c>
      <c r="D9" s="57"/>
      <c r="E9" s="57"/>
      <c r="F9" s="13" t="s">
        <v>3088</v>
      </c>
      <c r="G9" s="13" t="s">
        <v>3089</v>
      </c>
      <c r="H9" s="2"/>
      <c r="I9" s="2"/>
      <c r="J9" s="2"/>
      <c r="K9" s="2"/>
      <c r="L9" s="2"/>
      <c r="M9" s="2"/>
      <c r="N9" s="2"/>
      <c r="O9" s="2"/>
      <c r="P9" s="2"/>
      <c r="Q9" s="2"/>
      <c r="R9" s="2"/>
      <c r="S9" s="2"/>
      <c r="T9" s="2"/>
      <c r="U9" s="2"/>
      <c r="V9" s="2"/>
      <c r="W9" s="2"/>
      <c r="X9" s="2"/>
      <c r="Y9" s="2"/>
      <c r="Z9" s="2"/>
    </row>
    <row r="10" customHeight="1" spans="1:26">
      <c r="A10" s="13" t="s">
        <v>2386</v>
      </c>
      <c r="B10" s="13" t="s">
        <v>3090</v>
      </c>
      <c r="C10" s="13" t="s">
        <v>319</v>
      </c>
      <c r="D10" s="57"/>
      <c r="E10" s="57"/>
      <c r="F10" s="13" t="s">
        <v>3091</v>
      </c>
      <c r="G10" s="13" t="s">
        <v>3092</v>
      </c>
      <c r="H10" s="2"/>
      <c r="I10" s="2"/>
      <c r="J10" s="2"/>
      <c r="K10" s="2"/>
      <c r="L10" s="2"/>
      <c r="M10" s="2"/>
      <c r="N10" s="2"/>
      <c r="O10" s="2"/>
      <c r="P10" s="2"/>
      <c r="Q10" s="2"/>
      <c r="R10" s="2"/>
      <c r="S10" s="2"/>
      <c r="T10" s="2"/>
      <c r="U10" s="2"/>
      <c r="V10" s="2"/>
      <c r="W10" s="2"/>
      <c r="X10" s="2"/>
      <c r="Y10" s="2"/>
      <c r="Z10" s="2"/>
    </row>
    <row r="11" customHeight="1" spans="1:26">
      <c r="A11" s="13" t="s">
        <v>2389</v>
      </c>
      <c r="B11" s="13" t="s">
        <v>3093</v>
      </c>
      <c r="C11" s="13" t="s">
        <v>450</v>
      </c>
      <c r="D11" s="57"/>
      <c r="E11" s="57"/>
      <c r="F11" s="13" t="s">
        <v>3094</v>
      </c>
      <c r="G11" s="13" t="s">
        <v>3095</v>
      </c>
      <c r="H11" s="2"/>
      <c r="I11" s="2"/>
      <c r="J11" s="2"/>
      <c r="K11" s="2"/>
      <c r="L11" s="2"/>
      <c r="M11" s="2"/>
      <c r="N11" s="2"/>
      <c r="O11" s="2"/>
      <c r="P11" s="2"/>
      <c r="Q11" s="2"/>
      <c r="R11" s="2"/>
      <c r="S11" s="2"/>
      <c r="T11" s="2"/>
      <c r="U11" s="2"/>
      <c r="V11" s="2"/>
      <c r="W11" s="2"/>
      <c r="X11" s="2"/>
      <c r="Y11" s="2"/>
      <c r="Z11" s="2"/>
    </row>
    <row r="12" customHeight="1" spans="1:26">
      <c r="A12" s="13" t="s">
        <v>2393</v>
      </c>
      <c r="B12" s="13" t="s">
        <v>3096</v>
      </c>
      <c r="C12" s="13" t="s">
        <v>2395</v>
      </c>
      <c r="D12" s="57"/>
      <c r="E12" s="57"/>
      <c r="F12" s="13" t="s">
        <v>3097</v>
      </c>
      <c r="G12" s="13" t="s">
        <v>3098</v>
      </c>
      <c r="H12" s="2"/>
      <c r="I12" s="2"/>
      <c r="J12" s="2"/>
      <c r="K12" s="2"/>
      <c r="L12" s="2"/>
      <c r="M12" s="2"/>
      <c r="N12" s="2"/>
      <c r="O12" s="2"/>
      <c r="P12" s="2"/>
      <c r="Q12" s="2"/>
      <c r="R12" s="2"/>
      <c r="S12" s="2"/>
      <c r="T12" s="2"/>
      <c r="U12" s="2"/>
      <c r="V12" s="2"/>
      <c r="W12" s="2"/>
      <c r="X12" s="2"/>
      <c r="Y12" s="2"/>
      <c r="Z12" s="2"/>
    </row>
    <row r="13" customHeight="1" spans="1:26">
      <c r="A13" s="13" t="s">
        <v>2398</v>
      </c>
      <c r="B13" s="13" t="s">
        <v>3099</v>
      </c>
      <c r="C13" s="13" t="s">
        <v>2400</v>
      </c>
      <c r="D13" s="57"/>
      <c r="E13" s="57"/>
      <c r="F13" s="13" t="s">
        <v>3100</v>
      </c>
      <c r="G13" s="13" t="s">
        <v>3101</v>
      </c>
      <c r="H13" s="2"/>
      <c r="I13" s="2"/>
      <c r="J13" s="2"/>
      <c r="K13" s="2"/>
      <c r="L13" s="2"/>
      <c r="M13" s="2"/>
      <c r="N13" s="2"/>
      <c r="O13" s="2"/>
      <c r="P13" s="2"/>
      <c r="Q13" s="2"/>
      <c r="R13" s="2"/>
      <c r="S13" s="2"/>
      <c r="T13" s="2"/>
      <c r="U13" s="2"/>
      <c r="V13" s="2"/>
      <c r="W13" s="2"/>
      <c r="X13" s="2"/>
      <c r="Y13" s="2"/>
      <c r="Z13" s="2"/>
    </row>
    <row r="14" customHeight="1" spans="1:26">
      <c r="A14" s="13" t="s">
        <v>2403</v>
      </c>
      <c r="B14" s="13" t="s">
        <v>3102</v>
      </c>
      <c r="C14" s="13" t="s">
        <v>2405</v>
      </c>
      <c r="D14" s="57"/>
      <c r="E14" s="57"/>
      <c r="F14" s="13" t="s">
        <v>3103</v>
      </c>
      <c r="G14" s="13" t="s">
        <v>3104</v>
      </c>
      <c r="H14" s="2"/>
      <c r="I14" s="2"/>
      <c r="J14" s="2"/>
      <c r="K14" s="2"/>
      <c r="L14" s="2"/>
      <c r="M14" s="2"/>
      <c r="N14" s="2"/>
      <c r="O14" s="2"/>
      <c r="P14" s="2"/>
      <c r="Q14" s="2"/>
      <c r="R14" s="2"/>
      <c r="S14" s="2"/>
      <c r="T14" s="2"/>
      <c r="U14" s="2"/>
      <c r="V14" s="2"/>
      <c r="W14" s="2"/>
      <c r="X14" s="2"/>
      <c r="Y14" s="2"/>
      <c r="Z14" s="2"/>
    </row>
    <row r="15" customHeight="1" spans="1:26">
      <c r="A15" s="13" t="s">
        <v>2408</v>
      </c>
      <c r="B15" s="13" t="s">
        <v>3105</v>
      </c>
      <c r="C15" s="13" t="s">
        <v>2405</v>
      </c>
      <c r="D15" s="57"/>
      <c r="E15" s="57"/>
      <c r="F15" s="13" t="s">
        <v>3106</v>
      </c>
      <c r="G15" s="13" t="s">
        <v>3107</v>
      </c>
      <c r="H15" s="2"/>
      <c r="I15" s="2"/>
      <c r="J15" s="2"/>
      <c r="K15" s="2"/>
      <c r="L15" s="2"/>
      <c r="M15" s="2"/>
      <c r="N15" s="2"/>
      <c r="O15" s="2"/>
      <c r="P15" s="2"/>
      <c r="Q15" s="2"/>
      <c r="R15" s="2"/>
      <c r="S15" s="2"/>
      <c r="T15" s="2"/>
      <c r="U15" s="2"/>
      <c r="V15" s="2"/>
      <c r="W15" s="2"/>
      <c r="X15" s="2"/>
      <c r="Y15" s="2"/>
      <c r="Z15" s="2"/>
    </row>
    <row r="16" customHeight="1" spans="1:26">
      <c r="A16" s="13" t="s">
        <v>2411</v>
      </c>
      <c r="B16" s="13" t="s">
        <v>3108</v>
      </c>
      <c r="C16" s="13" t="s">
        <v>2413</v>
      </c>
      <c r="D16" s="57"/>
      <c r="E16" s="57"/>
      <c r="F16" s="13" t="s">
        <v>3109</v>
      </c>
      <c r="G16" s="13" t="s">
        <v>3110</v>
      </c>
      <c r="H16" s="2"/>
      <c r="I16" s="2"/>
      <c r="J16" s="2"/>
      <c r="K16" s="2"/>
      <c r="L16" s="2"/>
      <c r="M16" s="2"/>
      <c r="N16" s="2"/>
      <c r="O16" s="2"/>
      <c r="P16" s="2"/>
      <c r="Q16" s="2"/>
      <c r="R16" s="2"/>
      <c r="S16" s="2"/>
      <c r="T16" s="2"/>
      <c r="U16" s="2"/>
      <c r="V16" s="2"/>
      <c r="W16" s="2"/>
      <c r="X16" s="2"/>
      <c r="Y16" s="2"/>
      <c r="Z16" s="2"/>
    </row>
    <row r="17" customHeight="1" spans="1:26">
      <c r="A17" s="13" t="s">
        <v>2416</v>
      </c>
      <c r="B17" s="13" t="s">
        <v>3111</v>
      </c>
      <c r="C17" s="13" t="s">
        <v>476</v>
      </c>
      <c r="D17" s="57"/>
      <c r="E17" s="57"/>
      <c r="F17" s="13" t="s">
        <v>3112</v>
      </c>
      <c r="G17" s="13" t="s">
        <v>3113</v>
      </c>
      <c r="H17" s="2"/>
      <c r="I17" s="2"/>
      <c r="J17" s="2"/>
      <c r="K17" s="2"/>
      <c r="L17" s="2"/>
      <c r="M17" s="2"/>
      <c r="N17" s="2"/>
      <c r="O17" s="2"/>
      <c r="P17" s="2"/>
      <c r="Q17" s="2"/>
      <c r="R17" s="2"/>
      <c r="S17" s="2"/>
      <c r="T17" s="2"/>
      <c r="U17" s="2"/>
      <c r="V17" s="2"/>
      <c r="W17" s="2"/>
      <c r="X17" s="2"/>
      <c r="Y17" s="2"/>
      <c r="Z17" s="2"/>
    </row>
    <row r="18" customHeight="1" spans="1:26">
      <c r="A18" s="13" t="s">
        <v>2420</v>
      </c>
      <c r="B18" s="13" t="s">
        <v>3114</v>
      </c>
      <c r="C18" s="13" t="s">
        <v>476</v>
      </c>
      <c r="D18" s="57"/>
      <c r="E18" s="57"/>
      <c r="F18" s="13" t="s">
        <v>3115</v>
      </c>
      <c r="G18" s="13" t="s">
        <v>3116</v>
      </c>
      <c r="H18" s="2"/>
      <c r="I18" s="2"/>
      <c r="J18" s="2"/>
      <c r="K18" s="2"/>
      <c r="L18" s="2"/>
      <c r="M18" s="2"/>
      <c r="N18" s="2"/>
      <c r="O18" s="2"/>
      <c r="P18" s="2"/>
      <c r="Q18" s="2"/>
      <c r="R18" s="2"/>
      <c r="S18" s="2"/>
      <c r="T18" s="2"/>
      <c r="U18" s="2"/>
      <c r="V18" s="2"/>
      <c r="W18" s="2"/>
      <c r="X18" s="2"/>
      <c r="Y18" s="2"/>
      <c r="Z18" s="2"/>
    </row>
    <row r="19" customHeight="1" spans="1:26">
      <c r="A19" s="13" t="s">
        <v>2424</v>
      </c>
      <c r="B19" s="13" t="s">
        <v>3117</v>
      </c>
      <c r="C19" s="13" t="s">
        <v>428</v>
      </c>
      <c r="D19" s="57"/>
      <c r="E19" s="57"/>
      <c r="F19" s="13" t="s">
        <v>3118</v>
      </c>
      <c r="G19" s="13" t="s">
        <v>3118</v>
      </c>
      <c r="H19" s="2"/>
      <c r="I19" s="2"/>
      <c r="J19" s="2"/>
      <c r="K19" s="2"/>
      <c r="L19" s="2"/>
      <c r="M19" s="2"/>
      <c r="N19" s="2"/>
      <c r="O19" s="2"/>
      <c r="P19" s="2"/>
      <c r="Q19" s="2"/>
      <c r="R19" s="2"/>
      <c r="S19" s="2"/>
      <c r="T19" s="2"/>
      <c r="U19" s="2"/>
      <c r="V19" s="2"/>
      <c r="W19" s="2"/>
      <c r="X19" s="2"/>
      <c r="Y19" s="2"/>
      <c r="Z19" s="2"/>
    </row>
    <row r="20" customHeight="1" spans="1:26">
      <c r="A20" s="13" t="s">
        <v>2428</v>
      </c>
      <c r="B20" s="13" t="s">
        <v>3119</v>
      </c>
      <c r="C20" s="13" t="s">
        <v>2430</v>
      </c>
      <c r="D20" s="57"/>
      <c r="E20" s="57"/>
      <c r="F20" s="13" t="s">
        <v>3120</v>
      </c>
      <c r="G20" s="13" t="s">
        <v>3121</v>
      </c>
      <c r="H20" s="2"/>
      <c r="I20" s="2"/>
      <c r="J20" s="2"/>
      <c r="K20" s="2"/>
      <c r="L20" s="2"/>
      <c r="M20" s="2"/>
      <c r="N20" s="2"/>
      <c r="O20" s="2"/>
      <c r="P20" s="2"/>
      <c r="Q20" s="2"/>
      <c r="R20" s="2"/>
      <c r="S20" s="2"/>
      <c r="T20" s="2"/>
      <c r="U20" s="2"/>
      <c r="V20" s="2"/>
      <c r="W20" s="2"/>
      <c r="X20" s="2"/>
      <c r="Y20" s="2"/>
      <c r="Z20" s="2"/>
    </row>
    <row r="21" customHeight="1" spans="1:26">
      <c r="A21" s="13" t="s">
        <v>2433</v>
      </c>
      <c r="B21" s="13" t="s">
        <v>1123</v>
      </c>
      <c r="C21" s="13" t="s">
        <v>2435</v>
      </c>
      <c r="D21" s="57"/>
      <c r="E21" s="57"/>
      <c r="F21" s="13" t="s">
        <v>3122</v>
      </c>
      <c r="G21" s="13" t="s">
        <v>3123</v>
      </c>
      <c r="H21" s="2"/>
      <c r="I21" s="2"/>
      <c r="J21" s="2"/>
      <c r="K21" s="2"/>
      <c r="L21" s="2"/>
      <c r="M21" s="2"/>
      <c r="N21" s="2"/>
      <c r="O21" s="2"/>
      <c r="P21" s="2"/>
      <c r="Q21" s="2"/>
      <c r="R21" s="2"/>
      <c r="S21" s="2"/>
      <c r="T21" s="2"/>
      <c r="U21" s="2"/>
      <c r="V21" s="2"/>
      <c r="W21" s="2"/>
      <c r="X21" s="2"/>
      <c r="Y21" s="2"/>
      <c r="Z21" s="2"/>
    </row>
    <row r="22" customHeight="1" spans="1:26">
      <c r="A22" s="13" t="s">
        <v>2438</v>
      </c>
      <c r="B22" s="13" t="s">
        <v>3124</v>
      </c>
      <c r="C22" s="13" t="s">
        <v>393</v>
      </c>
      <c r="D22" s="57"/>
      <c r="E22" s="57"/>
      <c r="F22" s="13" t="s">
        <v>3125</v>
      </c>
      <c r="G22" s="13" t="s">
        <v>3126</v>
      </c>
      <c r="H22" s="2"/>
      <c r="I22" s="2"/>
      <c r="J22" s="2"/>
      <c r="K22" s="2"/>
      <c r="L22" s="2"/>
      <c r="M22" s="2"/>
      <c r="N22" s="2"/>
      <c r="O22" s="2"/>
      <c r="P22" s="2"/>
      <c r="Q22" s="2"/>
      <c r="R22" s="2"/>
      <c r="S22" s="2"/>
      <c r="T22" s="2"/>
      <c r="U22" s="2"/>
      <c r="V22" s="2"/>
      <c r="W22" s="2"/>
      <c r="X22" s="2"/>
      <c r="Y22" s="2"/>
      <c r="Z22" s="2"/>
    </row>
    <row r="23" customHeight="1" spans="1:26">
      <c r="A23" s="13" t="s">
        <v>2442</v>
      </c>
      <c r="B23" s="13" t="s">
        <v>3127</v>
      </c>
      <c r="C23" s="13" t="s">
        <v>393</v>
      </c>
      <c r="D23" s="57"/>
      <c r="E23" s="57"/>
      <c r="F23" s="13" t="s">
        <v>3128</v>
      </c>
      <c r="G23" s="13" t="s">
        <v>3129</v>
      </c>
      <c r="H23" s="2"/>
      <c r="I23" s="2"/>
      <c r="J23" s="2"/>
      <c r="K23" s="2"/>
      <c r="L23" s="2"/>
      <c r="M23" s="2"/>
      <c r="N23" s="2"/>
      <c r="O23" s="2"/>
      <c r="P23" s="2"/>
      <c r="Q23" s="2"/>
      <c r="R23" s="2"/>
      <c r="S23" s="2"/>
      <c r="T23" s="2"/>
      <c r="U23" s="2"/>
      <c r="V23" s="2"/>
      <c r="W23" s="2"/>
      <c r="X23" s="2"/>
      <c r="Y23" s="2"/>
      <c r="Z23" s="2"/>
    </row>
    <row r="24" customHeight="1" spans="1:26">
      <c r="A24" s="13" t="s">
        <v>2446</v>
      </c>
      <c r="B24" s="13" t="s">
        <v>3130</v>
      </c>
      <c r="C24" s="13" t="s">
        <v>820</v>
      </c>
      <c r="D24" s="57"/>
      <c r="E24" s="57"/>
      <c r="F24" s="13" t="s">
        <v>3131</v>
      </c>
      <c r="G24" s="13" t="s">
        <v>3132</v>
      </c>
      <c r="H24" s="2"/>
      <c r="I24" s="2"/>
      <c r="J24" s="2"/>
      <c r="K24" s="2"/>
      <c r="L24" s="2"/>
      <c r="M24" s="2"/>
      <c r="N24" s="2"/>
      <c r="O24" s="2"/>
      <c r="P24" s="2"/>
      <c r="Q24" s="2"/>
      <c r="R24" s="2"/>
      <c r="S24" s="2"/>
      <c r="T24" s="2"/>
      <c r="U24" s="2"/>
      <c r="V24" s="2"/>
      <c r="W24" s="2"/>
      <c r="X24" s="2"/>
      <c r="Y24" s="2"/>
      <c r="Z24" s="2"/>
    </row>
    <row r="25" customHeight="1" spans="1:26">
      <c r="A25" s="13" t="s">
        <v>2450</v>
      </c>
      <c r="B25" s="13" t="s">
        <v>3133</v>
      </c>
      <c r="C25" s="13" t="s">
        <v>309</v>
      </c>
      <c r="D25" s="57"/>
      <c r="E25" s="57"/>
      <c r="F25" s="13" t="s">
        <v>3134</v>
      </c>
      <c r="G25" s="13" t="s">
        <v>3135</v>
      </c>
      <c r="H25" s="2"/>
      <c r="I25" s="2"/>
      <c r="J25" s="2"/>
      <c r="K25" s="2"/>
      <c r="L25" s="2"/>
      <c r="M25" s="2"/>
      <c r="N25" s="2"/>
      <c r="O25" s="2"/>
      <c r="P25" s="2"/>
      <c r="Q25" s="2"/>
      <c r="R25" s="2"/>
      <c r="S25" s="2"/>
      <c r="T25" s="2"/>
      <c r="U25" s="2"/>
      <c r="V25" s="2"/>
      <c r="W25" s="2"/>
      <c r="X25" s="2"/>
      <c r="Y25" s="2"/>
      <c r="Z25" s="2"/>
    </row>
    <row r="26" customHeight="1" spans="1:26">
      <c r="A26" s="13" t="s">
        <v>2452</v>
      </c>
      <c r="B26" s="13" t="s">
        <v>3136</v>
      </c>
      <c r="C26" s="13" t="s">
        <v>471</v>
      </c>
      <c r="D26" s="57"/>
      <c r="E26" s="57"/>
      <c r="F26" s="13" t="s">
        <v>3137</v>
      </c>
      <c r="G26" s="13" t="s">
        <v>3138</v>
      </c>
      <c r="H26" s="2"/>
      <c r="I26" s="2"/>
      <c r="J26" s="2"/>
      <c r="K26" s="2"/>
      <c r="L26" s="2"/>
      <c r="M26" s="2"/>
      <c r="N26" s="2"/>
      <c r="O26" s="2"/>
      <c r="P26" s="2"/>
      <c r="Q26" s="2"/>
      <c r="R26" s="2"/>
      <c r="S26" s="2"/>
      <c r="T26" s="2"/>
      <c r="U26" s="2"/>
      <c r="V26" s="2"/>
      <c r="W26" s="2"/>
      <c r="X26" s="2"/>
      <c r="Y26" s="2"/>
      <c r="Z26" s="2"/>
    </row>
    <row r="27" customHeight="1" spans="1:26">
      <c r="A27" s="13" t="s">
        <v>2456</v>
      </c>
      <c r="B27" s="13" t="s">
        <v>3139</v>
      </c>
      <c r="C27" s="13" t="s">
        <v>445</v>
      </c>
      <c r="D27" s="57"/>
      <c r="E27" s="57"/>
      <c r="F27" s="13" t="s">
        <v>3140</v>
      </c>
      <c r="G27" s="13" t="s">
        <v>3141</v>
      </c>
      <c r="H27" s="2"/>
      <c r="I27" s="2"/>
      <c r="J27" s="2"/>
      <c r="K27" s="2"/>
      <c r="L27" s="2"/>
      <c r="M27" s="2"/>
      <c r="N27" s="2"/>
      <c r="O27" s="2"/>
      <c r="P27" s="2"/>
      <c r="Q27" s="2"/>
      <c r="R27" s="2"/>
      <c r="S27" s="2"/>
      <c r="T27" s="2"/>
      <c r="U27" s="2"/>
      <c r="V27" s="2"/>
      <c r="W27" s="2"/>
      <c r="X27" s="2"/>
      <c r="Y27" s="2"/>
      <c r="Z27" s="2"/>
    </row>
    <row r="28" customHeight="1" spans="1:26">
      <c r="A28" s="13" t="s">
        <v>2460</v>
      </c>
      <c r="B28" s="13" t="s">
        <v>3142</v>
      </c>
      <c r="C28" s="13" t="s">
        <v>327</v>
      </c>
      <c r="D28" s="57"/>
      <c r="E28" s="57"/>
      <c r="F28" s="13" t="s">
        <v>3143</v>
      </c>
      <c r="G28" s="13" t="s">
        <v>3144</v>
      </c>
      <c r="H28" s="2"/>
      <c r="I28" s="2"/>
      <c r="J28" s="2"/>
      <c r="K28" s="2"/>
      <c r="L28" s="2"/>
      <c r="M28" s="2"/>
      <c r="N28" s="2"/>
      <c r="O28" s="2"/>
      <c r="P28" s="2"/>
      <c r="Q28" s="2"/>
      <c r="R28" s="2"/>
      <c r="S28" s="2"/>
      <c r="T28" s="2"/>
      <c r="U28" s="2"/>
      <c r="V28" s="2"/>
      <c r="W28" s="2"/>
      <c r="X28" s="2"/>
      <c r="Y28" s="2"/>
      <c r="Z28" s="2"/>
    </row>
    <row r="29" customHeight="1" spans="1:26">
      <c r="A29" s="13" t="s">
        <v>2464</v>
      </c>
      <c r="B29" s="13" t="s">
        <v>3145</v>
      </c>
      <c r="C29" s="13" t="s">
        <v>462</v>
      </c>
      <c r="D29" s="57"/>
      <c r="E29" s="57"/>
      <c r="F29" s="13" t="s">
        <v>3146</v>
      </c>
      <c r="G29" s="13" t="s">
        <v>3147</v>
      </c>
      <c r="H29" s="2"/>
      <c r="I29" s="2"/>
      <c r="J29" s="2"/>
      <c r="K29" s="2"/>
      <c r="L29" s="2"/>
      <c r="M29" s="2"/>
      <c r="N29" s="2"/>
      <c r="O29" s="2"/>
      <c r="P29" s="2"/>
      <c r="Q29" s="2"/>
      <c r="R29" s="2"/>
      <c r="S29" s="2"/>
      <c r="T29" s="2"/>
      <c r="U29" s="2"/>
      <c r="V29" s="2"/>
      <c r="W29" s="2"/>
      <c r="X29" s="2"/>
      <c r="Y29" s="2"/>
      <c r="Z29" s="2"/>
    </row>
    <row r="30" customHeight="1" spans="1:26">
      <c r="A30" s="13" t="s">
        <v>2467</v>
      </c>
      <c r="B30" s="13" t="s">
        <v>3148</v>
      </c>
      <c r="C30" s="13" t="s">
        <v>2469</v>
      </c>
      <c r="D30" s="57"/>
      <c r="E30" s="57"/>
      <c r="F30" s="13" t="s">
        <v>3149</v>
      </c>
      <c r="G30" s="13" t="s">
        <v>3150</v>
      </c>
      <c r="H30" s="2"/>
      <c r="I30" s="2"/>
      <c r="J30" s="2"/>
      <c r="K30" s="2"/>
      <c r="L30" s="2"/>
      <c r="M30" s="2"/>
      <c r="N30" s="2"/>
      <c r="O30" s="2"/>
      <c r="P30" s="2"/>
      <c r="Q30" s="2"/>
      <c r="R30" s="2"/>
      <c r="S30" s="2"/>
      <c r="T30" s="2"/>
      <c r="U30" s="2"/>
      <c r="V30" s="2"/>
      <c r="W30" s="2"/>
      <c r="X30" s="2"/>
      <c r="Y30" s="2"/>
      <c r="Z30" s="2"/>
    </row>
    <row r="31" customHeight="1" spans="1:26">
      <c r="A31" s="13" t="s">
        <v>2472</v>
      </c>
      <c r="B31" s="13" t="s">
        <v>3151</v>
      </c>
      <c r="C31" s="13" t="s">
        <v>413</v>
      </c>
      <c r="D31" s="57"/>
      <c r="E31" s="57"/>
      <c r="F31" s="13" t="s">
        <v>3152</v>
      </c>
      <c r="G31" s="13" t="s">
        <v>3153</v>
      </c>
      <c r="H31" s="2"/>
      <c r="I31" s="2"/>
      <c r="J31" s="2"/>
      <c r="K31" s="2"/>
      <c r="L31" s="2"/>
      <c r="M31" s="2"/>
      <c r="N31" s="2"/>
      <c r="O31" s="2"/>
      <c r="P31" s="2"/>
      <c r="Q31" s="2"/>
      <c r="R31" s="2"/>
      <c r="S31" s="2"/>
      <c r="T31" s="2"/>
      <c r="U31" s="2"/>
      <c r="V31" s="2"/>
      <c r="W31" s="2"/>
      <c r="X31" s="2"/>
      <c r="Y31" s="2"/>
      <c r="Z31" s="2"/>
    </row>
    <row r="32" customHeight="1" spans="1:26">
      <c r="A32" s="13" t="s">
        <v>2476</v>
      </c>
      <c r="B32" s="13" t="s">
        <v>3154</v>
      </c>
      <c r="C32" s="13" t="s">
        <v>2478</v>
      </c>
      <c r="D32" s="57"/>
      <c r="E32" s="57"/>
      <c r="F32" s="13" t="s">
        <v>3155</v>
      </c>
      <c r="G32" s="13" t="s">
        <v>3156</v>
      </c>
      <c r="H32" s="2"/>
      <c r="I32" s="2"/>
      <c r="J32" s="2"/>
      <c r="K32" s="2"/>
      <c r="L32" s="2"/>
      <c r="M32" s="2"/>
      <c r="N32" s="2"/>
      <c r="O32" s="2"/>
      <c r="P32" s="2"/>
      <c r="Q32" s="2"/>
      <c r="R32" s="2"/>
      <c r="S32" s="2"/>
      <c r="T32" s="2"/>
      <c r="U32" s="2"/>
      <c r="V32" s="2"/>
      <c r="W32" s="2"/>
      <c r="X32" s="2"/>
      <c r="Y32" s="2"/>
      <c r="Z32" s="2"/>
    </row>
    <row r="33" customHeight="1" spans="1:26">
      <c r="A33" s="13" t="s">
        <v>2481</v>
      </c>
      <c r="B33" s="13" t="s">
        <v>3157</v>
      </c>
      <c r="C33" s="13" t="s">
        <v>2483</v>
      </c>
      <c r="D33" s="57"/>
      <c r="E33" s="57"/>
      <c r="F33" s="13" t="s">
        <v>3158</v>
      </c>
      <c r="G33" s="13" t="s">
        <v>3159</v>
      </c>
      <c r="H33" s="2"/>
      <c r="I33" s="2"/>
      <c r="J33" s="2"/>
      <c r="K33" s="2"/>
      <c r="L33" s="2"/>
      <c r="M33" s="2"/>
      <c r="N33" s="2"/>
      <c r="O33" s="2"/>
      <c r="P33" s="2"/>
      <c r="Q33" s="2"/>
      <c r="R33" s="2"/>
      <c r="S33" s="2"/>
      <c r="T33" s="2"/>
      <c r="U33" s="2"/>
      <c r="V33" s="2"/>
      <c r="W33" s="2"/>
      <c r="X33" s="2"/>
      <c r="Y33" s="2"/>
      <c r="Z33" s="2"/>
    </row>
    <row r="34" customHeight="1" spans="1:26">
      <c r="A34" s="13" t="s">
        <v>222</v>
      </c>
      <c r="B34" s="13" t="s">
        <v>3160</v>
      </c>
      <c r="C34" s="13" t="s">
        <v>2487</v>
      </c>
      <c r="D34" s="57"/>
      <c r="E34" s="57"/>
      <c r="F34" s="13" t="s">
        <v>3161</v>
      </c>
      <c r="G34" s="13" t="s">
        <v>3162</v>
      </c>
      <c r="H34" s="2"/>
      <c r="I34" s="2"/>
      <c r="J34" s="2"/>
      <c r="K34" s="2"/>
      <c r="L34" s="2"/>
      <c r="M34" s="2"/>
      <c r="N34" s="2"/>
      <c r="O34" s="2"/>
      <c r="P34" s="2"/>
      <c r="Q34" s="2"/>
      <c r="R34" s="2"/>
      <c r="S34" s="2"/>
      <c r="T34" s="2"/>
      <c r="U34" s="2"/>
      <c r="V34" s="2"/>
      <c r="W34" s="2"/>
      <c r="X34" s="2"/>
      <c r="Y34" s="2"/>
      <c r="Z34" s="2"/>
    </row>
    <row r="35" customHeight="1" spans="1:26">
      <c r="A35" s="13" t="s">
        <v>227</v>
      </c>
      <c r="B35" s="13" t="s">
        <v>1004</v>
      </c>
      <c r="C35" s="13" t="s">
        <v>1000</v>
      </c>
      <c r="D35" s="57"/>
      <c r="E35" s="57"/>
      <c r="F35" s="13" t="s">
        <v>3163</v>
      </c>
      <c r="G35" s="13" t="s">
        <v>3164</v>
      </c>
      <c r="H35" s="2"/>
      <c r="I35" s="2"/>
      <c r="J35" s="2"/>
      <c r="K35" s="2"/>
      <c r="L35" s="2"/>
      <c r="M35" s="2"/>
      <c r="N35" s="2"/>
      <c r="O35" s="2"/>
      <c r="P35" s="2"/>
      <c r="Q35" s="2"/>
      <c r="R35" s="2"/>
      <c r="S35" s="2"/>
      <c r="T35" s="2"/>
      <c r="U35" s="2"/>
      <c r="V35" s="2"/>
      <c r="W35" s="2"/>
      <c r="X35" s="2"/>
      <c r="Y35" s="2"/>
      <c r="Z35" s="2"/>
    </row>
    <row r="36" customHeight="1" spans="1:26">
      <c r="A36" s="13" t="s">
        <v>231</v>
      </c>
      <c r="B36" s="13" t="s">
        <v>3165</v>
      </c>
      <c r="C36" s="13" t="s">
        <v>2487</v>
      </c>
      <c r="D36" s="57"/>
      <c r="E36" s="57"/>
      <c r="F36" s="13" t="s">
        <v>3166</v>
      </c>
      <c r="G36" s="13" t="s">
        <v>3167</v>
      </c>
      <c r="H36" s="2"/>
      <c r="I36" s="2"/>
      <c r="J36" s="2"/>
      <c r="K36" s="2"/>
      <c r="L36" s="2"/>
      <c r="M36" s="2"/>
      <c r="N36" s="2"/>
      <c r="O36" s="2"/>
      <c r="P36" s="2"/>
      <c r="Q36" s="2"/>
      <c r="R36" s="2"/>
      <c r="S36" s="2"/>
      <c r="T36" s="2"/>
      <c r="U36" s="2"/>
      <c r="V36" s="2"/>
      <c r="W36" s="2"/>
      <c r="X36" s="2"/>
      <c r="Y36" s="2"/>
      <c r="Z36" s="2"/>
    </row>
    <row r="37" customHeight="1" spans="1:26">
      <c r="A37" s="13" t="s">
        <v>198</v>
      </c>
      <c r="B37" s="13" t="s">
        <v>3168</v>
      </c>
      <c r="C37" s="13" t="s">
        <v>2497</v>
      </c>
      <c r="D37" s="57"/>
      <c r="E37" s="57"/>
      <c r="F37" s="13" t="s">
        <v>3169</v>
      </c>
      <c r="G37" s="13" t="s">
        <v>3170</v>
      </c>
      <c r="H37" s="2"/>
      <c r="I37" s="2"/>
      <c r="J37" s="2"/>
      <c r="K37" s="2"/>
      <c r="L37" s="2"/>
      <c r="M37" s="2"/>
      <c r="N37" s="2"/>
      <c r="O37" s="2"/>
      <c r="P37" s="2"/>
      <c r="Q37" s="2"/>
      <c r="R37" s="2"/>
      <c r="S37" s="2"/>
      <c r="T37" s="2"/>
      <c r="U37" s="2"/>
      <c r="V37" s="2"/>
      <c r="W37" s="2"/>
      <c r="X37" s="2"/>
      <c r="Y37" s="2"/>
      <c r="Z37" s="2"/>
    </row>
    <row r="38" customHeight="1" spans="1:26">
      <c r="A38" s="13" t="s">
        <v>84</v>
      </c>
      <c r="B38" s="13" t="s">
        <v>3171</v>
      </c>
      <c r="C38" s="13" t="s">
        <v>86</v>
      </c>
      <c r="D38" s="57"/>
      <c r="E38" s="57"/>
      <c r="F38" s="13" t="s">
        <v>3172</v>
      </c>
      <c r="G38" s="13" t="s">
        <v>3173</v>
      </c>
      <c r="H38" s="2"/>
      <c r="I38" s="2"/>
      <c r="J38" s="2"/>
      <c r="K38" s="2"/>
      <c r="L38" s="2"/>
      <c r="M38" s="2"/>
      <c r="N38" s="2"/>
      <c r="O38" s="2"/>
      <c r="P38" s="2"/>
      <c r="Q38" s="2"/>
      <c r="R38" s="2"/>
      <c r="S38" s="2"/>
      <c r="T38" s="2"/>
      <c r="U38" s="2"/>
      <c r="V38" s="2"/>
      <c r="W38" s="2"/>
      <c r="X38" s="2"/>
      <c r="Y38" s="2"/>
      <c r="Z38" s="2"/>
    </row>
    <row r="39" customHeight="1" spans="1:26">
      <c r="A39" s="13" t="s">
        <v>139</v>
      </c>
      <c r="B39" s="13" t="s">
        <v>3174</v>
      </c>
      <c r="C39" s="13" t="s">
        <v>141</v>
      </c>
      <c r="D39" s="57"/>
      <c r="E39" s="57"/>
      <c r="F39" s="13" t="s">
        <v>3175</v>
      </c>
      <c r="G39" s="13" t="s">
        <v>3176</v>
      </c>
      <c r="H39" s="2"/>
      <c r="I39" s="2"/>
      <c r="J39" s="2"/>
      <c r="K39" s="2"/>
      <c r="L39" s="2"/>
      <c r="M39" s="2"/>
      <c r="N39" s="2"/>
      <c r="O39" s="2"/>
      <c r="P39" s="2"/>
      <c r="Q39" s="2"/>
      <c r="R39" s="2"/>
      <c r="S39" s="2"/>
      <c r="T39" s="2"/>
      <c r="U39" s="2"/>
      <c r="V39" s="2"/>
      <c r="W39" s="2"/>
      <c r="X39" s="2"/>
      <c r="Y39" s="2"/>
      <c r="Z39" s="2"/>
    </row>
    <row r="40" customHeight="1" spans="1:26">
      <c r="A40" s="13" t="s">
        <v>488</v>
      </c>
      <c r="B40" s="13" t="s">
        <v>3177</v>
      </c>
      <c r="C40" s="13" t="s">
        <v>490</v>
      </c>
      <c r="D40" s="57"/>
      <c r="E40" s="57"/>
      <c r="F40" s="13" t="s">
        <v>3178</v>
      </c>
      <c r="G40" s="13" t="s">
        <v>3179</v>
      </c>
      <c r="H40" s="2"/>
      <c r="I40" s="2"/>
      <c r="J40" s="2"/>
      <c r="K40" s="2"/>
      <c r="L40" s="2"/>
      <c r="M40" s="2"/>
      <c r="N40" s="2"/>
      <c r="O40" s="2"/>
      <c r="P40" s="2"/>
      <c r="Q40" s="2"/>
      <c r="R40" s="2"/>
      <c r="S40" s="2"/>
      <c r="T40" s="2"/>
      <c r="U40" s="2"/>
      <c r="V40" s="2"/>
      <c r="W40" s="2"/>
      <c r="X40" s="2"/>
      <c r="Y40" s="2"/>
      <c r="Z40" s="2"/>
    </row>
    <row r="41" customHeight="1" spans="1:26">
      <c r="A41" s="13" t="s">
        <v>563</v>
      </c>
      <c r="B41" s="13" t="s">
        <v>3180</v>
      </c>
      <c r="C41" s="13" t="s">
        <v>565</v>
      </c>
      <c r="D41" s="57"/>
      <c r="E41" s="57"/>
      <c r="F41" s="13" t="s">
        <v>3181</v>
      </c>
      <c r="G41" s="13" t="s">
        <v>3182</v>
      </c>
      <c r="H41" s="2"/>
      <c r="I41" s="2"/>
      <c r="J41" s="2"/>
      <c r="K41" s="2"/>
      <c r="L41" s="2"/>
      <c r="M41" s="2"/>
      <c r="N41" s="2"/>
      <c r="O41" s="2"/>
      <c r="P41" s="2"/>
      <c r="Q41" s="2"/>
      <c r="R41" s="2"/>
      <c r="S41" s="2"/>
      <c r="T41" s="2"/>
      <c r="U41" s="2"/>
      <c r="V41" s="2"/>
      <c r="W41" s="2"/>
      <c r="X41" s="2"/>
      <c r="Y41" s="2"/>
      <c r="Z41" s="2"/>
    </row>
    <row r="42" customHeight="1" spans="1:26">
      <c r="A42" s="13" t="s">
        <v>24</v>
      </c>
      <c r="B42" s="13" t="s">
        <v>3183</v>
      </c>
      <c r="C42" s="13" t="s">
        <v>2512</v>
      </c>
      <c r="D42" s="57"/>
      <c r="E42" s="57"/>
      <c r="F42" s="13" t="s">
        <v>3184</v>
      </c>
      <c r="G42" s="13" t="s">
        <v>3185</v>
      </c>
      <c r="H42" s="2"/>
      <c r="I42" s="2"/>
      <c r="J42" s="2"/>
      <c r="K42" s="2"/>
      <c r="L42" s="2"/>
      <c r="M42" s="2"/>
      <c r="N42" s="2"/>
      <c r="O42" s="2"/>
      <c r="P42" s="2"/>
      <c r="Q42" s="2"/>
      <c r="R42" s="2"/>
      <c r="S42" s="2"/>
      <c r="T42" s="2"/>
      <c r="U42" s="2"/>
      <c r="V42" s="2"/>
      <c r="W42" s="2"/>
      <c r="X42" s="2"/>
      <c r="Y42" s="2"/>
      <c r="Z42" s="2"/>
    </row>
    <row r="43" customHeight="1" spans="1:26">
      <c r="A43" s="13" t="s">
        <v>234</v>
      </c>
      <c r="B43" s="13" t="s">
        <v>3186</v>
      </c>
      <c r="C43" s="13" t="s">
        <v>2516</v>
      </c>
      <c r="D43" s="57"/>
      <c r="E43" s="57"/>
      <c r="F43" s="13" t="s">
        <v>3187</v>
      </c>
      <c r="G43" s="13" t="s">
        <v>3188</v>
      </c>
      <c r="H43" s="2"/>
      <c r="I43" s="2"/>
      <c r="J43" s="2"/>
      <c r="K43" s="2"/>
      <c r="L43" s="2"/>
      <c r="M43" s="2"/>
      <c r="N43" s="2"/>
      <c r="O43" s="2"/>
      <c r="P43" s="2"/>
      <c r="Q43" s="2"/>
      <c r="R43" s="2"/>
      <c r="S43" s="2"/>
      <c r="T43" s="2"/>
      <c r="U43" s="2"/>
      <c r="V43" s="2"/>
      <c r="W43" s="2"/>
      <c r="X43" s="2"/>
      <c r="Y43" s="2"/>
      <c r="Z43" s="2"/>
    </row>
    <row r="44" customHeight="1" spans="1:26">
      <c r="A44" s="13" t="s">
        <v>212</v>
      </c>
      <c r="B44" s="13" t="s">
        <v>3189</v>
      </c>
      <c r="C44" s="13" t="s">
        <v>214</v>
      </c>
      <c r="D44" s="57"/>
      <c r="E44" s="57"/>
      <c r="F44" s="13" t="s">
        <v>3190</v>
      </c>
      <c r="G44" s="13" t="s">
        <v>3191</v>
      </c>
      <c r="H44" s="2"/>
      <c r="I44" s="2"/>
      <c r="J44" s="2"/>
      <c r="K44" s="2"/>
      <c r="L44" s="2"/>
      <c r="M44" s="2"/>
      <c r="N44" s="2"/>
      <c r="O44" s="2"/>
      <c r="P44" s="2"/>
      <c r="Q44" s="2"/>
      <c r="R44" s="2"/>
      <c r="S44" s="2"/>
      <c r="T44" s="2"/>
      <c r="U44" s="2"/>
      <c r="V44" s="2"/>
      <c r="W44" s="2"/>
      <c r="X44" s="2"/>
      <c r="Y44" s="2"/>
      <c r="Z44" s="2"/>
    </row>
    <row r="45" customHeight="1" spans="1:26">
      <c r="A45" s="13" t="s">
        <v>537</v>
      </c>
      <c r="B45" s="13" t="s">
        <v>3192</v>
      </c>
      <c r="C45" s="13" t="s">
        <v>2523</v>
      </c>
      <c r="D45" s="57"/>
      <c r="E45" s="57"/>
      <c r="F45" s="13" t="s">
        <v>3193</v>
      </c>
      <c r="G45" s="13" t="s">
        <v>3194</v>
      </c>
      <c r="H45" s="2"/>
      <c r="I45" s="2"/>
      <c r="J45" s="2"/>
      <c r="K45" s="2"/>
      <c r="L45" s="2"/>
      <c r="M45" s="2"/>
      <c r="N45" s="2"/>
      <c r="O45" s="2"/>
      <c r="P45" s="2"/>
      <c r="Q45" s="2"/>
      <c r="R45" s="2"/>
      <c r="S45" s="2"/>
      <c r="T45" s="2"/>
      <c r="U45" s="2"/>
      <c r="V45" s="2"/>
      <c r="W45" s="2"/>
      <c r="X45" s="2"/>
      <c r="Y45" s="2"/>
      <c r="Z45" s="2"/>
    </row>
    <row r="46" customHeight="1" spans="1:26">
      <c r="A46" s="13" t="s">
        <v>542</v>
      </c>
      <c r="B46" s="13" t="s">
        <v>3195</v>
      </c>
      <c r="C46" s="13" t="s">
        <v>2527</v>
      </c>
      <c r="D46" s="57"/>
      <c r="E46" s="57"/>
      <c r="F46" s="13" t="s">
        <v>3196</v>
      </c>
      <c r="G46" s="13" t="s">
        <v>3197</v>
      </c>
      <c r="H46" s="2"/>
      <c r="I46" s="2"/>
      <c r="J46" s="2"/>
      <c r="K46" s="2"/>
      <c r="L46" s="2"/>
      <c r="M46" s="2"/>
      <c r="N46" s="2"/>
      <c r="O46" s="2"/>
      <c r="P46" s="2"/>
      <c r="Q46" s="2"/>
      <c r="R46" s="2"/>
      <c r="S46" s="2"/>
      <c r="T46" s="2"/>
      <c r="U46" s="2"/>
      <c r="V46" s="2"/>
      <c r="W46" s="2"/>
      <c r="X46" s="2"/>
      <c r="Y46" s="2"/>
      <c r="Z46" s="2"/>
    </row>
    <row r="47" customHeight="1" spans="1:26">
      <c r="A47" s="13" t="s">
        <v>546</v>
      </c>
      <c r="B47" s="13" t="s">
        <v>3198</v>
      </c>
      <c r="C47" s="13" t="s">
        <v>2531</v>
      </c>
      <c r="D47" s="57"/>
      <c r="E47" s="57"/>
      <c r="F47" s="13" t="s">
        <v>3199</v>
      </c>
      <c r="G47" s="13" t="s">
        <v>3200</v>
      </c>
      <c r="H47" s="2"/>
      <c r="I47" s="2"/>
      <c r="J47" s="2"/>
      <c r="K47" s="2"/>
      <c r="L47" s="2"/>
      <c r="M47" s="2"/>
      <c r="N47" s="2"/>
      <c r="O47" s="2"/>
      <c r="P47" s="2"/>
      <c r="Q47" s="2"/>
      <c r="R47" s="2"/>
      <c r="S47" s="2"/>
      <c r="T47" s="2"/>
      <c r="U47" s="2"/>
      <c r="V47" s="2"/>
      <c r="W47" s="2"/>
      <c r="X47" s="2"/>
      <c r="Y47" s="2"/>
      <c r="Z47" s="2"/>
    </row>
    <row r="48" customHeight="1" spans="1:26">
      <c r="A48" s="13" t="s">
        <v>551</v>
      </c>
      <c r="B48" s="13" t="s">
        <v>3201</v>
      </c>
      <c r="C48" s="13" t="s">
        <v>2535</v>
      </c>
      <c r="D48" s="57"/>
      <c r="E48" s="57"/>
      <c r="F48" s="13" t="s">
        <v>3202</v>
      </c>
      <c r="G48" s="13" t="s">
        <v>3203</v>
      </c>
      <c r="H48" s="2"/>
      <c r="I48" s="2"/>
      <c r="J48" s="2"/>
      <c r="K48" s="2"/>
      <c r="L48" s="2"/>
      <c r="M48" s="2"/>
      <c r="N48" s="2"/>
      <c r="O48" s="2"/>
      <c r="P48" s="2"/>
      <c r="Q48" s="2"/>
      <c r="R48" s="2"/>
      <c r="S48" s="2"/>
      <c r="T48" s="2"/>
      <c r="U48" s="2"/>
      <c r="V48" s="2"/>
      <c r="W48" s="2"/>
      <c r="X48" s="2"/>
      <c r="Y48" s="2"/>
      <c r="Z48" s="2"/>
    </row>
    <row r="49" customHeight="1" spans="1:26">
      <c r="A49" s="13" t="s">
        <v>508</v>
      </c>
      <c r="B49" s="13" t="s">
        <v>3204</v>
      </c>
      <c r="C49" s="13" t="s">
        <v>2539</v>
      </c>
      <c r="D49" s="57"/>
      <c r="E49" s="57"/>
      <c r="F49" s="13" t="s">
        <v>3205</v>
      </c>
      <c r="G49" s="13" t="s">
        <v>3206</v>
      </c>
      <c r="H49" s="2"/>
      <c r="I49" s="2"/>
      <c r="J49" s="2"/>
      <c r="K49" s="2"/>
      <c r="L49" s="2"/>
      <c r="M49" s="2"/>
      <c r="N49" s="2"/>
      <c r="O49" s="2"/>
      <c r="P49" s="2"/>
      <c r="Q49" s="2"/>
      <c r="R49" s="2"/>
      <c r="S49" s="2"/>
      <c r="T49" s="2"/>
      <c r="U49" s="2"/>
      <c r="V49" s="2"/>
      <c r="W49" s="2"/>
      <c r="X49" s="2"/>
      <c r="Y49" s="2"/>
      <c r="Z49" s="2"/>
    </row>
    <row r="50" customHeight="1" spans="1:26">
      <c r="A50" s="13" t="s">
        <v>513</v>
      </c>
      <c r="B50" s="13" t="s">
        <v>3207</v>
      </c>
      <c r="C50" s="13" t="s">
        <v>2543</v>
      </c>
      <c r="D50" s="57"/>
      <c r="E50" s="57"/>
      <c r="F50" s="13" t="s">
        <v>3208</v>
      </c>
      <c r="G50" s="13" t="s">
        <v>3209</v>
      </c>
      <c r="H50" s="2"/>
      <c r="I50" s="2"/>
      <c r="J50" s="2"/>
      <c r="K50" s="2"/>
      <c r="L50" s="2"/>
      <c r="M50" s="2"/>
      <c r="N50" s="2"/>
      <c r="O50" s="2"/>
      <c r="P50" s="2"/>
      <c r="Q50" s="2"/>
      <c r="R50" s="2"/>
      <c r="S50" s="2"/>
      <c r="T50" s="2"/>
      <c r="U50" s="2"/>
      <c r="V50" s="2"/>
      <c r="W50" s="2"/>
      <c r="X50" s="2"/>
      <c r="Y50" s="2"/>
      <c r="Z50" s="2"/>
    </row>
    <row r="51" customHeight="1" spans="1:26">
      <c r="A51" s="13" t="s">
        <v>518</v>
      </c>
      <c r="B51" s="13" t="s">
        <v>972</v>
      </c>
      <c r="C51" s="13" t="s">
        <v>515</v>
      </c>
      <c r="D51" s="57"/>
      <c r="E51" s="57"/>
      <c r="F51" s="13" t="s">
        <v>3210</v>
      </c>
      <c r="G51" s="13" t="s">
        <v>3211</v>
      </c>
      <c r="H51" s="2"/>
      <c r="I51" s="2"/>
      <c r="J51" s="2"/>
      <c r="K51" s="2"/>
      <c r="L51" s="2"/>
      <c r="M51" s="2"/>
      <c r="N51" s="2"/>
      <c r="O51" s="2"/>
      <c r="P51" s="2"/>
      <c r="Q51" s="2"/>
      <c r="R51" s="2"/>
      <c r="S51" s="2"/>
      <c r="T51" s="2"/>
      <c r="U51" s="2"/>
      <c r="V51" s="2"/>
      <c r="W51" s="2"/>
      <c r="X51" s="2"/>
      <c r="Y51" s="2"/>
      <c r="Z51" s="2"/>
    </row>
    <row r="52" customHeight="1" spans="1:26">
      <c r="A52" s="13" t="s">
        <v>285</v>
      </c>
      <c r="B52" s="13" t="s">
        <v>3212</v>
      </c>
      <c r="C52" s="13" t="s">
        <v>2859</v>
      </c>
      <c r="D52" s="57"/>
      <c r="E52" s="57"/>
      <c r="F52" s="13" t="s">
        <v>3213</v>
      </c>
      <c r="G52" s="13" t="s">
        <v>3214</v>
      </c>
      <c r="H52" s="2"/>
      <c r="I52" s="2"/>
      <c r="J52" s="2"/>
      <c r="K52" s="2"/>
      <c r="L52" s="2"/>
      <c r="M52" s="2"/>
      <c r="N52" s="2"/>
      <c r="O52" s="2"/>
      <c r="P52" s="2"/>
      <c r="Q52" s="2"/>
      <c r="R52" s="2"/>
      <c r="S52" s="2"/>
      <c r="T52" s="2"/>
      <c r="U52" s="2"/>
      <c r="V52" s="2"/>
      <c r="W52" s="2"/>
      <c r="X52" s="2"/>
      <c r="Y52" s="2"/>
      <c r="Z52" s="2"/>
    </row>
    <row r="53" customHeight="1" spans="1:26">
      <c r="A53" s="13" t="s">
        <v>532</v>
      </c>
      <c r="B53" s="13" t="s">
        <v>3215</v>
      </c>
      <c r="C53" s="13" t="s">
        <v>2554</v>
      </c>
      <c r="D53" s="57"/>
      <c r="E53" s="57"/>
      <c r="F53" s="13" t="s">
        <v>3216</v>
      </c>
      <c r="G53" s="13" t="s">
        <v>3217</v>
      </c>
      <c r="H53" s="2"/>
      <c r="I53" s="2"/>
      <c r="J53" s="2"/>
      <c r="K53" s="2"/>
      <c r="L53" s="2"/>
      <c r="M53" s="2"/>
      <c r="N53" s="2"/>
      <c r="O53" s="2"/>
      <c r="P53" s="2"/>
      <c r="Q53" s="2"/>
      <c r="R53" s="2"/>
      <c r="S53" s="2"/>
      <c r="T53" s="2"/>
      <c r="U53" s="2"/>
      <c r="V53" s="2"/>
      <c r="W53" s="2"/>
      <c r="X53" s="2"/>
      <c r="Y53" s="2"/>
      <c r="Z53" s="2"/>
    </row>
    <row r="54" customHeight="1" spans="1:26">
      <c r="A54" s="13" t="s">
        <v>2557</v>
      </c>
      <c r="B54" s="13" t="s">
        <v>3218</v>
      </c>
      <c r="C54" s="13" t="s">
        <v>2559</v>
      </c>
      <c r="D54" s="57"/>
      <c r="E54" s="57"/>
      <c r="F54" s="13" t="s">
        <v>3219</v>
      </c>
      <c r="G54" s="13" t="s">
        <v>3220</v>
      </c>
      <c r="H54" s="2"/>
      <c r="I54" s="2"/>
      <c r="J54" s="2"/>
      <c r="K54" s="2"/>
      <c r="L54" s="2"/>
      <c r="M54" s="2"/>
      <c r="N54" s="2"/>
      <c r="O54" s="2"/>
      <c r="P54" s="2"/>
      <c r="Q54" s="2"/>
      <c r="R54" s="2"/>
      <c r="S54" s="2"/>
      <c r="T54" s="2"/>
      <c r="U54" s="2"/>
      <c r="V54" s="2"/>
      <c r="W54" s="2"/>
      <c r="X54" s="2"/>
      <c r="Y54" s="2"/>
      <c r="Z54" s="2"/>
    </row>
    <row r="55" customHeight="1" spans="1:26">
      <c r="A55" s="13" t="s">
        <v>297</v>
      </c>
      <c r="B55" s="13" t="s">
        <v>3221</v>
      </c>
      <c r="C55" s="13" t="s">
        <v>1807</v>
      </c>
      <c r="D55" s="57"/>
      <c r="E55" s="57"/>
      <c r="F55" s="13" t="s">
        <v>3222</v>
      </c>
      <c r="G55" s="13" t="s">
        <v>3223</v>
      </c>
      <c r="H55" s="2"/>
      <c r="I55" s="2"/>
      <c r="J55" s="2"/>
      <c r="K55" s="2"/>
      <c r="L55" s="2"/>
      <c r="M55" s="2"/>
      <c r="N55" s="2"/>
      <c r="O55" s="2"/>
      <c r="P55" s="2"/>
      <c r="Q55" s="2"/>
      <c r="R55" s="2"/>
      <c r="S55" s="2"/>
      <c r="T55" s="2"/>
      <c r="U55" s="2"/>
      <c r="V55" s="2"/>
      <c r="W55" s="2"/>
      <c r="X55" s="2"/>
      <c r="Y55" s="2"/>
      <c r="Z55" s="2"/>
    </row>
    <row r="56" customHeight="1" spans="1:26">
      <c r="A56" s="13" t="s">
        <v>18</v>
      </c>
      <c r="B56" s="13" t="s">
        <v>3224</v>
      </c>
      <c r="C56" s="13" t="s">
        <v>2566</v>
      </c>
      <c r="D56" s="57"/>
      <c r="E56" s="57"/>
      <c r="F56" s="13" t="s">
        <v>3225</v>
      </c>
      <c r="G56" s="13" t="s">
        <v>3226</v>
      </c>
      <c r="H56" s="2"/>
      <c r="I56" s="2"/>
      <c r="J56" s="2"/>
      <c r="K56" s="2"/>
      <c r="L56" s="2"/>
      <c r="M56" s="2"/>
      <c r="N56" s="2"/>
      <c r="O56" s="2"/>
      <c r="P56" s="2"/>
      <c r="Q56" s="2"/>
      <c r="R56" s="2"/>
      <c r="S56" s="2"/>
      <c r="T56" s="2"/>
      <c r="U56" s="2"/>
      <c r="V56" s="2"/>
      <c r="W56" s="2"/>
      <c r="X56" s="2"/>
      <c r="Y56" s="2"/>
      <c r="Z56" s="2"/>
    </row>
    <row r="57" customHeight="1" spans="1:26">
      <c r="A57" s="13" t="s">
        <v>10</v>
      </c>
      <c r="B57" s="13" t="s">
        <v>3227</v>
      </c>
      <c r="C57" s="13" t="s">
        <v>12</v>
      </c>
      <c r="D57" s="57"/>
      <c r="E57" s="57"/>
      <c r="F57" s="13" t="s">
        <v>3228</v>
      </c>
      <c r="G57" s="13" t="s">
        <v>3229</v>
      </c>
      <c r="H57" s="2"/>
      <c r="I57" s="2"/>
      <c r="J57" s="2"/>
      <c r="K57" s="2"/>
      <c r="L57" s="2"/>
      <c r="M57" s="2"/>
      <c r="N57" s="2"/>
      <c r="O57" s="2"/>
      <c r="P57" s="2"/>
      <c r="Q57" s="2"/>
      <c r="R57" s="2"/>
      <c r="S57" s="2"/>
      <c r="T57" s="2"/>
      <c r="U57" s="2"/>
      <c r="V57" s="2"/>
      <c r="W57" s="2"/>
      <c r="X57" s="2"/>
      <c r="Y57" s="2"/>
      <c r="Z57" s="2"/>
    </row>
    <row r="58" customHeight="1" spans="1:26">
      <c r="A58" s="13" t="s">
        <v>15</v>
      </c>
      <c r="B58" s="13" t="s">
        <v>3230</v>
      </c>
      <c r="C58" s="13" t="s">
        <v>12</v>
      </c>
      <c r="D58" s="57"/>
      <c r="E58" s="57"/>
      <c r="F58" s="13" t="s">
        <v>3231</v>
      </c>
      <c r="G58" s="13" t="s">
        <v>3232</v>
      </c>
      <c r="H58" s="2"/>
      <c r="I58" s="2"/>
      <c r="J58" s="2"/>
      <c r="K58" s="2"/>
      <c r="L58" s="2"/>
      <c r="M58" s="2"/>
      <c r="N58" s="2"/>
      <c r="O58" s="2"/>
      <c r="P58" s="2"/>
      <c r="Q58" s="2"/>
      <c r="R58" s="2"/>
      <c r="S58" s="2"/>
      <c r="T58" s="2"/>
      <c r="U58" s="2"/>
      <c r="V58" s="2"/>
      <c r="W58" s="2"/>
      <c r="X58" s="2"/>
      <c r="Y58" s="2"/>
      <c r="Z58" s="2"/>
    </row>
    <row r="59" customHeight="1" spans="1:26">
      <c r="A59" s="13" t="s">
        <v>102</v>
      </c>
      <c r="B59" s="13" t="s">
        <v>3233</v>
      </c>
      <c r="C59" s="13" t="s">
        <v>108</v>
      </c>
      <c r="D59" s="57"/>
      <c r="E59" s="57"/>
      <c r="F59" s="13" t="s">
        <v>3234</v>
      </c>
      <c r="G59" s="13" t="s">
        <v>3235</v>
      </c>
      <c r="H59" s="2"/>
      <c r="I59" s="2"/>
      <c r="J59" s="2"/>
      <c r="K59" s="2"/>
      <c r="L59" s="2"/>
      <c r="M59" s="2"/>
      <c r="N59" s="2"/>
      <c r="O59" s="2"/>
      <c r="P59" s="2"/>
      <c r="Q59" s="2"/>
      <c r="R59" s="2"/>
      <c r="S59" s="2"/>
      <c r="T59" s="2"/>
      <c r="U59" s="2"/>
      <c r="V59" s="2"/>
      <c r="W59" s="2"/>
      <c r="X59" s="2"/>
      <c r="Y59" s="2"/>
      <c r="Z59" s="2"/>
    </row>
    <row r="60" customHeight="1" spans="1:26">
      <c r="A60" s="13" t="s">
        <v>49</v>
      </c>
      <c r="B60" s="13" t="s">
        <v>3236</v>
      </c>
      <c r="C60" s="13" t="s">
        <v>2579</v>
      </c>
      <c r="D60" s="57"/>
      <c r="E60" s="57"/>
      <c r="F60" s="13" t="s">
        <v>3237</v>
      </c>
      <c r="G60" s="13" t="s">
        <v>3238</v>
      </c>
      <c r="H60" s="2"/>
      <c r="I60" s="2"/>
      <c r="J60" s="2"/>
      <c r="K60" s="2"/>
      <c r="L60" s="2"/>
      <c r="M60" s="2"/>
      <c r="N60" s="2"/>
      <c r="O60" s="2"/>
      <c r="P60" s="2"/>
      <c r="Q60" s="2"/>
      <c r="R60" s="2"/>
      <c r="S60" s="2"/>
      <c r="T60" s="2"/>
      <c r="U60" s="2"/>
      <c r="V60" s="2"/>
      <c r="W60" s="2"/>
      <c r="X60" s="2"/>
      <c r="Y60" s="2"/>
      <c r="Z60" s="2"/>
    </row>
    <row r="61" customHeight="1" spans="1:26">
      <c r="A61" s="13" t="s">
        <v>54</v>
      </c>
      <c r="B61" s="13" t="s">
        <v>3239</v>
      </c>
      <c r="C61" s="13" t="s">
        <v>2583</v>
      </c>
      <c r="D61" s="57"/>
      <c r="E61" s="57"/>
      <c r="F61" s="13" t="s">
        <v>3240</v>
      </c>
      <c r="G61" s="13" t="s">
        <v>3241</v>
      </c>
      <c r="H61" s="2"/>
      <c r="I61" s="2"/>
      <c r="J61" s="2"/>
      <c r="K61" s="2"/>
      <c r="L61" s="2"/>
      <c r="M61" s="2"/>
      <c r="N61" s="2"/>
      <c r="O61" s="2"/>
      <c r="P61" s="2"/>
      <c r="Q61" s="2"/>
      <c r="R61" s="2"/>
      <c r="S61" s="2"/>
      <c r="T61" s="2"/>
      <c r="U61" s="2"/>
      <c r="V61" s="2"/>
      <c r="W61" s="2"/>
      <c r="X61" s="2"/>
      <c r="Y61" s="2"/>
      <c r="Z61" s="2"/>
    </row>
    <row r="62" customHeight="1" spans="1:26">
      <c r="A62" s="13" t="s">
        <v>44</v>
      </c>
      <c r="B62" s="13" t="s">
        <v>3242</v>
      </c>
      <c r="C62" s="13" t="s">
        <v>664</v>
      </c>
      <c r="D62" s="57"/>
      <c r="E62" s="57"/>
      <c r="F62" s="68" t="str">
        <f>HYPERLINK("http://www.egypt-car.com/assets/images/new-logo.png","http://www.egypt-car.com/assets/images/new-logo.png")</f>
        <v>http://www.egypt-car.com/assets/images/new-logo.png</v>
      </c>
      <c r="G62" s="13" t="s">
        <v>3243</v>
      </c>
      <c r="H62" s="2"/>
      <c r="I62" s="2"/>
      <c r="J62" s="2"/>
      <c r="K62" s="2"/>
      <c r="L62" s="2"/>
      <c r="M62" s="2"/>
      <c r="N62" s="2"/>
      <c r="O62" s="2"/>
      <c r="P62" s="2"/>
      <c r="Q62" s="2"/>
      <c r="R62" s="2"/>
      <c r="S62" s="2"/>
      <c r="T62" s="2"/>
      <c r="U62" s="2"/>
      <c r="V62" s="2"/>
      <c r="W62" s="2"/>
      <c r="X62" s="2"/>
      <c r="Y62" s="2"/>
      <c r="Z62" s="2"/>
    </row>
    <row r="63" customHeight="1" spans="1:26">
      <c r="A63" s="13" t="s">
        <v>89</v>
      </c>
      <c r="B63" s="13" t="s">
        <v>3244</v>
      </c>
      <c r="C63" s="13" t="s">
        <v>2590</v>
      </c>
      <c r="D63" s="57"/>
      <c r="E63" s="57"/>
      <c r="F63" s="13" t="s">
        <v>3245</v>
      </c>
      <c r="G63" s="13" t="s">
        <v>3246</v>
      </c>
      <c r="H63" s="2"/>
      <c r="I63" s="2"/>
      <c r="J63" s="2"/>
      <c r="K63" s="2"/>
      <c r="L63" s="2"/>
      <c r="M63" s="2"/>
      <c r="N63" s="2"/>
      <c r="O63" s="2"/>
      <c r="P63" s="2"/>
      <c r="Q63" s="2"/>
      <c r="R63" s="2"/>
      <c r="S63" s="2"/>
      <c r="T63" s="2"/>
      <c r="U63" s="2"/>
      <c r="V63" s="2"/>
      <c r="W63" s="2"/>
      <c r="X63" s="2"/>
      <c r="Y63" s="2"/>
      <c r="Z63" s="2"/>
    </row>
    <row r="64" customHeight="1" spans="1:26">
      <c r="A64" s="13" t="s">
        <v>193</v>
      </c>
      <c r="B64" s="13" t="s">
        <v>3247</v>
      </c>
      <c r="C64" s="13" t="s">
        <v>2594</v>
      </c>
      <c r="D64" s="57"/>
      <c r="E64" s="57"/>
      <c r="F64" s="13" t="s">
        <v>3248</v>
      </c>
      <c r="G64" s="13" t="s">
        <v>3249</v>
      </c>
      <c r="H64" s="2"/>
      <c r="I64" s="2"/>
      <c r="J64" s="2"/>
      <c r="K64" s="2"/>
      <c r="L64" s="2"/>
      <c r="M64" s="2"/>
      <c r="N64" s="2"/>
      <c r="O64" s="2"/>
      <c r="P64" s="2"/>
      <c r="Q64" s="2"/>
      <c r="R64" s="2"/>
      <c r="S64" s="2"/>
      <c r="T64" s="2"/>
      <c r="U64" s="2"/>
      <c r="V64" s="2"/>
      <c r="W64" s="2"/>
      <c r="X64" s="2"/>
      <c r="Y64" s="2"/>
      <c r="Z64" s="2"/>
    </row>
    <row r="65" customHeight="1" spans="1:26">
      <c r="A65" s="13" t="s">
        <v>498</v>
      </c>
      <c r="B65" s="13" t="s">
        <v>3250</v>
      </c>
      <c r="C65" s="13" t="s">
        <v>500</v>
      </c>
      <c r="D65" s="57"/>
      <c r="E65" s="57"/>
      <c r="F65" s="13" t="s">
        <v>3251</v>
      </c>
      <c r="G65" s="13" t="s">
        <v>3251</v>
      </c>
      <c r="H65" s="2"/>
      <c r="I65" s="2"/>
      <c r="J65" s="2"/>
      <c r="K65" s="2"/>
      <c r="L65" s="2"/>
      <c r="M65" s="2"/>
      <c r="N65" s="2"/>
      <c r="O65" s="2"/>
      <c r="P65" s="2"/>
      <c r="Q65" s="2"/>
      <c r="R65" s="2"/>
      <c r="S65" s="2"/>
      <c r="T65" s="2"/>
      <c r="U65" s="2"/>
      <c r="V65" s="2"/>
      <c r="W65" s="2"/>
      <c r="X65" s="2"/>
      <c r="Y65" s="2"/>
      <c r="Z65" s="2"/>
    </row>
    <row r="66" customHeight="1" spans="1:26">
      <c r="A66" s="13" t="s">
        <v>217</v>
      </c>
      <c r="B66" s="13" t="s">
        <v>3252</v>
      </c>
      <c r="C66" s="13" t="s">
        <v>2601</v>
      </c>
      <c r="D66" s="57"/>
      <c r="E66" s="57"/>
      <c r="F66" s="13" t="s">
        <v>3253</v>
      </c>
      <c r="G66" s="13" t="s">
        <v>3254</v>
      </c>
      <c r="H66" s="2"/>
      <c r="I66" s="2"/>
      <c r="J66" s="2"/>
      <c r="K66" s="2"/>
      <c r="L66" s="2"/>
      <c r="M66" s="2"/>
      <c r="N66" s="2"/>
      <c r="O66" s="2"/>
      <c r="P66" s="2"/>
      <c r="Q66" s="2"/>
      <c r="R66" s="2"/>
      <c r="S66" s="2"/>
      <c r="T66" s="2"/>
      <c r="U66" s="2"/>
      <c r="V66" s="2"/>
      <c r="W66" s="2"/>
      <c r="X66" s="2"/>
      <c r="Y66" s="2"/>
      <c r="Z66" s="2"/>
    </row>
    <row r="67" customHeight="1" spans="1:26">
      <c r="A67" s="13" t="s">
        <v>493</v>
      </c>
      <c r="B67" s="13" t="s">
        <v>3255</v>
      </c>
      <c r="C67" s="13" t="s">
        <v>2605</v>
      </c>
      <c r="D67" s="57"/>
      <c r="E67" s="57"/>
      <c r="F67" s="13" t="s">
        <v>3256</v>
      </c>
      <c r="G67" s="13" t="s">
        <v>3257</v>
      </c>
      <c r="H67" s="2"/>
      <c r="I67" s="2"/>
      <c r="J67" s="2"/>
      <c r="K67" s="2"/>
      <c r="L67" s="2"/>
      <c r="M67" s="2"/>
      <c r="N67" s="2"/>
      <c r="O67" s="2"/>
      <c r="P67" s="2"/>
      <c r="Q67" s="2"/>
      <c r="R67" s="2"/>
      <c r="S67" s="2"/>
      <c r="T67" s="2"/>
      <c r="U67" s="2"/>
      <c r="V67" s="2"/>
      <c r="W67" s="2"/>
      <c r="X67" s="2"/>
      <c r="Y67" s="2"/>
      <c r="Z67" s="2"/>
    </row>
    <row r="68" customHeight="1" spans="1:26">
      <c r="A68" s="13" t="s">
        <v>74</v>
      </c>
      <c r="B68" s="13" t="s">
        <v>3258</v>
      </c>
      <c r="C68" s="13" t="s">
        <v>2609</v>
      </c>
      <c r="D68" s="57"/>
      <c r="E68" s="57"/>
      <c r="F68" s="13" t="s">
        <v>3259</v>
      </c>
      <c r="G68" s="13" t="s">
        <v>3260</v>
      </c>
      <c r="H68" s="2"/>
      <c r="I68" s="2"/>
      <c r="J68" s="2"/>
      <c r="K68" s="2"/>
      <c r="L68" s="2"/>
      <c r="M68" s="2"/>
      <c r="N68" s="2"/>
      <c r="O68" s="2"/>
      <c r="P68" s="2"/>
      <c r="Q68" s="2"/>
      <c r="R68" s="2"/>
      <c r="S68" s="2"/>
      <c r="T68" s="2"/>
      <c r="U68" s="2"/>
      <c r="V68" s="2"/>
      <c r="W68" s="2"/>
      <c r="X68" s="2"/>
      <c r="Y68" s="2"/>
      <c r="Z68" s="2"/>
    </row>
    <row r="69" customHeight="1" spans="1:26">
      <c r="A69" s="13" t="s">
        <v>149</v>
      </c>
      <c r="B69" s="13" t="s">
        <v>3261</v>
      </c>
      <c r="C69" s="13" t="s">
        <v>151</v>
      </c>
      <c r="D69" s="57"/>
      <c r="E69" s="57"/>
      <c r="F69" s="13" t="s">
        <v>3262</v>
      </c>
      <c r="G69" s="13" t="s">
        <v>3263</v>
      </c>
      <c r="H69" s="2"/>
      <c r="I69" s="2"/>
      <c r="J69" s="2"/>
      <c r="K69" s="2"/>
      <c r="L69" s="2"/>
      <c r="M69" s="2"/>
      <c r="N69" s="2"/>
      <c r="O69" s="2"/>
      <c r="P69" s="2"/>
      <c r="Q69" s="2"/>
      <c r="R69" s="2"/>
      <c r="S69" s="2"/>
      <c r="T69" s="2"/>
      <c r="U69" s="2"/>
      <c r="V69" s="2"/>
      <c r="W69" s="2"/>
      <c r="X69" s="2"/>
      <c r="Y69" s="2"/>
      <c r="Z69" s="2"/>
    </row>
    <row r="70" customHeight="1" spans="1:26">
      <c r="A70" s="13" t="s">
        <v>144</v>
      </c>
      <c r="B70" s="13" t="s">
        <v>3264</v>
      </c>
      <c r="C70" s="13" t="s">
        <v>2616</v>
      </c>
      <c r="D70" s="57"/>
      <c r="E70" s="57"/>
      <c r="F70" s="13" t="s">
        <v>3265</v>
      </c>
      <c r="G70" s="13" t="s">
        <v>3266</v>
      </c>
      <c r="H70" s="2"/>
      <c r="I70" s="2"/>
      <c r="J70" s="2"/>
      <c r="K70" s="2"/>
      <c r="L70" s="2"/>
      <c r="M70" s="2"/>
      <c r="N70" s="2"/>
      <c r="O70" s="2"/>
      <c r="P70" s="2"/>
      <c r="Q70" s="2"/>
      <c r="R70" s="2"/>
      <c r="S70" s="2"/>
      <c r="T70" s="2"/>
      <c r="U70" s="2"/>
      <c r="V70" s="2"/>
      <c r="W70" s="2"/>
      <c r="X70" s="2"/>
      <c r="Y70" s="2"/>
      <c r="Z70" s="2"/>
    </row>
    <row r="71" customHeight="1" spans="1:26">
      <c r="A71" s="13" t="s">
        <v>164</v>
      </c>
      <c r="B71" s="13" t="s">
        <v>3267</v>
      </c>
      <c r="C71" s="13" t="s">
        <v>2620</v>
      </c>
      <c r="D71" s="57"/>
      <c r="E71" s="57"/>
      <c r="F71" s="13" t="s">
        <v>3268</v>
      </c>
      <c r="G71" s="13" t="s">
        <v>3269</v>
      </c>
      <c r="H71" s="2"/>
      <c r="I71" s="2"/>
      <c r="J71" s="2"/>
      <c r="K71" s="2"/>
      <c r="L71" s="2"/>
      <c r="M71" s="2"/>
      <c r="N71" s="2"/>
      <c r="O71" s="2"/>
      <c r="P71" s="2"/>
      <c r="Q71" s="2"/>
      <c r="R71" s="2"/>
      <c r="S71" s="2"/>
      <c r="T71" s="2"/>
      <c r="U71" s="2"/>
      <c r="V71" s="2"/>
      <c r="W71" s="2"/>
      <c r="X71" s="2"/>
      <c r="Y71" s="2"/>
      <c r="Z71" s="2"/>
    </row>
    <row r="72" customHeight="1" spans="1:26">
      <c r="A72" s="13" t="s">
        <v>159</v>
      </c>
      <c r="B72" s="13" t="s">
        <v>3270</v>
      </c>
      <c r="C72" s="13" t="s">
        <v>2623</v>
      </c>
      <c r="D72" s="57"/>
      <c r="E72" s="57"/>
      <c r="F72" s="13" t="s">
        <v>3271</v>
      </c>
      <c r="G72" s="13" t="s">
        <v>3272</v>
      </c>
      <c r="H72" s="2"/>
      <c r="I72" s="2"/>
      <c r="J72" s="2"/>
      <c r="K72" s="2"/>
      <c r="L72" s="2"/>
      <c r="M72" s="2"/>
      <c r="N72" s="2"/>
      <c r="O72" s="2"/>
      <c r="P72" s="2"/>
      <c r="Q72" s="2"/>
      <c r="R72" s="2"/>
      <c r="S72" s="2"/>
      <c r="T72" s="2"/>
      <c r="U72" s="2"/>
      <c r="V72" s="2"/>
      <c r="W72" s="2"/>
      <c r="X72" s="2"/>
      <c r="Y72" s="2"/>
      <c r="Z72" s="2"/>
    </row>
    <row r="73" customHeight="1" spans="1:26">
      <c r="A73" s="13" t="s">
        <v>110</v>
      </c>
      <c r="B73" s="57"/>
      <c r="C73" s="13" t="s">
        <v>112</v>
      </c>
      <c r="D73" s="57"/>
      <c r="E73" s="57"/>
      <c r="F73" s="13" t="s">
        <v>3273</v>
      </c>
      <c r="G73" s="13" t="s">
        <v>3274</v>
      </c>
      <c r="H73" s="2"/>
      <c r="I73" s="2"/>
      <c r="J73" s="2"/>
      <c r="K73" s="2"/>
      <c r="L73" s="2"/>
      <c r="M73" s="2"/>
      <c r="N73" s="2"/>
      <c r="O73" s="2"/>
      <c r="P73" s="2"/>
      <c r="Q73" s="2"/>
      <c r="R73" s="2"/>
      <c r="S73" s="2"/>
      <c r="T73" s="2"/>
      <c r="U73" s="2"/>
      <c r="V73" s="2"/>
      <c r="W73" s="2"/>
      <c r="X73" s="2"/>
      <c r="Y73" s="2"/>
      <c r="Z73" s="2"/>
    </row>
    <row r="74" customHeight="1" spans="1:26">
      <c r="A74" s="13" t="s">
        <v>302</v>
      </c>
      <c r="B74" s="13" t="s">
        <v>3275</v>
      </c>
      <c r="C74" s="13" t="s">
        <v>2630</v>
      </c>
      <c r="D74" s="57"/>
      <c r="E74" s="57"/>
      <c r="F74" s="13" t="s">
        <v>3276</v>
      </c>
      <c r="G74" s="13" t="s">
        <v>3277</v>
      </c>
      <c r="H74" s="2"/>
      <c r="I74" s="2"/>
      <c r="J74" s="2"/>
      <c r="K74" s="2"/>
      <c r="L74" s="2"/>
      <c r="M74" s="2"/>
      <c r="N74" s="2"/>
      <c r="O74" s="2"/>
      <c r="P74" s="2"/>
      <c r="Q74" s="2"/>
      <c r="R74" s="2"/>
      <c r="S74" s="2"/>
      <c r="T74" s="2"/>
      <c r="U74" s="2"/>
      <c r="V74" s="2"/>
      <c r="W74" s="2"/>
      <c r="X74" s="2"/>
      <c r="Y74" s="2"/>
      <c r="Z74" s="2"/>
    </row>
    <row r="75" customHeight="1" spans="1:26">
      <c r="A75" s="13" t="s">
        <v>2634</v>
      </c>
      <c r="B75" s="13" t="s">
        <v>3278</v>
      </c>
      <c r="C75" s="13" t="s">
        <v>2634</v>
      </c>
      <c r="D75" s="57"/>
      <c r="E75" s="57"/>
      <c r="F75" s="13" t="s">
        <v>3279</v>
      </c>
      <c r="G75" s="13" t="s">
        <v>3280</v>
      </c>
      <c r="H75" s="2"/>
      <c r="I75" s="2"/>
      <c r="J75" s="2"/>
      <c r="K75" s="2"/>
      <c r="L75" s="2"/>
      <c r="M75" s="2"/>
      <c r="N75" s="2"/>
      <c r="O75" s="2"/>
      <c r="P75" s="2"/>
      <c r="Q75" s="2"/>
      <c r="R75" s="2"/>
      <c r="S75" s="2"/>
      <c r="T75" s="2"/>
      <c r="U75" s="2"/>
      <c r="V75" s="2"/>
      <c r="W75" s="2"/>
      <c r="X75" s="2"/>
      <c r="Y75" s="2"/>
      <c r="Z75" s="2"/>
    </row>
    <row r="76" ht="13.5" customHeight="1"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ht="14.8"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ht="14.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ht="14.8"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ht="14.8"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ht="14.8"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ht="14.8"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ht="14.8"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ht="14.8"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ht="14.8"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ht="14.8"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ht="14.8"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ht="14.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ht="14.8"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ht="14.8"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ht="14.8"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ht="14.8"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ht="14.8"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ht="14.8"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ht="14.8"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ht="14.8"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ht="14.8"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ht="14.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ht="14.8"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ht="14.8"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8"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8"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8"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8"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8"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8"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8"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8"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8"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8"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8"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8"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8"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8"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8"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8"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8"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8"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8"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8"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8"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8"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8"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8"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8"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8"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8"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 width="18.1607142857143" customWidth="1"/>
    <col min="2" max="17" width="8.1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2070</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1643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63" t="s">
        <v>2366</v>
      </c>
      <c r="B4" s="63" t="s">
        <v>3281</v>
      </c>
      <c r="C4" s="63" t="s">
        <v>680</v>
      </c>
      <c r="D4" s="98"/>
      <c r="E4" s="98"/>
      <c r="F4" s="63" t="s">
        <v>3282</v>
      </c>
      <c r="G4" s="63" t="s">
        <v>3283</v>
      </c>
      <c r="H4" s="2"/>
      <c r="I4" s="2"/>
      <c r="J4" s="2"/>
      <c r="K4" s="2"/>
      <c r="L4" s="2"/>
      <c r="M4" s="2"/>
      <c r="N4" s="2"/>
      <c r="O4" s="2"/>
      <c r="P4" s="2"/>
      <c r="Q4" s="2"/>
      <c r="R4" s="2"/>
      <c r="S4" s="2"/>
      <c r="T4" s="2"/>
      <c r="U4" s="2"/>
      <c r="V4" s="2"/>
      <c r="W4" s="2"/>
      <c r="X4" s="2"/>
      <c r="Y4" s="2"/>
      <c r="Z4" s="2"/>
    </row>
    <row r="5" customHeight="1" spans="1:26">
      <c r="A5" s="13" t="s">
        <v>2370</v>
      </c>
      <c r="B5" s="13" t="s">
        <v>3284</v>
      </c>
      <c r="C5" s="13" t="s">
        <v>373</v>
      </c>
      <c r="D5" s="57"/>
      <c r="E5" s="57"/>
      <c r="F5" s="13" t="s">
        <v>3285</v>
      </c>
      <c r="G5" s="13" t="s">
        <v>3286</v>
      </c>
      <c r="H5" s="2"/>
      <c r="I5" s="2"/>
      <c r="J5" s="2"/>
      <c r="K5" s="2"/>
      <c r="L5" s="2"/>
      <c r="M5" s="2"/>
      <c r="N5" s="2"/>
      <c r="O5" s="2"/>
      <c r="P5" s="2"/>
      <c r="Q5" s="2"/>
      <c r="R5" s="2"/>
      <c r="S5" s="2"/>
      <c r="T5" s="2"/>
      <c r="U5" s="2"/>
      <c r="V5" s="2"/>
      <c r="W5" s="2"/>
      <c r="X5" s="2"/>
      <c r="Y5" s="2"/>
      <c r="Z5" s="2"/>
    </row>
    <row r="6" customHeight="1" spans="1:26">
      <c r="A6" s="13" t="s">
        <v>2373</v>
      </c>
      <c r="B6" s="13" t="s">
        <v>3287</v>
      </c>
      <c r="C6" s="13" t="s">
        <v>373</v>
      </c>
      <c r="D6" s="57"/>
      <c r="E6" s="57"/>
      <c r="F6" s="13" t="s">
        <v>3288</v>
      </c>
      <c r="G6" s="13" t="s">
        <v>3289</v>
      </c>
      <c r="H6" s="2"/>
      <c r="I6" s="2"/>
      <c r="J6" s="2"/>
      <c r="K6" s="2"/>
      <c r="L6" s="2"/>
      <c r="M6" s="2"/>
      <c r="N6" s="2"/>
      <c r="O6" s="2"/>
      <c r="P6" s="2"/>
      <c r="Q6" s="2"/>
      <c r="R6" s="2"/>
      <c r="S6" s="2"/>
      <c r="T6" s="2"/>
      <c r="U6" s="2"/>
      <c r="V6" s="2"/>
      <c r="W6" s="2"/>
      <c r="X6" s="2"/>
      <c r="Y6" s="2"/>
      <c r="Z6" s="2"/>
    </row>
    <row r="7" customHeight="1" spans="1:26">
      <c r="A7" s="13" t="s">
        <v>371</v>
      </c>
      <c r="B7" s="13" t="s">
        <v>3290</v>
      </c>
      <c r="C7" s="13" t="s">
        <v>373</v>
      </c>
      <c r="D7" s="57"/>
      <c r="E7" s="57"/>
      <c r="F7" s="13" t="s">
        <v>3291</v>
      </c>
      <c r="G7" s="13" t="s">
        <v>3292</v>
      </c>
      <c r="H7" s="2"/>
      <c r="I7" s="2"/>
      <c r="J7" s="2"/>
      <c r="K7" s="2"/>
      <c r="L7" s="2"/>
      <c r="M7" s="2"/>
      <c r="N7" s="2"/>
      <c r="O7" s="2"/>
      <c r="P7" s="2"/>
      <c r="Q7" s="2"/>
      <c r="R7" s="2"/>
      <c r="S7" s="2"/>
      <c r="T7" s="2"/>
      <c r="U7" s="2"/>
      <c r="V7" s="2"/>
      <c r="W7" s="2"/>
      <c r="X7" s="2"/>
      <c r="Y7" s="2"/>
      <c r="Z7" s="2"/>
    </row>
    <row r="8" customHeight="1" spans="1:26">
      <c r="A8" s="13" t="s">
        <v>2378</v>
      </c>
      <c r="B8" s="13" t="s">
        <v>3293</v>
      </c>
      <c r="C8" s="13" t="s">
        <v>356</v>
      </c>
      <c r="D8" s="57"/>
      <c r="E8" s="57"/>
      <c r="F8" s="13" t="s">
        <v>3294</v>
      </c>
      <c r="G8" s="13" t="s">
        <v>3295</v>
      </c>
      <c r="H8" s="2"/>
      <c r="I8" s="2"/>
      <c r="J8" s="2"/>
      <c r="K8" s="2"/>
      <c r="L8" s="2"/>
      <c r="M8" s="2"/>
      <c r="N8" s="2"/>
      <c r="O8" s="2"/>
      <c r="P8" s="2"/>
      <c r="Q8" s="2"/>
      <c r="R8" s="2"/>
      <c r="S8" s="2"/>
      <c r="T8" s="2"/>
      <c r="U8" s="2"/>
      <c r="V8" s="2"/>
      <c r="W8" s="2"/>
      <c r="X8" s="2"/>
      <c r="Y8" s="2"/>
      <c r="Z8" s="2"/>
    </row>
    <row r="9" customHeight="1" spans="1:26">
      <c r="A9" s="13" t="s">
        <v>2382</v>
      </c>
      <c r="B9" s="13" t="s">
        <v>3296</v>
      </c>
      <c r="C9" s="13" t="s">
        <v>2383</v>
      </c>
      <c r="D9" s="57"/>
      <c r="E9" s="57"/>
      <c r="F9" s="13" t="s">
        <v>3297</v>
      </c>
      <c r="G9" s="13" t="s">
        <v>3298</v>
      </c>
      <c r="H9" s="2"/>
      <c r="I9" s="2"/>
      <c r="J9" s="2"/>
      <c r="K9" s="2"/>
      <c r="L9" s="2"/>
      <c r="M9" s="2"/>
      <c r="N9" s="2"/>
      <c r="O9" s="2"/>
      <c r="P9" s="2"/>
      <c r="Q9" s="2"/>
      <c r="R9" s="2"/>
      <c r="S9" s="2"/>
      <c r="T9" s="2"/>
      <c r="U9" s="2"/>
      <c r="V9" s="2"/>
      <c r="W9" s="2"/>
      <c r="X9" s="2"/>
      <c r="Y9" s="2"/>
      <c r="Z9" s="2"/>
    </row>
    <row r="10" customHeight="1" spans="1:26">
      <c r="A10" s="13" t="s">
        <v>2386</v>
      </c>
      <c r="B10" s="13" t="s">
        <v>3299</v>
      </c>
      <c r="C10" s="13" t="s">
        <v>319</v>
      </c>
      <c r="D10" s="57"/>
      <c r="E10" s="57"/>
      <c r="F10" s="13" t="s">
        <v>3300</v>
      </c>
      <c r="G10" s="13" t="s">
        <v>3301</v>
      </c>
      <c r="H10" s="2"/>
      <c r="I10" s="2"/>
      <c r="J10" s="2"/>
      <c r="K10" s="2"/>
      <c r="L10" s="2"/>
      <c r="M10" s="2"/>
      <c r="N10" s="2"/>
      <c r="O10" s="2"/>
      <c r="P10" s="2"/>
      <c r="Q10" s="2"/>
      <c r="R10" s="2"/>
      <c r="S10" s="2"/>
      <c r="T10" s="2"/>
      <c r="U10" s="2"/>
      <c r="V10" s="2"/>
      <c r="W10" s="2"/>
      <c r="X10" s="2"/>
      <c r="Y10" s="2"/>
      <c r="Z10" s="2"/>
    </row>
    <row r="11" customHeight="1" spans="1:26">
      <c r="A11" s="13" t="s">
        <v>2389</v>
      </c>
      <c r="B11" s="13" t="s">
        <v>3302</v>
      </c>
      <c r="C11" s="13" t="s">
        <v>450</v>
      </c>
      <c r="D11" s="57"/>
      <c r="E11" s="57"/>
      <c r="F11" s="13" t="s">
        <v>3303</v>
      </c>
      <c r="G11" s="13" t="s">
        <v>3304</v>
      </c>
      <c r="H11" s="2"/>
      <c r="I11" s="2"/>
      <c r="J11" s="2"/>
      <c r="K11" s="2"/>
      <c r="L11" s="2"/>
      <c r="M11" s="2"/>
      <c r="N11" s="2"/>
      <c r="O11" s="2"/>
      <c r="P11" s="2"/>
      <c r="Q11" s="2"/>
      <c r="R11" s="2"/>
      <c r="S11" s="2"/>
      <c r="T11" s="2"/>
      <c r="U11" s="2"/>
      <c r="V11" s="2"/>
      <c r="W11" s="2"/>
      <c r="X11" s="2"/>
      <c r="Y11" s="2"/>
      <c r="Z11" s="2"/>
    </row>
    <row r="12" customHeight="1" spans="1:26">
      <c r="A12" s="13" t="s">
        <v>2393</v>
      </c>
      <c r="B12" s="13" t="s">
        <v>3305</v>
      </c>
      <c r="C12" s="13" t="s">
        <v>2395</v>
      </c>
      <c r="D12" s="57"/>
      <c r="E12" s="57"/>
      <c r="F12" s="13" t="s">
        <v>3306</v>
      </c>
      <c r="G12" s="13" t="s">
        <v>3307</v>
      </c>
      <c r="H12" s="2"/>
      <c r="I12" s="2"/>
      <c r="J12" s="2"/>
      <c r="K12" s="2"/>
      <c r="L12" s="2"/>
      <c r="M12" s="2"/>
      <c r="N12" s="2"/>
      <c r="O12" s="2"/>
      <c r="P12" s="2"/>
      <c r="Q12" s="2"/>
      <c r="R12" s="2"/>
      <c r="S12" s="2"/>
      <c r="T12" s="2"/>
      <c r="U12" s="2"/>
      <c r="V12" s="2"/>
      <c r="W12" s="2"/>
      <c r="X12" s="2"/>
      <c r="Y12" s="2"/>
      <c r="Z12" s="2"/>
    </row>
    <row r="13" customHeight="1" spans="1:26">
      <c r="A13" s="13" t="s">
        <v>2398</v>
      </c>
      <c r="B13" s="13" t="s">
        <v>3308</v>
      </c>
      <c r="C13" s="13" t="s">
        <v>2400</v>
      </c>
      <c r="D13" s="57"/>
      <c r="E13" s="57"/>
      <c r="F13" s="13" t="s">
        <v>3309</v>
      </c>
      <c r="G13" s="13" t="s">
        <v>3310</v>
      </c>
      <c r="H13" s="2"/>
      <c r="I13" s="2"/>
      <c r="J13" s="2"/>
      <c r="K13" s="2"/>
      <c r="L13" s="2"/>
      <c r="M13" s="2"/>
      <c r="N13" s="2"/>
      <c r="O13" s="2"/>
      <c r="P13" s="2"/>
      <c r="Q13" s="2"/>
      <c r="R13" s="2"/>
      <c r="S13" s="2"/>
      <c r="T13" s="2"/>
      <c r="U13" s="2"/>
      <c r="V13" s="2"/>
      <c r="W13" s="2"/>
      <c r="X13" s="2"/>
      <c r="Y13" s="2"/>
      <c r="Z13" s="2"/>
    </row>
    <row r="14" customHeight="1" spans="1:26">
      <c r="A14" s="13" t="s">
        <v>2403</v>
      </c>
      <c r="B14" s="13" t="s">
        <v>3311</v>
      </c>
      <c r="C14" s="13" t="s">
        <v>2405</v>
      </c>
      <c r="D14" s="57"/>
      <c r="E14" s="57"/>
      <c r="F14" s="13" t="s">
        <v>3312</v>
      </c>
      <c r="G14" s="13" t="s">
        <v>3313</v>
      </c>
      <c r="H14" s="2"/>
      <c r="I14" s="2"/>
      <c r="J14" s="2"/>
      <c r="K14" s="2"/>
      <c r="L14" s="2"/>
      <c r="M14" s="2"/>
      <c r="N14" s="2"/>
      <c r="O14" s="2"/>
      <c r="P14" s="2"/>
      <c r="Q14" s="2"/>
      <c r="R14" s="2"/>
      <c r="S14" s="2"/>
      <c r="T14" s="2"/>
      <c r="U14" s="2"/>
      <c r="V14" s="2"/>
      <c r="W14" s="2"/>
      <c r="X14" s="2"/>
      <c r="Y14" s="2"/>
      <c r="Z14" s="2"/>
    </row>
    <row r="15" customHeight="1" spans="1:26">
      <c r="A15" s="13" t="s">
        <v>2408</v>
      </c>
      <c r="B15" s="57"/>
      <c r="C15" s="13" t="s">
        <v>2405</v>
      </c>
      <c r="D15" s="57"/>
      <c r="E15" s="57"/>
      <c r="F15" s="13" t="s">
        <v>3314</v>
      </c>
      <c r="G15" s="13" t="s">
        <v>3315</v>
      </c>
      <c r="H15" s="2"/>
      <c r="I15" s="2"/>
      <c r="J15" s="2"/>
      <c r="K15" s="2"/>
      <c r="L15" s="2"/>
      <c r="M15" s="2"/>
      <c r="N15" s="2"/>
      <c r="O15" s="2"/>
      <c r="P15" s="2"/>
      <c r="Q15" s="2"/>
      <c r="R15" s="2"/>
      <c r="S15" s="2"/>
      <c r="T15" s="2"/>
      <c r="U15" s="2"/>
      <c r="V15" s="2"/>
      <c r="W15" s="2"/>
      <c r="X15" s="2"/>
      <c r="Y15" s="2"/>
      <c r="Z15" s="2"/>
    </row>
    <row r="16" customHeight="1" spans="1:26">
      <c r="A16" s="13" t="s">
        <v>2411</v>
      </c>
      <c r="B16" s="13" t="s">
        <v>3316</v>
      </c>
      <c r="C16" s="13" t="s">
        <v>2413</v>
      </c>
      <c r="D16" s="57"/>
      <c r="E16" s="57"/>
      <c r="F16" s="13" t="s">
        <v>3317</v>
      </c>
      <c r="G16" s="13" t="s">
        <v>3318</v>
      </c>
      <c r="H16" s="2"/>
      <c r="I16" s="2"/>
      <c r="J16" s="2"/>
      <c r="K16" s="2"/>
      <c r="L16" s="2"/>
      <c r="M16" s="2"/>
      <c r="N16" s="2"/>
      <c r="O16" s="2"/>
      <c r="P16" s="2"/>
      <c r="Q16" s="2"/>
      <c r="R16" s="2"/>
      <c r="S16" s="2"/>
      <c r="T16" s="2"/>
      <c r="U16" s="2"/>
      <c r="V16" s="2"/>
      <c r="W16" s="2"/>
      <c r="X16" s="2"/>
      <c r="Y16" s="2"/>
      <c r="Z16" s="2"/>
    </row>
    <row r="17" customHeight="1" spans="1:26">
      <c r="A17" s="13" t="s">
        <v>2416</v>
      </c>
      <c r="B17" s="57"/>
      <c r="C17" s="13" t="s">
        <v>476</v>
      </c>
      <c r="D17" s="57"/>
      <c r="E17" s="57"/>
      <c r="F17" s="13" t="s">
        <v>3319</v>
      </c>
      <c r="G17" s="13" t="s">
        <v>3320</v>
      </c>
      <c r="H17" s="2"/>
      <c r="I17" s="2"/>
      <c r="J17" s="2"/>
      <c r="K17" s="2"/>
      <c r="L17" s="2"/>
      <c r="M17" s="2"/>
      <c r="N17" s="2"/>
      <c r="O17" s="2"/>
      <c r="P17" s="2"/>
      <c r="Q17" s="2"/>
      <c r="R17" s="2"/>
      <c r="S17" s="2"/>
      <c r="T17" s="2"/>
      <c r="U17" s="2"/>
      <c r="V17" s="2"/>
      <c r="W17" s="2"/>
      <c r="X17" s="2"/>
      <c r="Y17" s="2"/>
      <c r="Z17" s="2"/>
    </row>
    <row r="18" customHeight="1" spans="1:26">
      <c r="A18" s="13" t="s">
        <v>2420</v>
      </c>
      <c r="B18" s="57"/>
      <c r="C18" s="13" t="s">
        <v>476</v>
      </c>
      <c r="D18" s="57"/>
      <c r="E18" s="57"/>
      <c r="F18" s="13" t="s">
        <v>3321</v>
      </c>
      <c r="G18" s="13" t="s">
        <v>3322</v>
      </c>
      <c r="H18" s="2"/>
      <c r="I18" s="2"/>
      <c r="J18" s="2"/>
      <c r="K18" s="2"/>
      <c r="L18" s="2"/>
      <c r="M18" s="2"/>
      <c r="N18" s="2"/>
      <c r="O18" s="2"/>
      <c r="P18" s="2"/>
      <c r="Q18" s="2"/>
      <c r="R18" s="2"/>
      <c r="S18" s="2"/>
      <c r="T18" s="2"/>
      <c r="U18" s="2"/>
      <c r="V18" s="2"/>
      <c r="W18" s="2"/>
      <c r="X18" s="2"/>
      <c r="Y18" s="2"/>
      <c r="Z18" s="2"/>
    </row>
    <row r="19" customHeight="1" spans="1:26">
      <c r="A19" s="13" t="s">
        <v>2424</v>
      </c>
      <c r="B19" s="13" t="s">
        <v>3323</v>
      </c>
      <c r="C19" s="13" t="s">
        <v>428</v>
      </c>
      <c r="D19" s="57"/>
      <c r="E19" s="57"/>
      <c r="F19" s="13" t="s">
        <v>3324</v>
      </c>
      <c r="G19" s="13" t="s">
        <v>3325</v>
      </c>
      <c r="H19" s="2"/>
      <c r="I19" s="2"/>
      <c r="J19" s="2"/>
      <c r="K19" s="2"/>
      <c r="L19" s="2"/>
      <c r="M19" s="2"/>
      <c r="N19" s="2"/>
      <c r="O19" s="2"/>
      <c r="P19" s="2"/>
      <c r="Q19" s="2"/>
      <c r="R19" s="2"/>
      <c r="S19" s="2"/>
      <c r="T19" s="2"/>
      <c r="U19" s="2"/>
      <c r="V19" s="2"/>
      <c r="W19" s="2"/>
      <c r="X19" s="2"/>
      <c r="Y19" s="2"/>
      <c r="Z19" s="2"/>
    </row>
    <row r="20" customHeight="1" spans="1:26">
      <c r="A20" s="13" t="s">
        <v>2428</v>
      </c>
      <c r="B20" s="57"/>
      <c r="C20" s="13" t="s">
        <v>2430</v>
      </c>
      <c r="D20" s="57"/>
      <c r="E20" s="57"/>
      <c r="F20" s="13" t="s">
        <v>3326</v>
      </c>
      <c r="G20" s="13" t="s">
        <v>3327</v>
      </c>
      <c r="H20" s="2"/>
      <c r="I20" s="2"/>
      <c r="J20" s="2"/>
      <c r="K20" s="2"/>
      <c r="L20" s="2"/>
      <c r="M20" s="2"/>
      <c r="N20" s="2"/>
      <c r="O20" s="2"/>
      <c r="P20" s="2"/>
      <c r="Q20" s="2"/>
      <c r="R20" s="2"/>
      <c r="S20" s="2"/>
      <c r="T20" s="2"/>
      <c r="U20" s="2"/>
      <c r="V20" s="2"/>
      <c r="W20" s="2"/>
      <c r="X20" s="2"/>
      <c r="Y20" s="2"/>
      <c r="Z20" s="2"/>
    </row>
    <row r="21" customHeight="1" spans="1:26">
      <c r="A21" s="13" t="s">
        <v>2433</v>
      </c>
      <c r="B21" s="57"/>
      <c r="C21" s="13" t="s">
        <v>2435</v>
      </c>
      <c r="D21" s="57"/>
      <c r="E21" s="57"/>
      <c r="F21" s="13" t="s">
        <v>3328</v>
      </c>
      <c r="G21" s="13" t="s">
        <v>3329</v>
      </c>
      <c r="H21" s="2"/>
      <c r="I21" s="2"/>
      <c r="J21" s="2"/>
      <c r="K21" s="2"/>
      <c r="L21" s="2"/>
      <c r="M21" s="2"/>
      <c r="N21" s="2"/>
      <c r="O21" s="2"/>
      <c r="P21" s="2"/>
      <c r="Q21" s="2"/>
      <c r="R21" s="2"/>
      <c r="S21" s="2"/>
      <c r="T21" s="2"/>
      <c r="U21" s="2"/>
      <c r="V21" s="2"/>
      <c r="W21" s="2"/>
      <c r="X21" s="2"/>
      <c r="Y21" s="2"/>
      <c r="Z21" s="2"/>
    </row>
    <row r="22" customHeight="1" spans="1:26">
      <c r="A22" s="13" t="s">
        <v>2438</v>
      </c>
      <c r="B22" s="13" t="s">
        <v>3055</v>
      </c>
      <c r="C22" s="13" t="s">
        <v>393</v>
      </c>
      <c r="D22" s="57"/>
      <c r="E22" s="57"/>
      <c r="F22" s="13" t="s">
        <v>3056</v>
      </c>
      <c r="G22" s="13" t="s">
        <v>3057</v>
      </c>
      <c r="H22" s="2"/>
      <c r="I22" s="2"/>
      <c r="J22" s="2"/>
      <c r="K22" s="2"/>
      <c r="L22" s="2"/>
      <c r="M22" s="2"/>
      <c r="N22" s="2"/>
      <c r="O22" s="2"/>
      <c r="P22" s="2"/>
      <c r="Q22" s="2"/>
      <c r="R22" s="2"/>
      <c r="S22" s="2"/>
      <c r="T22" s="2"/>
      <c r="U22" s="2"/>
      <c r="V22" s="2"/>
      <c r="W22" s="2"/>
      <c r="X22" s="2"/>
      <c r="Y22" s="2"/>
      <c r="Z22" s="2"/>
    </row>
    <row r="23" customHeight="1" spans="1:26">
      <c r="A23" s="13" t="s">
        <v>2442</v>
      </c>
      <c r="B23" s="13" t="s">
        <v>3058</v>
      </c>
      <c r="C23" s="13" t="s">
        <v>393</v>
      </c>
      <c r="D23" s="57"/>
      <c r="E23" s="57"/>
      <c r="F23" s="13" t="s">
        <v>3059</v>
      </c>
      <c r="G23" s="13" t="s">
        <v>3060</v>
      </c>
      <c r="H23" s="2"/>
      <c r="I23" s="2"/>
      <c r="J23" s="2"/>
      <c r="K23" s="2"/>
      <c r="L23" s="2"/>
      <c r="M23" s="2"/>
      <c r="N23" s="2"/>
      <c r="O23" s="2"/>
      <c r="P23" s="2"/>
      <c r="Q23" s="2"/>
      <c r="R23" s="2"/>
      <c r="S23" s="2"/>
      <c r="T23" s="2"/>
      <c r="U23" s="2"/>
      <c r="V23" s="2"/>
      <c r="W23" s="2"/>
      <c r="X23" s="2"/>
      <c r="Y23" s="2"/>
      <c r="Z23" s="2"/>
    </row>
    <row r="24" customHeight="1" spans="1:26">
      <c r="A24" s="13" t="s">
        <v>2446</v>
      </c>
      <c r="B24" s="57"/>
      <c r="C24" s="13" t="s">
        <v>820</v>
      </c>
      <c r="D24" s="57"/>
      <c r="E24" s="57"/>
      <c r="F24" s="13" t="s">
        <v>3330</v>
      </c>
      <c r="G24" s="13" t="s">
        <v>3331</v>
      </c>
      <c r="H24" s="2"/>
      <c r="I24" s="2"/>
      <c r="J24" s="2"/>
      <c r="K24" s="2"/>
      <c r="L24" s="2"/>
      <c r="M24" s="2"/>
      <c r="N24" s="2"/>
      <c r="O24" s="2"/>
      <c r="P24" s="2"/>
      <c r="Q24" s="2"/>
      <c r="R24" s="2"/>
      <c r="S24" s="2"/>
      <c r="T24" s="2"/>
      <c r="U24" s="2"/>
      <c r="V24" s="2"/>
      <c r="W24" s="2"/>
      <c r="X24" s="2"/>
      <c r="Y24" s="2"/>
      <c r="Z24" s="2"/>
    </row>
    <row r="25" customHeight="1" spans="1:26">
      <c r="A25" s="13" t="s">
        <v>2450</v>
      </c>
      <c r="B25" s="13" t="s">
        <v>3332</v>
      </c>
      <c r="C25" s="13" t="s">
        <v>309</v>
      </c>
      <c r="D25" s="57"/>
      <c r="E25" s="57"/>
      <c r="F25" s="13" t="s">
        <v>3333</v>
      </c>
      <c r="G25" s="13" t="s">
        <v>3334</v>
      </c>
      <c r="H25" s="2"/>
      <c r="I25" s="2"/>
      <c r="J25" s="2"/>
      <c r="K25" s="2"/>
      <c r="L25" s="2"/>
      <c r="M25" s="2"/>
      <c r="N25" s="2"/>
      <c r="O25" s="2"/>
      <c r="P25" s="2"/>
      <c r="Q25" s="2"/>
      <c r="R25" s="2"/>
      <c r="S25" s="2"/>
      <c r="T25" s="2"/>
      <c r="U25" s="2"/>
      <c r="V25" s="2"/>
      <c r="W25" s="2"/>
      <c r="X25" s="2"/>
      <c r="Y25" s="2"/>
      <c r="Z25" s="2"/>
    </row>
    <row r="26" customHeight="1" spans="1:26">
      <c r="A26" s="13" t="s">
        <v>2452</v>
      </c>
      <c r="B26" s="13" t="s">
        <v>3335</v>
      </c>
      <c r="C26" s="13" t="s">
        <v>471</v>
      </c>
      <c r="D26" s="57"/>
      <c r="E26" s="57"/>
      <c r="F26" s="13" t="s">
        <v>3336</v>
      </c>
      <c r="G26" s="13" t="s">
        <v>3337</v>
      </c>
      <c r="H26" s="2"/>
      <c r="I26" s="2"/>
      <c r="J26" s="2"/>
      <c r="K26" s="2"/>
      <c r="L26" s="2"/>
      <c r="M26" s="2"/>
      <c r="N26" s="2"/>
      <c r="O26" s="2"/>
      <c r="P26" s="2"/>
      <c r="Q26" s="2"/>
      <c r="R26" s="2"/>
      <c r="S26" s="2"/>
      <c r="T26" s="2"/>
      <c r="U26" s="2"/>
      <c r="V26" s="2"/>
      <c r="W26" s="2"/>
      <c r="X26" s="2"/>
      <c r="Y26" s="2"/>
      <c r="Z26" s="2"/>
    </row>
    <row r="27" customHeight="1" spans="1:26">
      <c r="A27" s="13" t="s">
        <v>2456</v>
      </c>
      <c r="B27" s="13" t="s">
        <v>3338</v>
      </c>
      <c r="C27" s="13" t="s">
        <v>445</v>
      </c>
      <c r="D27" s="57"/>
      <c r="E27" s="57"/>
      <c r="F27" s="13" t="s">
        <v>3339</v>
      </c>
      <c r="G27" s="13" t="s">
        <v>3340</v>
      </c>
      <c r="H27" s="2"/>
      <c r="I27" s="2"/>
      <c r="J27" s="2"/>
      <c r="K27" s="2"/>
      <c r="L27" s="2"/>
      <c r="M27" s="2"/>
      <c r="N27" s="2"/>
      <c r="O27" s="2"/>
      <c r="P27" s="2"/>
      <c r="Q27" s="2"/>
      <c r="R27" s="2"/>
      <c r="S27" s="2"/>
      <c r="T27" s="2"/>
      <c r="U27" s="2"/>
      <c r="V27" s="2"/>
      <c r="W27" s="2"/>
      <c r="X27" s="2"/>
      <c r="Y27" s="2"/>
      <c r="Z27" s="2"/>
    </row>
    <row r="28" customHeight="1" spans="1:26">
      <c r="A28" s="13" t="s">
        <v>2460</v>
      </c>
      <c r="B28" s="13" t="s">
        <v>3341</v>
      </c>
      <c r="C28" s="13" t="s">
        <v>327</v>
      </c>
      <c r="D28" s="57"/>
      <c r="E28" s="57"/>
      <c r="F28" s="13" t="s">
        <v>3342</v>
      </c>
      <c r="G28" s="13" t="s">
        <v>3343</v>
      </c>
      <c r="H28" s="2"/>
      <c r="I28" s="2"/>
      <c r="J28" s="2"/>
      <c r="K28" s="2"/>
      <c r="L28" s="2"/>
      <c r="M28" s="2"/>
      <c r="N28" s="2"/>
      <c r="O28" s="2"/>
      <c r="P28" s="2"/>
      <c r="Q28" s="2"/>
      <c r="R28" s="2"/>
      <c r="S28" s="2"/>
      <c r="T28" s="2"/>
      <c r="U28" s="2"/>
      <c r="V28" s="2"/>
      <c r="W28" s="2"/>
      <c r="X28" s="2"/>
      <c r="Y28" s="2"/>
      <c r="Z28" s="2"/>
    </row>
    <row r="29" customHeight="1" spans="1:26">
      <c r="A29" s="13" t="s">
        <v>2464</v>
      </c>
      <c r="B29" s="13" t="s">
        <v>3344</v>
      </c>
      <c r="C29" s="13" t="s">
        <v>462</v>
      </c>
      <c r="D29" s="57"/>
      <c r="E29" s="57"/>
      <c r="F29" s="13" t="s">
        <v>3345</v>
      </c>
      <c r="G29" s="13" t="s">
        <v>3346</v>
      </c>
      <c r="H29" s="2"/>
      <c r="I29" s="2"/>
      <c r="J29" s="2"/>
      <c r="K29" s="2"/>
      <c r="L29" s="2"/>
      <c r="M29" s="2"/>
      <c r="N29" s="2"/>
      <c r="O29" s="2"/>
      <c r="P29" s="2"/>
      <c r="Q29" s="2"/>
      <c r="R29" s="2"/>
      <c r="S29" s="2"/>
      <c r="T29" s="2"/>
      <c r="U29" s="2"/>
      <c r="V29" s="2"/>
      <c r="W29" s="2"/>
      <c r="X29" s="2"/>
      <c r="Y29" s="2"/>
      <c r="Z29" s="2"/>
    </row>
    <row r="30" customHeight="1" spans="1:26">
      <c r="A30" s="13" t="s">
        <v>2467</v>
      </c>
      <c r="B30" s="13" t="s">
        <v>3148</v>
      </c>
      <c r="C30" s="13" t="s">
        <v>2469</v>
      </c>
      <c r="D30" s="57"/>
      <c r="E30" s="57"/>
      <c r="F30" s="13" t="s">
        <v>3149</v>
      </c>
      <c r="G30" s="13" t="s">
        <v>3150</v>
      </c>
      <c r="H30" s="2"/>
      <c r="I30" s="2"/>
      <c r="J30" s="2"/>
      <c r="K30" s="2"/>
      <c r="L30" s="2"/>
      <c r="M30" s="2"/>
      <c r="N30" s="2"/>
      <c r="O30" s="2"/>
      <c r="P30" s="2"/>
      <c r="Q30" s="2"/>
      <c r="R30" s="2"/>
      <c r="S30" s="2"/>
      <c r="T30" s="2"/>
      <c r="U30" s="2"/>
      <c r="V30" s="2"/>
      <c r="W30" s="2"/>
      <c r="X30" s="2"/>
      <c r="Y30" s="2"/>
      <c r="Z30" s="2"/>
    </row>
    <row r="31" customHeight="1" spans="1:26">
      <c r="A31" s="13" t="s">
        <v>2472</v>
      </c>
      <c r="B31" s="13" t="s">
        <v>3347</v>
      </c>
      <c r="C31" s="13" t="s">
        <v>413</v>
      </c>
      <c r="D31" s="57"/>
      <c r="E31" s="57"/>
      <c r="F31" s="13" t="s">
        <v>3348</v>
      </c>
      <c r="G31" s="13" t="s">
        <v>3349</v>
      </c>
      <c r="H31" s="2"/>
      <c r="I31" s="2"/>
      <c r="J31" s="2"/>
      <c r="K31" s="2"/>
      <c r="L31" s="2"/>
      <c r="M31" s="2"/>
      <c r="N31" s="2"/>
      <c r="O31" s="2"/>
      <c r="P31" s="2"/>
      <c r="Q31" s="2"/>
      <c r="R31" s="2"/>
      <c r="S31" s="2"/>
      <c r="T31" s="2"/>
      <c r="U31" s="2"/>
      <c r="V31" s="2"/>
      <c r="W31" s="2"/>
      <c r="X31" s="2"/>
      <c r="Y31" s="2"/>
      <c r="Z31" s="2"/>
    </row>
    <row r="32" customHeight="1" spans="1:26">
      <c r="A32" s="13" t="s">
        <v>2476</v>
      </c>
      <c r="B32" s="13" t="s">
        <v>3350</v>
      </c>
      <c r="C32" s="13" t="s">
        <v>2478</v>
      </c>
      <c r="D32" s="57"/>
      <c r="E32" s="57"/>
      <c r="F32" s="13" t="s">
        <v>3351</v>
      </c>
      <c r="G32" s="13" t="s">
        <v>3352</v>
      </c>
      <c r="H32" s="2"/>
      <c r="I32" s="2"/>
      <c r="J32" s="2"/>
      <c r="K32" s="2"/>
      <c r="L32" s="2"/>
      <c r="M32" s="2"/>
      <c r="N32" s="2"/>
      <c r="O32" s="2"/>
      <c r="P32" s="2"/>
      <c r="Q32" s="2"/>
      <c r="R32" s="2"/>
      <c r="S32" s="2"/>
      <c r="T32" s="2"/>
      <c r="U32" s="2"/>
      <c r="V32" s="2"/>
      <c r="W32" s="2"/>
      <c r="X32" s="2"/>
      <c r="Y32" s="2"/>
      <c r="Z32" s="2"/>
    </row>
    <row r="33" customHeight="1" spans="1:26">
      <c r="A33" s="13" t="s">
        <v>2481</v>
      </c>
      <c r="B33" s="13" t="s">
        <v>3353</v>
      </c>
      <c r="C33" s="13" t="s">
        <v>2483</v>
      </c>
      <c r="D33" s="57"/>
      <c r="E33" s="57"/>
      <c r="F33" s="13" t="s">
        <v>3354</v>
      </c>
      <c r="G33" s="13" t="s">
        <v>3355</v>
      </c>
      <c r="H33" s="2"/>
      <c r="I33" s="2"/>
      <c r="J33" s="2"/>
      <c r="K33" s="2"/>
      <c r="L33" s="2"/>
      <c r="M33" s="2"/>
      <c r="N33" s="2"/>
      <c r="O33" s="2"/>
      <c r="P33" s="2"/>
      <c r="Q33" s="2"/>
      <c r="R33" s="2"/>
      <c r="S33" s="2"/>
      <c r="T33" s="2"/>
      <c r="U33" s="2"/>
      <c r="V33" s="2"/>
      <c r="W33" s="2"/>
      <c r="X33" s="2"/>
      <c r="Y33" s="2"/>
      <c r="Z33" s="2"/>
    </row>
    <row r="34" customHeight="1" spans="1:26">
      <c r="A34" s="13" t="s">
        <v>222</v>
      </c>
      <c r="B34" s="13" t="s">
        <v>3356</v>
      </c>
      <c r="C34" s="13" t="s">
        <v>2487</v>
      </c>
      <c r="D34" s="57"/>
      <c r="E34" s="57"/>
      <c r="F34" s="13" t="s">
        <v>3357</v>
      </c>
      <c r="G34" s="13" t="s">
        <v>3358</v>
      </c>
      <c r="H34" s="2"/>
      <c r="I34" s="2"/>
      <c r="J34" s="2"/>
      <c r="K34" s="2"/>
      <c r="L34" s="2"/>
      <c r="M34" s="2"/>
      <c r="N34" s="2"/>
      <c r="O34" s="2"/>
      <c r="P34" s="2"/>
      <c r="Q34" s="2"/>
      <c r="R34" s="2"/>
      <c r="S34" s="2"/>
      <c r="T34" s="2"/>
      <c r="U34" s="2"/>
      <c r="V34" s="2"/>
      <c r="W34" s="2"/>
      <c r="X34" s="2"/>
      <c r="Y34" s="2"/>
      <c r="Z34" s="2"/>
    </row>
    <row r="35" customHeight="1" spans="1:26">
      <c r="A35" s="13" t="s">
        <v>227</v>
      </c>
      <c r="B35" s="13" t="s">
        <v>3359</v>
      </c>
      <c r="C35" s="13" t="s">
        <v>1000</v>
      </c>
      <c r="D35" s="57"/>
      <c r="E35" s="57"/>
      <c r="F35" s="13" t="s">
        <v>3360</v>
      </c>
      <c r="G35" s="13" t="s">
        <v>3361</v>
      </c>
      <c r="H35" s="2"/>
      <c r="I35" s="2"/>
      <c r="J35" s="2"/>
      <c r="K35" s="2"/>
      <c r="L35" s="2"/>
      <c r="M35" s="2"/>
      <c r="N35" s="2"/>
      <c r="O35" s="2"/>
      <c r="P35" s="2"/>
      <c r="Q35" s="2"/>
      <c r="R35" s="2"/>
      <c r="S35" s="2"/>
      <c r="T35" s="2"/>
      <c r="U35" s="2"/>
      <c r="V35" s="2"/>
      <c r="W35" s="2"/>
      <c r="X35" s="2"/>
      <c r="Y35" s="2"/>
      <c r="Z35" s="2"/>
    </row>
    <row r="36" customHeight="1" spans="1:26">
      <c r="A36" s="13" t="s">
        <v>231</v>
      </c>
      <c r="B36" s="13" t="s">
        <v>404</v>
      </c>
      <c r="C36" s="13" t="s">
        <v>2487</v>
      </c>
      <c r="D36" s="57"/>
      <c r="E36" s="57"/>
      <c r="F36" s="13" t="s">
        <v>3362</v>
      </c>
      <c r="G36" s="13" t="s">
        <v>3362</v>
      </c>
      <c r="H36" s="2"/>
      <c r="I36" s="2"/>
      <c r="J36" s="2"/>
      <c r="K36" s="2"/>
      <c r="L36" s="2"/>
      <c r="M36" s="2"/>
      <c r="N36" s="2"/>
      <c r="O36" s="2"/>
      <c r="P36" s="2"/>
      <c r="Q36" s="2"/>
      <c r="R36" s="2"/>
      <c r="S36" s="2"/>
      <c r="T36" s="2"/>
      <c r="U36" s="2"/>
      <c r="V36" s="2"/>
      <c r="W36" s="2"/>
      <c r="X36" s="2"/>
      <c r="Y36" s="2"/>
      <c r="Z36" s="2"/>
    </row>
    <row r="37" customHeight="1" spans="1:26">
      <c r="A37" s="13" t="s">
        <v>198</v>
      </c>
      <c r="B37" s="13" t="s">
        <v>3363</v>
      </c>
      <c r="C37" s="13" t="s">
        <v>2497</v>
      </c>
      <c r="D37" s="57"/>
      <c r="E37" s="57"/>
      <c r="F37" s="13" t="s">
        <v>3364</v>
      </c>
      <c r="G37" s="13" t="s">
        <v>3365</v>
      </c>
      <c r="H37" s="2"/>
      <c r="I37" s="2"/>
      <c r="J37" s="2"/>
      <c r="K37" s="2"/>
      <c r="L37" s="2"/>
      <c r="M37" s="2"/>
      <c r="N37" s="2"/>
      <c r="O37" s="2"/>
      <c r="P37" s="2"/>
      <c r="Q37" s="2"/>
      <c r="R37" s="2"/>
      <c r="S37" s="2"/>
      <c r="T37" s="2"/>
      <c r="U37" s="2"/>
      <c r="V37" s="2"/>
      <c r="W37" s="2"/>
      <c r="X37" s="2"/>
      <c r="Y37" s="2"/>
      <c r="Z37" s="2"/>
    </row>
    <row r="38" customHeight="1" spans="1:26">
      <c r="A38" s="13" t="s">
        <v>84</v>
      </c>
      <c r="B38" s="13" t="s">
        <v>3366</v>
      </c>
      <c r="C38" s="13" t="s">
        <v>86</v>
      </c>
      <c r="D38" s="57"/>
      <c r="E38" s="57"/>
      <c r="F38" s="13" t="s">
        <v>3367</v>
      </c>
      <c r="G38" s="13" t="s">
        <v>3368</v>
      </c>
      <c r="H38" s="2"/>
      <c r="I38" s="2"/>
      <c r="J38" s="2"/>
      <c r="K38" s="2"/>
      <c r="L38" s="2"/>
      <c r="M38" s="2"/>
      <c r="N38" s="2"/>
      <c r="O38" s="2"/>
      <c r="P38" s="2"/>
      <c r="Q38" s="2"/>
      <c r="R38" s="2"/>
      <c r="S38" s="2"/>
      <c r="T38" s="2"/>
      <c r="U38" s="2"/>
      <c r="V38" s="2"/>
      <c r="W38" s="2"/>
      <c r="X38" s="2"/>
      <c r="Y38" s="2"/>
      <c r="Z38" s="2"/>
    </row>
    <row r="39" customHeight="1" spans="1:26">
      <c r="A39" s="13" t="s">
        <v>139</v>
      </c>
      <c r="B39" s="13" t="s">
        <v>3369</v>
      </c>
      <c r="C39" s="13" t="s">
        <v>141</v>
      </c>
      <c r="D39" s="57"/>
      <c r="E39" s="57"/>
      <c r="F39" s="13" t="s">
        <v>3370</v>
      </c>
      <c r="G39" s="13" t="s">
        <v>3371</v>
      </c>
      <c r="H39" s="2"/>
      <c r="I39" s="2"/>
      <c r="J39" s="2"/>
      <c r="K39" s="2"/>
      <c r="L39" s="2"/>
      <c r="M39" s="2"/>
      <c r="N39" s="2"/>
      <c r="O39" s="2"/>
      <c r="P39" s="2"/>
      <c r="Q39" s="2"/>
      <c r="R39" s="2"/>
      <c r="S39" s="2"/>
      <c r="T39" s="2"/>
      <c r="U39" s="2"/>
      <c r="V39" s="2"/>
      <c r="W39" s="2"/>
      <c r="X39" s="2"/>
      <c r="Y39" s="2"/>
      <c r="Z39" s="2"/>
    </row>
    <row r="40" customHeight="1" spans="1:26">
      <c r="A40" s="13" t="s">
        <v>488</v>
      </c>
      <c r="B40" s="13" t="s">
        <v>3372</v>
      </c>
      <c r="C40" s="13" t="s">
        <v>490</v>
      </c>
      <c r="D40" s="57"/>
      <c r="E40" s="57"/>
      <c r="F40" s="13" t="s">
        <v>3373</v>
      </c>
      <c r="G40" s="13" t="s">
        <v>3374</v>
      </c>
      <c r="H40" s="2"/>
      <c r="I40" s="2"/>
      <c r="J40" s="2"/>
      <c r="K40" s="2"/>
      <c r="L40" s="2"/>
      <c r="M40" s="2"/>
      <c r="N40" s="2"/>
      <c r="O40" s="2"/>
      <c r="P40" s="2"/>
      <c r="Q40" s="2"/>
      <c r="R40" s="2"/>
      <c r="S40" s="2"/>
      <c r="T40" s="2"/>
      <c r="U40" s="2"/>
      <c r="V40" s="2"/>
      <c r="W40" s="2"/>
      <c r="X40" s="2"/>
      <c r="Y40" s="2"/>
      <c r="Z40" s="2"/>
    </row>
    <row r="41" customHeight="1" spans="1:26">
      <c r="A41" s="13" t="s">
        <v>563</v>
      </c>
      <c r="B41" s="57"/>
      <c r="C41" s="13" t="s">
        <v>565</v>
      </c>
      <c r="D41" s="57"/>
      <c r="E41" s="57"/>
      <c r="F41" s="57"/>
      <c r="G41" s="57"/>
      <c r="H41" s="2"/>
      <c r="I41" s="2"/>
      <c r="J41" s="2"/>
      <c r="K41" s="2"/>
      <c r="L41" s="2"/>
      <c r="M41" s="2"/>
      <c r="N41" s="2"/>
      <c r="O41" s="2"/>
      <c r="P41" s="2"/>
      <c r="Q41" s="2"/>
      <c r="R41" s="2"/>
      <c r="S41" s="2"/>
      <c r="T41" s="2"/>
      <c r="U41" s="2"/>
      <c r="V41" s="2"/>
      <c r="W41" s="2"/>
      <c r="X41" s="2"/>
      <c r="Y41" s="2"/>
      <c r="Z41" s="2"/>
    </row>
    <row r="42" customHeight="1" spans="1:26">
      <c r="A42" s="13" t="s">
        <v>24</v>
      </c>
      <c r="B42" s="13" t="s">
        <v>3375</v>
      </c>
      <c r="C42" s="13" t="s">
        <v>2512</v>
      </c>
      <c r="D42" s="57"/>
      <c r="E42" s="57"/>
      <c r="F42" s="13" t="s">
        <v>3376</v>
      </c>
      <c r="G42" s="13" t="s">
        <v>3377</v>
      </c>
      <c r="H42" s="2"/>
      <c r="I42" s="2"/>
      <c r="J42" s="2"/>
      <c r="K42" s="2"/>
      <c r="L42" s="2"/>
      <c r="M42" s="2"/>
      <c r="N42" s="2"/>
      <c r="O42" s="2"/>
      <c r="P42" s="2"/>
      <c r="Q42" s="2"/>
      <c r="R42" s="2"/>
      <c r="S42" s="2"/>
      <c r="T42" s="2"/>
      <c r="U42" s="2"/>
      <c r="V42" s="2"/>
      <c r="W42" s="2"/>
      <c r="X42" s="2"/>
      <c r="Y42" s="2"/>
      <c r="Z42" s="2"/>
    </row>
    <row r="43" customHeight="1" spans="1:26">
      <c r="A43" s="13" t="s">
        <v>234</v>
      </c>
      <c r="B43" s="13" t="s">
        <v>3378</v>
      </c>
      <c r="C43" s="13" t="s">
        <v>2516</v>
      </c>
      <c r="D43" s="57"/>
      <c r="E43" s="57"/>
      <c r="F43" s="13" t="s">
        <v>3379</v>
      </c>
      <c r="G43" s="13" t="s">
        <v>3380</v>
      </c>
      <c r="H43" s="2"/>
      <c r="I43" s="2"/>
      <c r="J43" s="2"/>
      <c r="K43" s="2"/>
      <c r="L43" s="2"/>
      <c r="M43" s="2"/>
      <c r="N43" s="2"/>
      <c r="O43" s="2"/>
      <c r="P43" s="2"/>
      <c r="Q43" s="2"/>
      <c r="R43" s="2"/>
      <c r="S43" s="2"/>
      <c r="T43" s="2"/>
      <c r="U43" s="2"/>
      <c r="V43" s="2"/>
      <c r="W43" s="2"/>
      <c r="X43" s="2"/>
      <c r="Y43" s="2"/>
      <c r="Z43" s="2"/>
    </row>
    <row r="44" customHeight="1" spans="1:26">
      <c r="A44" s="13" t="s">
        <v>212</v>
      </c>
      <c r="B44" s="13" t="s">
        <v>3381</v>
      </c>
      <c r="C44" s="13" t="s">
        <v>214</v>
      </c>
      <c r="D44" s="57"/>
      <c r="E44" s="57"/>
      <c r="F44" s="13" t="s">
        <v>3382</v>
      </c>
      <c r="G44" s="13" t="s">
        <v>3383</v>
      </c>
      <c r="H44" s="2"/>
      <c r="I44" s="2"/>
      <c r="J44" s="2"/>
      <c r="K44" s="2"/>
      <c r="L44" s="2"/>
      <c r="M44" s="2"/>
      <c r="N44" s="2"/>
      <c r="O44" s="2"/>
      <c r="P44" s="2"/>
      <c r="Q44" s="2"/>
      <c r="R44" s="2"/>
      <c r="S44" s="2"/>
      <c r="T44" s="2"/>
      <c r="U44" s="2"/>
      <c r="V44" s="2"/>
      <c r="W44" s="2"/>
      <c r="X44" s="2"/>
      <c r="Y44" s="2"/>
      <c r="Z44" s="2"/>
    </row>
    <row r="45" customHeight="1" spans="1:26">
      <c r="A45" s="13" t="s">
        <v>537</v>
      </c>
      <c r="B45" s="13" t="s">
        <v>3384</v>
      </c>
      <c r="C45" s="13" t="s">
        <v>2523</v>
      </c>
      <c r="D45" s="57"/>
      <c r="E45" s="57"/>
      <c r="F45" s="13" t="s">
        <v>3385</v>
      </c>
      <c r="G45" s="13" t="s">
        <v>3386</v>
      </c>
      <c r="H45" s="2"/>
      <c r="I45" s="2"/>
      <c r="J45" s="2"/>
      <c r="K45" s="2"/>
      <c r="L45" s="2"/>
      <c r="M45" s="2"/>
      <c r="N45" s="2"/>
      <c r="O45" s="2"/>
      <c r="P45" s="2"/>
      <c r="Q45" s="2"/>
      <c r="R45" s="2"/>
      <c r="S45" s="2"/>
      <c r="T45" s="2"/>
      <c r="U45" s="2"/>
      <c r="V45" s="2"/>
      <c r="W45" s="2"/>
      <c r="X45" s="2"/>
      <c r="Y45" s="2"/>
      <c r="Z45" s="2"/>
    </row>
    <row r="46" customHeight="1" spans="1:26">
      <c r="A46" s="13" t="s">
        <v>542</v>
      </c>
      <c r="B46" s="13" t="s">
        <v>3387</v>
      </c>
      <c r="C46" s="13" t="s">
        <v>2527</v>
      </c>
      <c r="D46" s="57"/>
      <c r="E46" s="57"/>
      <c r="F46" s="13" t="s">
        <v>3388</v>
      </c>
      <c r="G46" s="13" t="s">
        <v>3389</v>
      </c>
      <c r="H46" s="2"/>
      <c r="I46" s="2"/>
      <c r="J46" s="2"/>
      <c r="K46" s="2"/>
      <c r="L46" s="2"/>
      <c r="M46" s="2"/>
      <c r="N46" s="2"/>
      <c r="O46" s="2"/>
      <c r="P46" s="2"/>
      <c r="Q46" s="2"/>
      <c r="R46" s="2"/>
      <c r="S46" s="2"/>
      <c r="T46" s="2"/>
      <c r="U46" s="2"/>
      <c r="V46" s="2"/>
      <c r="W46" s="2"/>
      <c r="X46" s="2"/>
      <c r="Y46" s="2"/>
      <c r="Z46" s="2"/>
    </row>
    <row r="47" customHeight="1" spans="1:26">
      <c r="A47" s="13" t="s">
        <v>546</v>
      </c>
      <c r="B47" s="13" t="s">
        <v>3390</v>
      </c>
      <c r="C47" s="13" t="s">
        <v>2531</v>
      </c>
      <c r="D47" s="57"/>
      <c r="E47" s="57"/>
      <c r="F47" s="13" t="s">
        <v>3389</v>
      </c>
      <c r="G47" s="13" t="s">
        <v>3391</v>
      </c>
      <c r="H47" s="2"/>
      <c r="I47" s="2"/>
      <c r="J47" s="2"/>
      <c r="K47" s="2"/>
      <c r="L47" s="2"/>
      <c r="M47" s="2"/>
      <c r="N47" s="2"/>
      <c r="O47" s="2"/>
      <c r="P47" s="2"/>
      <c r="Q47" s="2"/>
      <c r="R47" s="2"/>
      <c r="S47" s="2"/>
      <c r="T47" s="2"/>
      <c r="U47" s="2"/>
      <c r="V47" s="2"/>
      <c r="W47" s="2"/>
      <c r="X47" s="2"/>
      <c r="Y47" s="2"/>
      <c r="Z47" s="2"/>
    </row>
    <row r="48" customHeight="1" spans="1:26">
      <c r="A48" s="13" t="s">
        <v>551</v>
      </c>
      <c r="B48" s="13" t="s">
        <v>3392</v>
      </c>
      <c r="C48" s="13" t="s">
        <v>2535</v>
      </c>
      <c r="D48" s="57"/>
      <c r="E48" s="57"/>
      <c r="F48" s="13" t="s">
        <v>3393</v>
      </c>
      <c r="G48" s="13" t="s">
        <v>3394</v>
      </c>
      <c r="H48" s="2"/>
      <c r="I48" s="2"/>
      <c r="J48" s="2"/>
      <c r="K48" s="2"/>
      <c r="L48" s="2"/>
      <c r="M48" s="2"/>
      <c r="N48" s="2"/>
      <c r="O48" s="2"/>
      <c r="P48" s="2"/>
      <c r="Q48" s="2"/>
      <c r="R48" s="2"/>
      <c r="S48" s="2"/>
      <c r="T48" s="2"/>
      <c r="U48" s="2"/>
      <c r="V48" s="2"/>
      <c r="W48" s="2"/>
      <c r="X48" s="2"/>
      <c r="Y48" s="2"/>
      <c r="Z48" s="2"/>
    </row>
    <row r="49" customHeight="1" spans="1:26">
      <c r="A49" s="13" t="s">
        <v>508</v>
      </c>
      <c r="B49" s="13" t="s">
        <v>3395</v>
      </c>
      <c r="C49" s="13" t="s">
        <v>2539</v>
      </c>
      <c r="D49" s="57"/>
      <c r="E49" s="57"/>
      <c r="F49" s="13" t="s">
        <v>3396</v>
      </c>
      <c r="G49" s="13" t="s">
        <v>3397</v>
      </c>
      <c r="H49" s="2"/>
      <c r="I49" s="2"/>
      <c r="J49" s="2"/>
      <c r="K49" s="2"/>
      <c r="L49" s="2"/>
      <c r="M49" s="2"/>
      <c r="N49" s="2"/>
      <c r="O49" s="2"/>
      <c r="P49" s="2"/>
      <c r="Q49" s="2"/>
      <c r="R49" s="2"/>
      <c r="S49" s="2"/>
      <c r="T49" s="2"/>
      <c r="U49" s="2"/>
      <c r="V49" s="2"/>
      <c r="W49" s="2"/>
      <c r="X49" s="2"/>
      <c r="Y49" s="2"/>
      <c r="Z49" s="2"/>
    </row>
    <row r="50" customHeight="1" spans="1:26">
      <c r="A50" s="13" t="s">
        <v>513</v>
      </c>
      <c r="B50" s="13" t="s">
        <v>3207</v>
      </c>
      <c r="C50" s="13" t="s">
        <v>2543</v>
      </c>
      <c r="D50" s="57"/>
      <c r="E50" s="57"/>
      <c r="F50" s="13" t="s">
        <v>3398</v>
      </c>
      <c r="G50" s="13" t="s">
        <v>3398</v>
      </c>
      <c r="H50" s="2"/>
      <c r="I50" s="2"/>
      <c r="J50" s="2"/>
      <c r="K50" s="2"/>
      <c r="L50" s="2"/>
      <c r="M50" s="2"/>
      <c r="N50" s="2"/>
      <c r="O50" s="2"/>
      <c r="P50" s="2"/>
      <c r="Q50" s="2"/>
      <c r="R50" s="2"/>
      <c r="S50" s="2"/>
      <c r="T50" s="2"/>
      <c r="U50" s="2"/>
      <c r="V50" s="2"/>
      <c r="W50" s="2"/>
      <c r="X50" s="2"/>
      <c r="Y50" s="2"/>
      <c r="Z50" s="2"/>
    </row>
    <row r="51" customHeight="1" spans="1:26">
      <c r="A51" s="13" t="s">
        <v>518</v>
      </c>
      <c r="B51" s="13" t="s">
        <v>3399</v>
      </c>
      <c r="C51" s="13" t="s">
        <v>515</v>
      </c>
      <c r="D51" s="57"/>
      <c r="E51" s="57"/>
      <c r="F51" s="13" t="s">
        <v>3400</v>
      </c>
      <c r="G51" s="13" t="s">
        <v>3400</v>
      </c>
      <c r="H51" s="2"/>
      <c r="I51" s="2"/>
      <c r="J51" s="2"/>
      <c r="K51" s="2"/>
      <c r="L51" s="2"/>
      <c r="M51" s="2"/>
      <c r="N51" s="2"/>
      <c r="O51" s="2"/>
      <c r="P51" s="2"/>
      <c r="Q51" s="2"/>
      <c r="R51" s="2"/>
      <c r="S51" s="2"/>
      <c r="T51" s="2"/>
      <c r="U51" s="2"/>
      <c r="V51" s="2"/>
      <c r="W51" s="2"/>
      <c r="X51" s="2"/>
      <c r="Y51" s="2"/>
      <c r="Z51" s="2"/>
    </row>
    <row r="52" customHeight="1" spans="1:26">
      <c r="A52" s="13" t="s">
        <v>285</v>
      </c>
      <c r="B52" s="13" t="s">
        <v>3401</v>
      </c>
      <c r="C52" s="13" t="s">
        <v>2859</v>
      </c>
      <c r="D52" s="57"/>
      <c r="E52" s="57"/>
      <c r="F52" s="13" t="s">
        <v>3402</v>
      </c>
      <c r="G52" s="13" t="s">
        <v>3403</v>
      </c>
      <c r="H52" s="2"/>
      <c r="I52" s="2"/>
      <c r="J52" s="2"/>
      <c r="K52" s="2"/>
      <c r="L52" s="2"/>
      <c r="M52" s="2"/>
      <c r="N52" s="2"/>
      <c r="O52" s="2"/>
      <c r="P52" s="2"/>
      <c r="Q52" s="2"/>
      <c r="R52" s="2"/>
      <c r="S52" s="2"/>
      <c r="T52" s="2"/>
      <c r="U52" s="2"/>
      <c r="V52" s="2"/>
      <c r="W52" s="2"/>
      <c r="X52" s="2"/>
      <c r="Y52" s="2"/>
      <c r="Z52" s="2"/>
    </row>
    <row r="53" customHeight="1" spans="1:26">
      <c r="A53" s="13" t="s">
        <v>532</v>
      </c>
      <c r="B53" s="13" t="s">
        <v>3404</v>
      </c>
      <c r="C53" s="13" t="s">
        <v>2554</v>
      </c>
      <c r="D53" s="57"/>
      <c r="E53" s="57"/>
      <c r="F53" s="13" t="s">
        <v>3405</v>
      </c>
      <c r="G53" s="13" t="s">
        <v>3406</v>
      </c>
      <c r="H53" s="2"/>
      <c r="I53" s="2"/>
      <c r="J53" s="2"/>
      <c r="K53" s="2"/>
      <c r="L53" s="2"/>
      <c r="M53" s="2"/>
      <c r="N53" s="2"/>
      <c r="O53" s="2"/>
      <c r="P53" s="2"/>
      <c r="Q53" s="2"/>
      <c r="R53" s="2"/>
      <c r="S53" s="2"/>
      <c r="T53" s="2"/>
      <c r="U53" s="2"/>
      <c r="V53" s="2"/>
      <c r="W53" s="2"/>
      <c r="X53" s="2"/>
      <c r="Y53" s="2"/>
      <c r="Z53" s="2"/>
    </row>
    <row r="54" customHeight="1" spans="1:26">
      <c r="A54" s="13" t="s">
        <v>2557</v>
      </c>
      <c r="B54" s="13" t="s">
        <v>3407</v>
      </c>
      <c r="C54" s="13" t="s">
        <v>2559</v>
      </c>
      <c r="D54" s="57"/>
      <c r="E54" s="57"/>
      <c r="F54" s="13" t="s">
        <v>3408</v>
      </c>
      <c r="G54" s="13" t="s">
        <v>3409</v>
      </c>
      <c r="H54" s="2"/>
      <c r="I54" s="2"/>
      <c r="J54" s="2"/>
      <c r="K54" s="2"/>
      <c r="L54" s="2"/>
      <c r="M54" s="2"/>
      <c r="N54" s="2"/>
      <c r="O54" s="2"/>
      <c r="P54" s="2"/>
      <c r="Q54" s="2"/>
      <c r="R54" s="2"/>
      <c r="S54" s="2"/>
      <c r="T54" s="2"/>
      <c r="U54" s="2"/>
      <c r="V54" s="2"/>
      <c r="W54" s="2"/>
      <c r="X54" s="2"/>
      <c r="Y54" s="2"/>
      <c r="Z54" s="2"/>
    </row>
    <row r="55" customHeight="1" spans="1:26">
      <c r="A55" s="13" t="s">
        <v>297</v>
      </c>
      <c r="B55" s="13" t="s">
        <v>3410</v>
      </c>
      <c r="C55" s="13" t="s">
        <v>1807</v>
      </c>
      <c r="D55" s="57"/>
      <c r="E55" s="57"/>
      <c r="F55" s="13" t="s">
        <v>3411</v>
      </c>
      <c r="G55" s="13" t="s">
        <v>3412</v>
      </c>
      <c r="H55" s="2"/>
      <c r="I55" s="2"/>
      <c r="J55" s="2"/>
      <c r="K55" s="2"/>
      <c r="L55" s="2"/>
      <c r="M55" s="2"/>
      <c r="N55" s="2"/>
      <c r="O55" s="2"/>
      <c r="P55" s="2"/>
      <c r="Q55" s="2"/>
      <c r="R55" s="2"/>
      <c r="S55" s="2"/>
      <c r="T55" s="2"/>
      <c r="U55" s="2"/>
      <c r="V55" s="2"/>
      <c r="W55" s="2"/>
      <c r="X55" s="2"/>
      <c r="Y55" s="2"/>
      <c r="Z55" s="2"/>
    </row>
    <row r="56" customHeight="1" spans="1:26">
      <c r="A56" s="13" t="s">
        <v>18</v>
      </c>
      <c r="B56" s="13" t="s">
        <v>3413</v>
      </c>
      <c r="C56" s="13" t="s">
        <v>2566</v>
      </c>
      <c r="D56" s="57"/>
      <c r="E56" s="57"/>
      <c r="F56" s="13" t="s">
        <v>3414</v>
      </c>
      <c r="G56" s="13" t="s">
        <v>3415</v>
      </c>
      <c r="H56" s="2"/>
      <c r="I56" s="2"/>
      <c r="J56" s="2"/>
      <c r="K56" s="2"/>
      <c r="L56" s="2"/>
      <c r="M56" s="2"/>
      <c r="N56" s="2"/>
      <c r="O56" s="2"/>
      <c r="P56" s="2"/>
      <c r="Q56" s="2"/>
      <c r="R56" s="2"/>
      <c r="S56" s="2"/>
      <c r="T56" s="2"/>
      <c r="U56" s="2"/>
      <c r="V56" s="2"/>
      <c r="W56" s="2"/>
      <c r="X56" s="2"/>
      <c r="Y56" s="2"/>
      <c r="Z56" s="2"/>
    </row>
    <row r="57" customHeight="1" spans="1:26">
      <c r="A57" s="13" t="s">
        <v>10</v>
      </c>
      <c r="B57" s="13" t="s">
        <v>3416</v>
      </c>
      <c r="C57" s="13" t="s">
        <v>12</v>
      </c>
      <c r="D57" s="57"/>
      <c r="E57" s="57"/>
      <c r="F57" s="13" t="s">
        <v>3417</v>
      </c>
      <c r="G57" s="13" t="s">
        <v>3417</v>
      </c>
      <c r="H57" s="2"/>
      <c r="I57" s="2"/>
      <c r="J57" s="2"/>
      <c r="K57" s="2"/>
      <c r="L57" s="2"/>
      <c r="M57" s="2"/>
      <c r="N57" s="2"/>
      <c r="O57" s="2"/>
      <c r="P57" s="2"/>
      <c r="Q57" s="2"/>
      <c r="R57" s="2"/>
      <c r="S57" s="2"/>
      <c r="T57" s="2"/>
      <c r="U57" s="2"/>
      <c r="V57" s="2"/>
      <c r="W57" s="2"/>
      <c r="X57" s="2"/>
      <c r="Y57" s="2"/>
      <c r="Z57" s="2"/>
    </row>
    <row r="58" customHeight="1" spans="1:26">
      <c r="A58" s="13" t="s">
        <v>15</v>
      </c>
      <c r="B58" s="13" t="s">
        <v>3230</v>
      </c>
      <c r="C58" s="13" t="s">
        <v>12</v>
      </c>
      <c r="D58" s="57"/>
      <c r="E58" s="57"/>
      <c r="F58" s="13" t="s">
        <v>3231</v>
      </c>
      <c r="G58" s="13" t="s">
        <v>3232</v>
      </c>
      <c r="H58" s="2"/>
      <c r="I58" s="2"/>
      <c r="J58" s="2"/>
      <c r="K58" s="2"/>
      <c r="L58" s="2"/>
      <c r="M58" s="2"/>
      <c r="N58" s="2"/>
      <c r="O58" s="2"/>
      <c r="P58" s="2"/>
      <c r="Q58" s="2"/>
      <c r="R58" s="2"/>
      <c r="S58" s="2"/>
      <c r="T58" s="2"/>
      <c r="U58" s="2"/>
      <c r="V58" s="2"/>
      <c r="W58" s="2"/>
      <c r="X58" s="2"/>
      <c r="Y58" s="2"/>
      <c r="Z58" s="2"/>
    </row>
    <row r="59" customHeight="1" spans="1:26">
      <c r="A59" s="13" t="s">
        <v>102</v>
      </c>
      <c r="B59" s="13" t="s">
        <v>3233</v>
      </c>
      <c r="C59" s="13" t="s">
        <v>108</v>
      </c>
      <c r="D59" s="57"/>
      <c r="E59" s="57"/>
      <c r="F59" s="13" t="s">
        <v>3234</v>
      </c>
      <c r="G59" s="13" t="s">
        <v>3235</v>
      </c>
      <c r="H59" s="2"/>
      <c r="I59" s="2"/>
      <c r="J59" s="2"/>
      <c r="K59" s="2"/>
      <c r="L59" s="2"/>
      <c r="M59" s="2"/>
      <c r="N59" s="2"/>
      <c r="O59" s="2"/>
      <c r="P59" s="2"/>
      <c r="Q59" s="2"/>
      <c r="R59" s="2"/>
      <c r="S59" s="2"/>
      <c r="T59" s="2"/>
      <c r="U59" s="2"/>
      <c r="V59" s="2"/>
      <c r="W59" s="2"/>
      <c r="X59" s="2"/>
      <c r="Y59" s="2"/>
      <c r="Z59" s="2"/>
    </row>
    <row r="60" customHeight="1" spans="1:26">
      <c r="A60" s="13" t="s">
        <v>49</v>
      </c>
      <c r="B60" s="13" t="s">
        <v>3418</v>
      </c>
      <c r="C60" s="13" t="s">
        <v>2579</v>
      </c>
      <c r="D60" s="57"/>
      <c r="E60" s="57"/>
      <c r="F60" s="13" t="s">
        <v>3419</v>
      </c>
      <c r="G60" s="13" t="s">
        <v>3420</v>
      </c>
      <c r="H60" s="2"/>
      <c r="I60" s="2"/>
      <c r="J60" s="2"/>
      <c r="K60" s="2"/>
      <c r="L60" s="2"/>
      <c r="M60" s="2"/>
      <c r="N60" s="2"/>
      <c r="O60" s="2"/>
      <c r="P60" s="2"/>
      <c r="Q60" s="2"/>
      <c r="R60" s="2"/>
      <c r="S60" s="2"/>
      <c r="T60" s="2"/>
      <c r="U60" s="2"/>
      <c r="V60" s="2"/>
      <c r="W60" s="2"/>
      <c r="X60" s="2"/>
      <c r="Y60" s="2"/>
      <c r="Z60" s="2"/>
    </row>
    <row r="61" customHeight="1" spans="1:26">
      <c r="A61" s="13" t="s">
        <v>54</v>
      </c>
      <c r="B61" s="13" t="s">
        <v>3421</v>
      </c>
      <c r="C61" s="13" t="s">
        <v>2583</v>
      </c>
      <c r="D61" s="57"/>
      <c r="E61" s="57"/>
      <c r="F61" s="13" t="s">
        <v>3422</v>
      </c>
      <c r="G61" s="13" t="s">
        <v>3423</v>
      </c>
      <c r="H61" s="2"/>
      <c r="I61" s="2"/>
      <c r="J61" s="2"/>
      <c r="K61" s="2"/>
      <c r="L61" s="2"/>
      <c r="M61" s="2"/>
      <c r="N61" s="2"/>
      <c r="O61" s="2"/>
      <c r="P61" s="2"/>
      <c r="Q61" s="2"/>
      <c r="R61" s="2"/>
      <c r="S61" s="2"/>
      <c r="T61" s="2"/>
      <c r="U61" s="2"/>
      <c r="V61" s="2"/>
      <c r="W61" s="2"/>
      <c r="X61" s="2"/>
      <c r="Y61" s="2"/>
      <c r="Z61" s="2"/>
    </row>
    <row r="62" customHeight="1" spans="1:26">
      <c r="A62" s="13" t="s">
        <v>44</v>
      </c>
      <c r="B62" s="13" t="s">
        <v>3424</v>
      </c>
      <c r="C62" s="13" t="s">
        <v>664</v>
      </c>
      <c r="D62" s="57"/>
      <c r="E62" s="57"/>
      <c r="F62" s="13" t="s">
        <v>3425</v>
      </c>
      <c r="G62" s="13" t="s">
        <v>3426</v>
      </c>
      <c r="H62" s="2"/>
      <c r="I62" s="2"/>
      <c r="J62" s="2"/>
      <c r="K62" s="2"/>
      <c r="L62" s="2"/>
      <c r="M62" s="2"/>
      <c r="N62" s="2"/>
      <c r="O62" s="2"/>
      <c r="P62" s="2"/>
      <c r="Q62" s="2"/>
      <c r="R62" s="2"/>
      <c r="S62" s="2"/>
      <c r="T62" s="2"/>
      <c r="U62" s="2"/>
      <c r="V62" s="2"/>
      <c r="W62" s="2"/>
      <c r="X62" s="2"/>
      <c r="Y62" s="2"/>
      <c r="Z62" s="2"/>
    </row>
    <row r="63" customHeight="1" spans="1:26">
      <c r="A63" s="13" t="s">
        <v>89</v>
      </c>
      <c r="B63" s="57"/>
      <c r="C63" s="13" t="s">
        <v>2590</v>
      </c>
      <c r="D63" s="57"/>
      <c r="E63" s="57"/>
      <c r="F63" s="13" t="s">
        <v>3427</v>
      </c>
      <c r="G63" s="13" t="s">
        <v>3428</v>
      </c>
      <c r="H63" s="2"/>
      <c r="I63" s="2"/>
      <c r="J63" s="2"/>
      <c r="K63" s="2"/>
      <c r="L63" s="2"/>
      <c r="M63" s="2"/>
      <c r="N63" s="2"/>
      <c r="O63" s="2"/>
      <c r="P63" s="2"/>
      <c r="Q63" s="2"/>
      <c r="R63" s="2"/>
      <c r="S63" s="2"/>
      <c r="T63" s="2"/>
      <c r="U63" s="2"/>
      <c r="V63" s="2"/>
      <c r="W63" s="2"/>
      <c r="X63" s="2"/>
      <c r="Y63" s="2"/>
      <c r="Z63" s="2"/>
    </row>
    <row r="64" customHeight="1" spans="1:26">
      <c r="A64" s="13" t="s">
        <v>193</v>
      </c>
      <c r="B64" s="13" t="s">
        <v>3429</v>
      </c>
      <c r="C64" s="13" t="s">
        <v>2594</v>
      </c>
      <c r="D64" s="57"/>
      <c r="E64" s="57"/>
      <c r="F64" s="13" t="s">
        <v>3430</v>
      </c>
      <c r="G64" s="13" t="s">
        <v>3431</v>
      </c>
      <c r="H64" s="2"/>
      <c r="I64" s="2"/>
      <c r="J64" s="2"/>
      <c r="K64" s="2"/>
      <c r="L64" s="2"/>
      <c r="M64" s="2"/>
      <c r="N64" s="2"/>
      <c r="O64" s="2"/>
      <c r="P64" s="2"/>
      <c r="Q64" s="2"/>
      <c r="R64" s="2"/>
      <c r="S64" s="2"/>
      <c r="T64" s="2"/>
      <c r="U64" s="2"/>
      <c r="V64" s="2"/>
      <c r="W64" s="2"/>
      <c r="X64" s="2"/>
      <c r="Y64" s="2"/>
      <c r="Z64" s="2"/>
    </row>
    <row r="65" customHeight="1" spans="1:26">
      <c r="A65" s="13" t="s">
        <v>498</v>
      </c>
      <c r="B65" s="57"/>
      <c r="C65" s="13" t="s">
        <v>500</v>
      </c>
      <c r="D65" s="57"/>
      <c r="E65" s="57"/>
      <c r="F65" s="13" t="s">
        <v>3432</v>
      </c>
      <c r="G65" s="13" t="s">
        <v>3433</v>
      </c>
      <c r="H65" s="2"/>
      <c r="I65" s="2"/>
      <c r="J65" s="2"/>
      <c r="K65" s="2"/>
      <c r="L65" s="2"/>
      <c r="M65" s="2"/>
      <c r="N65" s="2"/>
      <c r="O65" s="2"/>
      <c r="P65" s="2"/>
      <c r="Q65" s="2"/>
      <c r="R65" s="2"/>
      <c r="S65" s="2"/>
      <c r="T65" s="2"/>
      <c r="U65" s="2"/>
      <c r="V65" s="2"/>
      <c r="W65" s="2"/>
      <c r="X65" s="2"/>
      <c r="Y65" s="2"/>
      <c r="Z65" s="2"/>
    </row>
    <row r="66" customHeight="1" spans="1:26">
      <c r="A66" s="13" t="s">
        <v>217</v>
      </c>
      <c r="B66" s="13" t="s">
        <v>3434</v>
      </c>
      <c r="C66" s="13" t="s">
        <v>2601</v>
      </c>
      <c r="D66" s="57"/>
      <c r="E66" s="57"/>
      <c r="F66" s="13" t="s">
        <v>3435</v>
      </c>
      <c r="G66" s="13" t="s">
        <v>3436</v>
      </c>
      <c r="H66" s="2"/>
      <c r="I66" s="2"/>
      <c r="J66" s="2"/>
      <c r="K66" s="2"/>
      <c r="L66" s="2"/>
      <c r="M66" s="2"/>
      <c r="N66" s="2"/>
      <c r="O66" s="2"/>
      <c r="P66" s="2"/>
      <c r="Q66" s="2"/>
      <c r="R66" s="2"/>
      <c r="S66" s="2"/>
      <c r="T66" s="2"/>
      <c r="U66" s="2"/>
      <c r="V66" s="2"/>
      <c r="W66" s="2"/>
      <c r="X66" s="2"/>
      <c r="Y66" s="2"/>
      <c r="Z66" s="2"/>
    </row>
    <row r="67" customHeight="1" spans="1:26">
      <c r="A67" s="13" t="s">
        <v>493</v>
      </c>
      <c r="B67" s="13" t="s">
        <v>3437</v>
      </c>
      <c r="C67" s="13" t="s">
        <v>2605</v>
      </c>
      <c r="D67" s="57"/>
      <c r="E67" s="57"/>
      <c r="F67" s="13" t="s">
        <v>3438</v>
      </c>
      <c r="G67" s="13" t="s">
        <v>3439</v>
      </c>
      <c r="H67" s="2"/>
      <c r="I67" s="2"/>
      <c r="J67" s="2"/>
      <c r="K67" s="2"/>
      <c r="L67" s="2"/>
      <c r="M67" s="2"/>
      <c r="N67" s="2"/>
      <c r="O67" s="2"/>
      <c r="P67" s="2"/>
      <c r="Q67" s="2"/>
      <c r="R67" s="2"/>
      <c r="S67" s="2"/>
      <c r="T67" s="2"/>
      <c r="U67" s="2"/>
      <c r="V67" s="2"/>
      <c r="W67" s="2"/>
      <c r="X67" s="2"/>
      <c r="Y67" s="2"/>
      <c r="Z67" s="2"/>
    </row>
    <row r="68" customHeight="1" spans="1:26">
      <c r="A68" s="13" t="s">
        <v>74</v>
      </c>
      <c r="B68" s="13" t="s">
        <v>75</v>
      </c>
      <c r="C68" s="13" t="s">
        <v>2609</v>
      </c>
      <c r="D68" s="57"/>
      <c r="E68" s="57"/>
      <c r="F68" s="13" t="s">
        <v>77</v>
      </c>
      <c r="G68" s="13" t="s">
        <v>3440</v>
      </c>
      <c r="H68" s="2"/>
      <c r="I68" s="2"/>
      <c r="J68" s="2"/>
      <c r="K68" s="2"/>
      <c r="L68" s="2"/>
      <c r="M68" s="2"/>
      <c r="N68" s="2"/>
      <c r="O68" s="2"/>
      <c r="P68" s="2"/>
      <c r="Q68" s="2"/>
      <c r="R68" s="2"/>
      <c r="S68" s="2"/>
      <c r="T68" s="2"/>
      <c r="U68" s="2"/>
      <c r="V68" s="2"/>
      <c r="W68" s="2"/>
      <c r="X68" s="2"/>
      <c r="Y68" s="2"/>
      <c r="Z68" s="2"/>
    </row>
    <row r="69" customHeight="1" spans="1:26">
      <c r="A69" s="13" t="s">
        <v>149</v>
      </c>
      <c r="B69" s="13" t="s">
        <v>3261</v>
      </c>
      <c r="C69" s="13" t="s">
        <v>151</v>
      </c>
      <c r="D69" s="57"/>
      <c r="E69" s="57"/>
      <c r="F69" s="13" t="s">
        <v>3262</v>
      </c>
      <c r="G69" s="13" t="s">
        <v>3441</v>
      </c>
      <c r="H69" s="2"/>
      <c r="I69" s="2"/>
      <c r="J69" s="2"/>
      <c r="K69" s="2"/>
      <c r="L69" s="2"/>
      <c r="M69" s="2"/>
      <c r="N69" s="2"/>
      <c r="O69" s="2"/>
      <c r="P69" s="2"/>
      <c r="Q69" s="2"/>
      <c r="R69" s="2"/>
      <c r="S69" s="2"/>
      <c r="T69" s="2"/>
      <c r="U69" s="2"/>
      <c r="V69" s="2"/>
      <c r="W69" s="2"/>
      <c r="X69" s="2"/>
      <c r="Y69" s="2"/>
      <c r="Z69" s="2"/>
    </row>
    <row r="70" customHeight="1" spans="1:26">
      <c r="A70" s="13" t="s">
        <v>144</v>
      </c>
      <c r="B70" s="13" t="s">
        <v>3442</v>
      </c>
      <c r="C70" s="13" t="s">
        <v>2616</v>
      </c>
      <c r="D70" s="57"/>
      <c r="E70" s="57"/>
      <c r="F70" s="13" t="s">
        <v>3443</v>
      </c>
      <c r="G70" s="13" t="s">
        <v>3444</v>
      </c>
      <c r="H70" s="2"/>
      <c r="I70" s="2"/>
      <c r="J70" s="2"/>
      <c r="K70" s="2"/>
      <c r="L70" s="2"/>
      <c r="M70" s="2"/>
      <c r="N70" s="2"/>
      <c r="O70" s="2"/>
      <c r="P70" s="2"/>
      <c r="Q70" s="2"/>
      <c r="R70" s="2"/>
      <c r="S70" s="2"/>
      <c r="T70" s="2"/>
      <c r="U70" s="2"/>
      <c r="V70" s="2"/>
      <c r="W70" s="2"/>
      <c r="X70" s="2"/>
      <c r="Y70" s="2"/>
      <c r="Z70" s="2"/>
    </row>
    <row r="71" customHeight="1" spans="1:26">
      <c r="A71" s="13" t="s">
        <v>164</v>
      </c>
      <c r="B71" s="13" t="s">
        <v>3445</v>
      </c>
      <c r="C71" s="13" t="s">
        <v>2620</v>
      </c>
      <c r="D71" s="57"/>
      <c r="E71" s="57"/>
      <c r="F71" s="13" t="s">
        <v>3446</v>
      </c>
      <c r="G71" s="13" t="s">
        <v>3447</v>
      </c>
      <c r="H71" s="2"/>
      <c r="I71" s="2"/>
      <c r="J71" s="2"/>
      <c r="K71" s="2"/>
      <c r="L71" s="2"/>
      <c r="M71" s="2"/>
      <c r="N71" s="2"/>
      <c r="O71" s="2"/>
      <c r="P71" s="2"/>
      <c r="Q71" s="2"/>
      <c r="R71" s="2"/>
      <c r="S71" s="2"/>
      <c r="T71" s="2"/>
      <c r="U71" s="2"/>
      <c r="V71" s="2"/>
      <c r="W71" s="2"/>
      <c r="X71" s="2"/>
      <c r="Y71" s="2"/>
      <c r="Z71" s="2"/>
    </row>
    <row r="72" customHeight="1" spans="1:26">
      <c r="A72" s="13" t="s">
        <v>159</v>
      </c>
      <c r="B72" s="13" t="s">
        <v>3448</v>
      </c>
      <c r="C72" s="13" t="s">
        <v>2623</v>
      </c>
      <c r="D72" s="57"/>
      <c r="E72" s="57"/>
      <c r="F72" s="13" t="s">
        <v>3449</v>
      </c>
      <c r="G72" s="13" t="s">
        <v>3450</v>
      </c>
      <c r="H72" s="2"/>
      <c r="I72" s="2"/>
      <c r="J72" s="2"/>
      <c r="K72" s="2"/>
      <c r="L72" s="2"/>
      <c r="M72" s="2"/>
      <c r="N72" s="2"/>
      <c r="O72" s="2"/>
      <c r="P72" s="2"/>
      <c r="Q72" s="2"/>
      <c r="R72" s="2"/>
      <c r="S72" s="2"/>
      <c r="T72" s="2"/>
      <c r="U72" s="2"/>
      <c r="V72" s="2"/>
      <c r="W72" s="2"/>
      <c r="X72" s="2"/>
      <c r="Y72" s="2"/>
      <c r="Z72" s="2"/>
    </row>
    <row r="73" customHeight="1" spans="1:26">
      <c r="A73" s="13" t="s">
        <v>110</v>
      </c>
      <c r="B73" s="13" t="s">
        <v>3451</v>
      </c>
      <c r="C73" s="13" t="s">
        <v>112</v>
      </c>
      <c r="D73" s="57"/>
      <c r="E73" s="57"/>
      <c r="F73" s="13" t="s">
        <v>3452</v>
      </c>
      <c r="G73" s="13" t="s">
        <v>3453</v>
      </c>
      <c r="H73" s="2"/>
      <c r="I73" s="2"/>
      <c r="J73" s="2"/>
      <c r="K73" s="2"/>
      <c r="L73" s="2"/>
      <c r="M73" s="2"/>
      <c r="N73" s="2"/>
      <c r="O73" s="2"/>
      <c r="P73" s="2"/>
      <c r="Q73" s="2"/>
      <c r="R73" s="2"/>
      <c r="S73" s="2"/>
      <c r="T73" s="2"/>
      <c r="U73" s="2"/>
      <c r="V73" s="2"/>
      <c r="W73" s="2"/>
      <c r="X73" s="2"/>
      <c r="Y73" s="2"/>
      <c r="Z73" s="2"/>
    </row>
    <row r="74" customHeight="1" spans="1:26">
      <c r="A74" s="13" t="s">
        <v>302</v>
      </c>
      <c r="B74" s="13" t="s">
        <v>3454</v>
      </c>
      <c r="C74" s="13" t="s">
        <v>2630</v>
      </c>
      <c r="D74" s="57"/>
      <c r="E74" s="57"/>
      <c r="F74" s="13" t="s">
        <v>3455</v>
      </c>
      <c r="G74" s="13" t="s">
        <v>3456</v>
      </c>
      <c r="H74" s="2"/>
      <c r="I74" s="2"/>
      <c r="J74" s="2"/>
      <c r="K74" s="2"/>
      <c r="L74" s="2"/>
      <c r="M74" s="2"/>
      <c r="N74" s="2"/>
      <c r="O74" s="2"/>
      <c r="P74" s="2"/>
      <c r="Q74" s="2"/>
      <c r="R74" s="2"/>
      <c r="S74" s="2"/>
      <c r="T74" s="2"/>
      <c r="U74" s="2"/>
      <c r="V74" s="2"/>
      <c r="W74" s="2"/>
      <c r="X74" s="2"/>
      <c r="Y74" s="2"/>
      <c r="Z74" s="2"/>
    </row>
    <row r="75" customHeight="1" spans="1:26">
      <c r="A75" s="13" t="s">
        <v>2634</v>
      </c>
      <c r="B75" s="13" t="s">
        <v>3457</v>
      </c>
      <c r="C75" s="13" t="s">
        <v>2634</v>
      </c>
      <c r="D75" s="57"/>
      <c r="E75" s="57"/>
      <c r="F75" s="13" t="s">
        <v>3458</v>
      </c>
      <c r="G75" s="13" t="s">
        <v>3459</v>
      </c>
      <c r="H75" s="2"/>
      <c r="I75" s="2"/>
      <c r="J75" s="2"/>
      <c r="K75" s="2"/>
      <c r="L75" s="2"/>
      <c r="M75" s="2"/>
      <c r="N75" s="2"/>
      <c r="O75" s="2"/>
      <c r="P75" s="2"/>
      <c r="Q75" s="2"/>
      <c r="R75" s="2"/>
      <c r="S75" s="2"/>
      <c r="T75" s="2"/>
      <c r="U75" s="2"/>
      <c r="V75" s="2"/>
      <c r="W75" s="2"/>
      <c r="X75" s="2"/>
      <c r="Y75" s="2"/>
      <c r="Z75" s="2"/>
    </row>
    <row r="76" ht="13.5" customHeight="1"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ht="14.8"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ht="14.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ht="14.8"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ht="14.8"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ht="14.8"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ht="14.8"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ht="14.8"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ht="14.8"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ht="14.8"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ht="14.8"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ht="14.8"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ht="14.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ht="14.8"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ht="14.8"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ht="14.8"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ht="14.8"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ht="14.8"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ht="14.8"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ht="14.8"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ht="14.8"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ht="14.8"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ht="14.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ht="14.8"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ht="14.8"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8"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8"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8"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8"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8"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8"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8"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8"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8"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8"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8"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8"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8"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8"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8"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8"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8"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8"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8"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8"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8"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8"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8"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8"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8"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8"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8"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33"/>
  <sheetViews>
    <sheetView showGridLines="0" topLeftCell="A147" workbookViewId="0">
      <selection activeCell="A1" sqref="A1"/>
    </sheetView>
  </sheetViews>
  <sheetFormatPr defaultColWidth="12.6607142857143" defaultRowHeight="15" customHeight="1"/>
  <cols>
    <col min="1" max="1" width="29.1607142857143" customWidth="1"/>
    <col min="2" max="2" width="47.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ht="13.5"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ht="13.5" customHeight="1" spans="1:26">
      <c r="A2" s="58" t="s">
        <v>3460</v>
      </c>
      <c r="B2" s="49"/>
      <c r="C2" s="49"/>
      <c r="D2" s="59" t="s">
        <v>2</v>
      </c>
      <c r="E2" s="49"/>
      <c r="F2" s="49"/>
      <c r="G2" s="49"/>
      <c r="H2" s="2"/>
      <c r="I2" s="2"/>
      <c r="J2" s="2"/>
      <c r="K2" s="2"/>
      <c r="L2" s="2"/>
      <c r="M2" s="2"/>
      <c r="N2" s="2"/>
      <c r="O2" s="2"/>
      <c r="P2" s="2"/>
      <c r="Q2" s="2"/>
      <c r="R2" s="2"/>
      <c r="S2" s="2"/>
      <c r="T2" s="2"/>
      <c r="U2" s="2"/>
      <c r="V2" s="2"/>
      <c r="W2" s="2"/>
      <c r="X2" s="2"/>
      <c r="Y2" s="2"/>
      <c r="Z2" s="2"/>
    </row>
    <row r="3" ht="13.5"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52" t="s">
        <v>10</v>
      </c>
      <c r="B4" s="165" t="s">
        <v>3461</v>
      </c>
      <c r="C4" s="13" t="s">
        <v>12</v>
      </c>
      <c r="D4" s="57"/>
      <c r="E4" s="57"/>
      <c r="F4" s="166" t="s">
        <v>3462</v>
      </c>
      <c r="G4" s="166" t="s">
        <v>3463</v>
      </c>
      <c r="H4" s="2"/>
      <c r="I4" s="2"/>
      <c r="J4" s="2"/>
      <c r="K4" s="2"/>
      <c r="L4" s="2"/>
      <c r="M4" s="2"/>
      <c r="N4" s="2"/>
      <c r="O4" s="2"/>
      <c r="P4" s="2"/>
      <c r="Q4" s="2"/>
      <c r="R4" s="2"/>
      <c r="S4" s="2"/>
      <c r="T4" s="2"/>
      <c r="U4" s="2"/>
      <c r="V4" s="2"/>
      <c r="W4" s="2"/>
      <c r="X4" s="2"/>
      <c r="Y4" s="2"/>
      <c r="Z4" s="2"/>
    </row>
    <row r="5" customHeight="1" spans="1:26">
      <c r="A5" s="63" t="s">
        <v>15</v>
      </c>
      <c r="B5" s="13" t="s">
        <v>16</v>
      </c>
      <c r="C5" s="13" t="s">
        <v>12</v>
      </c>
      <c r="D5" s="57"/>
      <c r="E5" s="57"/>
      <c r="F5" s="13" t="s">
        <v>17</v>
      </c>
      <c r="G5" s="166" t="s">
        <v>3464</v>
      </c>
      <c r="H5" s="2"/>
      <c r="I5" s="2"/>
      <c r="J5" s="2"/>
      <c r="K5" s="2"/>
      <c r="L5" s="2"/>
      <c r="M5" s="2"/>
      <c r="N5" s="2"/>
      <c r="O5" s="2"/>
      <c r="P5" s="2"/>
      <c r="Q5" s="2"/>
      <c r="R5" s="2"/>
      <c r="S5" s="2"/>
      <c r="T5" s="2"/>
      <c r="U5" s="2"/>
      <c r="V5" s="2"/>
      <c r="W5" s="2"/>
      <c r="X5" s="2"/>
      <c r="Y5" s="2"/>
      <c r="Z5" s="2"/>
    </row>
    <row r="6" ht="13.5" customHeight="1" spans="1:26">
      <c r="A6" s="70" t="s">
        <v>18</v>
      </c>
      <c r="B6" s="63" t="s">
        <v>3465</v>
      </c>
      <c r="C6" s="63" t="s">
        <v>20</v>
      </c>
      <c r="D6" s="71">
        <v>340</v>
      </c>
      <c r="E6" s="63" t="s">
        <v>21</v>
      </c>
      <c r="F6" s="63" t="s">
        <v>3466</v>
      </c>
      <c r="G6" s="63" t="s">
        <v>3467</v>
      </c>
      <c r="H6" s="2"/>
      <c r="I6" s="2"/>
      <c r="J6" s="2"/>
      <c r="K6" s="2"/>
      <c r="L6" s="2"/>
      <c r="M6" s="2"/>
      <c r="N6" s="2"/>
      <c r="O6" s="2"/>
      <c r="P6" s="2"/>
      <c r="Q6" s="2"/>
      <c r="R6" s="2"/>
      <c r="S6" s="2"/>
      <c r="T6" s="2"/>
      <c r="U6" s="2"/>
      <c r="V6" s="2"/>
      <c r="W6" s="2"/>
      <c r="X6" s="2"/>
      <c r="Y6" s="2"/>
      <c r="Z6" s="2"/>
    </row>
    <row r="7" ht="13.5" customHeight="1" spans="1:26">
      <c r="A7" s="52" t="s">
        <v>24</v>
      </c>
      <c r="B7" s="62" t="s">
        <v>3468</v>
      </c>
      <c r="C7" s="13" t="s">
        <v>3469</v>
      </c>
      <c r="D7" s="14">
        <v>85</v>
      </c>
      <c r="E7" s="13" t="s">
        <v>21</v>
      </c>
      <c r="F7" s="13" t="s">
        <v>3470</v>
      </c>
      <c r="G7" s="13" t="s">
        <v>3471</v>
      </c>
      <c r="H7" s="2"/>
      <c r="I7" s="2"/>
      <c r="J7" s="2"/>
      <c r="K7" s="2"/>
      <c r="L7" s="2"/>
      <c r="M7" s="2"/>
      <c r="N7" s="2"/>
      <c r="O7" s="2"/>
      <c r="P7" s="2"/>
      <c r="Q7" s="2"/>
      <c r="R7" s="2"/>
      <c r="S7" s="2"/>
      <c r="T7" s="2"/>
      <c r="U7" s="2"/>
      <c r="V7" s="2"/>
      <c r="W7" s="2"/>
      <c r="X7" s="2"/>
      <c r="Y7" s="2"/>
      <c r="Z7" s="2"/>
    </row>
    <row r="8" ht="13.5" customHeight="1" spans="1:26">
      <c r="A8" s="151" t="s">
        <v>29</v>
      </c>
      <c r="B8" s="13" t="s">
        <v>3472</v>
      </c>
      <c r="C8" s="13" t="s">
        <v>31</v>
      </c>
      <c r="D8" s="65">
        <v>30</v>
      </c>
      <c r="E8" s="13" t="s">
        <v>32</v>
      </c>
      <c r="F8" s="13" t="s">
        <v>3473</v>
      </c>
      <c r="G8" s="13" t="s">
        <v>3474</v>
      </c>
      <c r="H8" s="2"/>
      <c r="I8" s="2"/>
      <c r="J8" s="2"/>
      <c r="K8" s="2"/>
      <c r="L8" s="2"/>
      <c r="M8" s="2"/>
      <c r="N8" s="2"/>
      <c r="O8" s="2"/>
      <c r="P8" s="2"/>
      <c r="Q8" s="2"/>
      <c r="R8" s="2"/>
      <c r="S8" s="2"/>
      <c r="T8" s="2"/>
      <c r="U8" s="2"/>
      <c r="V8" s="2"/>
      <c r="W8" s="2"/>
      <c r="X8" s="2"/>
      <c r="Y8" s="2"/>
      <c r="Z8" s="2"/>
    </row>
    <row r="9" ht="13.5" customHeight="1" spans="1:26">
      <c r="A9" s="64" t="s">
        <v>35</v>
      </c>
      <c r="B9" s="13" t="s">
        <v>3475</v>
      </c>
      <c r="C9" s="13" t="s">
        <v>31</v>
      </c>
      <c r="D9" s="65">
        <v>30</v>
      </c>
      <c r="E9" s="13" t="s">
        <v>37</v>
      </c>
      <c r="F9" s="13" t="s">
        <v>3476</v>
      </c>
      <c r="G9" s="13" t="s">
        <v>3477</v>
      </c>
      <c r="H9" s="2"/>
      <c r="I9" s="2"/>
      <c r="J9" s="2"/>
      <c r="K9" s="2"/>
      <c r="L9" s="2"/>
      <c r="M9" s="2"/>
      <c r="N9" s="2"/>
      <c r="O9" s="2"/>
      <c r="P9" s="2"/>
      <c r="Q9" s="2"/>
      <c r="R9" s="2"/>
      <c r="S9" s="2"/>
      <c r="T9" s="2"/>
      <c r="U9" s="2"/>
      <c r="V9" s="2"/>
      <c r="W9" s="2"/>
      <c r="X9" s="2"/>
      <c r="Y9" s="2"/>
      <c r="Z9" s="2"/>
    </row>
    <row r="10" ht="13.5" customHeight="1" spans="1:26">
      <c r="A10" s="64" t="s">
        <v>40</v>
      </c>
      <c r="B10" s="13" t="s">
        <v>41</v>
      </c>
      <c r="C10" s="13" t="s">
        <v>41</v>
      </c>
      <c r="D10" s="65">
        <v>106</v>
      </c>
      <c r="E10" s="13" t="s">
        <v>21</v>
      </c>
      <c r="F10" s="13" t="s">
        <v>42</v>
      </c>
      <c r="G10" s="13" t="s">
        <v>43</v>
      </c>
      <c r="H10" s="2"/>
      <c r="I10" s="2"/>
      <c r="J10" s="2"/>
      <c r="K10" s="2"/>
      <c r="L10" s="2"/>
      <c r="M10" s="2"/>
      <c r="N10" s="2"/>
      <c r="O10" s="2"/>
      <c r="P10" s="2"/>
      <c r="Q10" s="2"/>
      <c r="R10" s="2"/>
      <c r="S10" s="2"/>
      <c r="T10" s="2"/>
      <c r="U10" s="2"/>
      <c r="V10" s="2"/>
      <c r="W10" s="2"/>
      <c r="X10" s="2"/>
      <c r="Y10" s="2"/>
      <c r="Z10" s="2"/>
    </row>
    <row r="11" ht="13.5" customHeight="1" spans="1:26">
      <c r="A11" s="13" t="s">
        <v>44</v>
      </c>
      <c r="B11" s="13" t="s">
        <v>893</v>
      </c>
      <c r="C11" s="13" t="s">
        <v>46</v>
      </c>
      <c r="D11" s="57"/>
      <c r="E11" s="57"/>
      <c r="F11" s="13" t="s">
        <v>47</v>
      </c>
      <c r="G11" s="13" t="s">
        <v>3478</v>
      </c>
      <c r="H11" s="2"/>
      <c r="I11" s="2"/>
      <c r="J11" s="2"/>
      <c r="K11" s="2"/>
      <c r="L11" s="2"/>
      <c r="M11" s="2"/>
      <c r="N11" s="2"/>
      <c r="O11" s="2"/>
      <c r="P11" s="2"/>
      <c r="Q11" s="2"/>
      <c r="R11" s="2"/>
      <c r="S11" s="2"/>
      <c r="T11" s="2"/>
      <c r="U11" s="2"/>
      <c r="V11" s="2"/>
      <c r="W11" s="2"/>
      <c r="X11" s="2"/>
      <c r="Y11" s="2"/>
      <c r="Z11" s="2"/>
    </row>
    <row r="12" ht="13.5" customHeight="1" spans="1:26">
      <c r="A12" s="13" t="s">
        <v>49</v>
      </c>
      <c r="B12" s="13" t="s">
        <v>3479</v>
      </c>
      <c r="C12" s="13" t="s">
        <v>2583</v>
      </c>
      <c r="D12" s="57"/>
      <c r="E12" s="57"/>
      <c r="F12" s="13" t="s">
        <v>3480</v>
      </c>
      <c r="G12" s="13" t="s">
        <v>3481</v>
      </c>
      <c r="H12" s="2"/>
      <c r="I12" s="2"/>
      <c r="J12" s="2"/>
      <c r="K12" s="2"/>
      <c r="L12" s="2"/>
      <c r="M12" s="2"/>
      <c r="N12" s="2"/>
      <c r="O12" s="2"/>
      <c r="P12" s="2"/>
      <c r="Q12" s="2"/>
      <c r="R12" s="2"/>
      <c r="S12" s="2"/>
      <c r="T12" s="2"/>
      <c r="U12" s="2"/>
      <c r="V12" s="2"/>
      <c r="W12" s="2"/>
      <c r="X12" s="2"/>
      <c r="Y12" s="2"/>
      <c r="Z12" s="2"/>
    </row>
    <row r="13" ht="13.5" customHeight="1" spans="1:26">
      <c r="A13" s="135" t="s">
        <v>54</v>
      </c>
      <c r="B13" s="135" t="s">
        <v>3482</v>
      </c>
      <c r="C13" s="135" t="s">
        <v>3483</v>
      </c>
      <c r="D13" s="57"/>
      <c r="E13" s="57"/>
      <c r="F13" s="166" t="s">
        <v>3484</v>
      </c>
      <c r="G13" s="166" t="s">
        <v>3485</v>
      </c>
      <c r="H13" s="2"/>
      <c r="I13" s="2"/>
      <c r="J13" s="2"/>
      <c r="K13" s="2"/>
      <c r="L13" s="2"/>
      <c r="M13" s="2"/>
      <c r="N13" s="2"/>
      <c r="O13" s="2"/>
      <c r="P13" s="2"/>
      <c r="Q13" s="2"/>
      <c r="R13" s="2"/>
      <c r="S13" s="2"/>
      <c r="T13" s="2"/>
      <c r="U13" s="2"/>
      <c r="V13" s="2"/>
      <c r="W13" s="2"/>
      <c r="X13" s="2"/>
      <c r="Y13" s="2"/>
      <c r="Z13" s="2"/>
    </row>
    <row r="14" ht="13.5" customHeight="1" spans="1:26">
      <c r="A14" s="64" t="s">
        <v>59</v>
      </c>
      <c r="B14" s="13" t="s">
        <v>3486</v>
      </c>
      <c r="C14" s="13" t="s">
        <v>61</v>
      </c>
      <c r="D14" s="65">
        <v>13</v>
      </c>
      <c r="E14" s="13" t="s">
        <v>37</v>
      </c>
      <c r="F14" s="13" t="s">
        <v>3487</v>
      </c>
      <c r="G14" s="13" t="s">
        <v>3488</v>
      </c>
      <c r="H14" s="2"/>
      <c r="I14" s="2"/>
      <c r="J14" s="2"/>
      <c r="K14" s="2"/>
      <c r="L14" s="2"/>
      <c r="M14" s="2"/>
      <c r="N14" s="2"/>
      <c r="O14" s="2"/>
      <c r="P14" s="2"/>
      <c r="Q14" s="2"/>
      <c r="R14" s="2"/>
      <c r="S14" s="2"/>
      <c r="T14" s="2"/>
      <c r="U14" s="2"/>
      <c r="V14" s="2"/>
      <c r="W14" s="2"/>
      <c r="X14" s="2"/>
      <c r="Y14" s="2"/>
      <c r="Z14" s="2"/>
    </row>
    <row r="15" ht="13.5" customHeight="1" spans="1:26">
      <c r="A15" s="64" t="s">
        <v>64</v>
      </c>
      <c r="B15" s="13" t="s">
        <v>3489</v>
      </c>
      <c r="C15" s="13" t="s">
        <v>66</v>
      </c>
      <c r="D15" s="65">
        <v>13</v>
      </c>
      <c r="E15" s="13" t="s">
        <v>32</v>
      </c>
      <c r="F15" s="13" t="s">
        <v>3490</v>
      </c>
      <c r="G15" s="13" t="s">
        <v>3491</v>
      </c>
      <c r="H15" s="2"/>
      <c r="I15" s="2"/>
      <c r="J15" s="2"/>
      <c r="K15" s="2"/>
      <c r="L15" s="2"/>
      <c r="M15" s="2"/>
      <c r="N15" s="2"/>
      <c r="O15" s="2"/>
      <c r="P15" s="2"/>
      <c r="Q15" s="2"/>
      <c r="R15" s="2"/>
      <c r="S15" s="2"/>
      <c r="T15" s="2"/>
      <c r="U15" s="2"/>
      <c r="V15" s="2"/>
      <c r="W15" s="2"/>
      <c r="X15" s="2"/>
      <c r="Y15" s="2"/>
      <c r="Z15" s="2"/>
    </row>
    <row r="16" ht="13.5" customHeight="1" spans="1:26">
      <c r="A16" s="64" t="s">
        <v>69</v>
      </c>
      <c r="B16" s="13" t="s">
        <v>3492</v>
      </c>
      <c r="C16" s="13" t="s">
        <v>66</v>
      </c>
      <c r="D16" s="65">
        <v>12</v>
      </c>
      <c r="E16" s="13" t="s">
        <v>71</v>
      </c>
      <c r="F16" s="13" t="s">
        <v>3493</v>
      </c>
      <c r="G16" s="13" t="s">
        <v>3494</v>
      </c>
      <c r="H16" s="2"/>
      <c r="I16" s="2"/>
      <c r="J16" s="2"/>
      <c r="K16" s="2"/>
      <c r="L16" s="2"/>
      <c r="M16" s="2"/>
      <c r="N16" s="2"/>
      <c r="O16" s="2"/>
      <c r="P16" s="2"/>
      <c r="Q16" s="2"/>
      <c r="R16" s="2"/>
      <c r="S16" s="2"/>
      <c r="T16" s="2"/>
      <c r="U16" s="2"/>
      <c r="V16" s="2"/>
      <c r="W16" s="2"/>
      <c r="X16" s="2"/>
      <c r="Y16" s="2"/>
      <c r="Z16" s="2"/>
    </row>
    <row r="17" customHeight="1" spans="1:26">
      <c r="A17" s="13" t="s">
        <v>74</v>
      </c>
      <c r="B17" s="135" t="s">
        <v>3495</v>
      </c>
      <c r="C17" s="13" t="s">
        <v>76</v>
      </c>
      <c r="D17" s="57"/>
      <c r="E17" s="57"/>
      <c r="F17" s="166" t="s">
        <v>3496</v>
      </c>
      <c r="G17" s="166" t="s">
        <v>3497</v>
      </c>
      <c r="H17" s="2"/>
      <c r="I17" s="2"/>
      <c r="J17" s="2"/>
      <c r="K17" s="2"/>
      <c r="L17" s="2"/>
      <c r="M17" s="2"/>
      <c r="N17" s="2"/>
      <c r="O17" s="2"/>
      <c r="P17" s="2"/>
      <c r="Q17" s="2"/>
      <c r="R17" s="2"/>
      <c r="S17" s="2"/>
      <c r="T17" s="2"/>
      <c r="U17" s="2"/>
      <c r="V17" s="2"/>
      <c r="W17" s="2"/>
      <c r="X17" s="2"/>
      <c r="Y17" s="2"/>
      <c r="Z17" s="2"/>
    </row>
    <row r="18" customHeight="1" spans="1:26">
      <c r="A18" s="64" t="s">
        <v>79</v>
      </c>
      <c r="B18" s="135" t="s">
        <v>3498</v>
      </c>
      <c r="C18" s="135" t="s">
        <v>3498</v>
      </c>
      <c r="D18" s="65">
        <v>30</v>
      </c>
      <c r="E18" s="13" t="s">
        <v>37</v>
      </c>
      <c r="F18" s="166" t="s">
        <v>3499</v>
      </c>
      <c r="G18" s="166" t="s">
        <v>3500</v>
      </c>
      <c r="H18" s="2"/>
      <c r="I18" s="2"/>
      <c r="J18" s="2"/>
      <c r="K18" s="2"/>
      <c r="L18" s="2"/>
      <c r="M18" s="2"/>
      <c r="N18" s="2"/>
      <c r="O18" s="2"/>
      <c r="P18" s="2"/>
      <c r="Q18" s="2"/>
      <c r="R18" s="2"/>
      <c r="S18" s="2"/>
      <c r="T18" s="2"/>
      <c r="U18" s="2"/>
      <c r="V18" s="2"/>
      <c r="W18" s="2"/>
      <c r="X18" s="2"/>
      <c r="Y18" s="2"/>
      <c r="Z18" s="2"/>
    </row>
    <row r="19" ht="13.5" customHeight="1" spans="1:26">
      <c r="A19" s="13" t="s">
        <v>84</v>
      </c>
      <c r="B19" s="13" t="s">
        <v>3501</v>
      </c>
      <c r="C19" s="13" t="s">
        <v>86</v>
      </c>
      <c r="D19" s="14">
        <v>134</v>
      </c>
      <c r="E19" s="13" t="s">
        <v>21</v>
      </c>
      <c r="F19" s="13" t="s">
        <v>3502</v>
      </c>
      <c r="G19" s="13" t="s">
        <v>3503</v>
      </c>
      <c r="H19" s="2"/>
      <c r="I19" s="2"/>
      <c r="J19" s="2"/>
      <c r="K19" s="2"/>
      <c r="L19" s="2"/>
      <c r="M19" s="2"/>
      <c r="N19" s="2"/>
      <c r="O19" s="2"/>
      <c r="P19" s="2"/>
      <c r="Q19" s="2"/>
      <c r="R19" s="2"/>
      <c r="S19" s="2"/>
      <c r="T19" s="2"/>
      <c r="U19" s="2"/>
      <c r="V19" s="2"/>
      <c r="W19" s="2"/>
      <c r="X19" s="2"/>
      <c r="Y19" s="2"/>
      <c r="Z19" s="2"/>
    </row>
    <row r="20" ht="13.5" customHeight="1" spans="1:26">
      <c r="A20" s="13" t="s">
        <v>89</v>
      </c>
      <c r="B20" s="13" t="s">
        <v>3504</v>
      </c>
      <c r="C20" s="13" t="s">
        <v>91</v>
      </c>
      <c r="D20" s="57"/>
      <c r="E20" s="57"/>
      <c r="F20" s="13" t="s">
        <v>3505</v>
      </c>
      <c r="G20" s="13" t="s">
        <v>3506</v>
      </c>
      <c r="H20" s="2"/>
      <c r="I20" s="2"/>
      <c r="J20" s="2"/>
      <c r="K20" s="2"/>
      <c r="L20" s="2"/>
      <c r="M20" s="2"/>
      <c r="N20" s="2"/>
      <c r="O20" s="2"/>
      <c r="P20" s="2"/>
      <c r="Q20" s="2"/>
      <c r="R20" s="2"/>
      <c r="S20" s="2"/>
      <c r="T20" s="2"/>
      <c r="U20" s="2"/>
      <c r="V20" s="2"/>
      <c r="W20" s="2"/>
      <c r="X20" s="2"/>
      <c r="Y20" s="2"/>
      <c r="Z20" s="2"/>
    </row>
    <row r="21" ht="13.5" customHeight="1" spans="1:26">
      <c r="A21" s="64" t="s">
        <v>94</v>
      </c>
      <c r="B21" s="13" t="s">
        <v>3507</v>
      </c>
      <c r="C21" s="13" t="s">
        <v>925</v>
      </c>
      <c r="D21" s="65">
        <v>60</v>
      </c>
      <c r="E21" s="13" t="s">
        <v>71</v>
      </c>
      <c r="F21" s="13" t="s">
        <v>3508</v>
      </c>
      <c r="G21" s="13" t="s">
        <v>3509</v>
      </c>
      <c r="H21" s="2"/>
      <c r="I21" s="2"/>
      <c r="J21" s="2"/>
      <c r="K21" s="2"/>
      <c r="L21" s="2"/>
      <c r="M21" s="2"/>
      <c r="N21" s="2"/>
      <c r="O21" s="2"/>
      <c r="P21" s="2"/>
      <c r="Q21" s="2"/>
      <c r="R21" s="2"/>
      <c r="S21" s="2"/>
      <c r="T21" s="2"/>
      <c r="U21" s="2"/>
      <c r="V21" s="2"/>
      <c r="W21" s="2"/>
      <c r="X21" s="2"/>
      <c r="Y21" s="2"/>
      <c r="Z21" s="2"/>
    </row>
    <row r="22" ht="13.5" customHeight="1" spans="1:26">
      <c r="A22" s="64" t="s">
        <v>99</v>
      </c>
      <c r="B22" s="13" t="s">
        <v>928</v>
      </c>
      <c r="C22" s="13" t="s">
        <v>925</v>
      </c>
      <c r="D22" s="65">
        <v>70</v>
      </c>
      <c r="E22" s="13" t="s">
        <v>32</v>
      </c>
      <c r="F22" s="13" t="s">
        <v>3510</v>
      </c>
      <c r="G22" s="13" t="s">
        <v>3511</v>
      </c>
      <c r="H22" s="2"/>
      <c r="I22" s="2"/>
      <c r="J22" s="2"/>
      <c r="K22" s="2"/>
      <c r="L22" s="2"/>
      <c r="M22" s="2"/>
      <c r="N22" s="2"/>
      <c r="O22" s="2"/>
      <c r="P22" s="2"/>
      <c r="Q22" s="2"/>
      <c r="R22" s="2"/>
      <c r="S22" s="2"/>
      <c r="T22" s="2"/>
      <c r="U22" s="2"/>
      <c r="V22" s="2"/>
      <c r="W22" s="2"/>
      <c r="X22" s="2"/>
      <c r="Y22" s="2"/>
      <c r="Z22" s="2"/>
    </row>
    <row r="23" ht="13.5" customHeight="1" spans="1:26">
      <c r="A23" s="64" t="s">
        <v>102</v>
      </c>
      <c r="B23" s="13" t="s">
        <v>16</v>
      </c>
      <c r="C23" s="13" t="s">
        <v>108</v>
      </c>
      <c r="D23" s="65">
        <v>123</v>
      </c>
      <c r="E23" s="13" t="s">
        <v>21</v>
      </c>
      <c r="F23" s="13" t="s">
        <v>109</v>
      </c>
      <c r="G23" s="13" t="s">
        <v>3512</v>
      </c>
      <c r="H23" s="2"/>
      <c r="I23" s="2"/>
      <c r="J23" s="2"/>
      <c r="K23" s="2"/>
      <c r="L23" s="2"/>
      <c r="M23" s="2"/>
      <c r="N23" s="2"/>
      <c r="O23" s="2"/>
      <c r="P23" s="2"/>
      <c r="Q23" s="2"/>
      <c r="R23" s="2"/>
      <c r="S23" s="2"/>
      <c r="T23" s="2"/>
      <c r="U23" s="2"/>
      <c r="V23" s="2"/>
      <c r="W23" s="2"/>
      <c r="X23" s="2"/>
      <c r="Y23" s="2"/>
      <c r="Z23" s="2"/>
    </row>
    <row r="24" ht="13.5" customHeight="1" spans="1:26">
      <c r="A24" s="13" t="s">
        <v>107</v>
      </c>
      <c r="B24" s="13" t="s">
        <v>931</v>
      </c>
      <c r="C24" s="13" t="s">
        <v>104</v>
      </c>
      <c r="D24" s="57"/>
      <c r="E24" s="57"/>
      <c r="F24" s="13" t="s">
        <v>932</v>
      </c>
      <c r="G24" s="13" t="s">
        <v>3513</v>
      </c>
      <c r="H24" s="2"/>
      <c r="I24" s="2"/>
      <c r="J24" s="2"/>
      <c r="K24" s="2"/>
      <c r="L24" s="2"/>
      <c r="M24" s="2"/>
      <c r="N24" s="2"/>
      <c r="O24" s="2"/>
      <c r="P24" s="2"/>
      <c r="Q24" s="2"/>
      <c r="R24" s="2"/>
      <c r="S24" s="2"/>
      <c r="T24" s="2"/>
      <c r="U24" s="2"/>
      <c r="V24" s="2"/>
      <c r="W24" s="2"/>
      <c r="X24" s="2"/>
      <c r="Y24" s="2"/>
      <c r="Z24" s="2"/>
    </row>
    <row r="25" customHeight="1" spans="1:26">
      <c r="A25" s="13" t="s">
        <v>110</v>
      </c>
      <c r="B25" s="135" t="s">
        <v>3514</v>
      </c>
      <c r="C25" s="13" t="s">
        <v>112</v>
      </c>
      <c r="D25" s="57"/>
      <c r="E25" s="57"/>
      <c r="F25" s="166" t="s">
        <v>3515</v>
      </c>
      <c r="G25" s="166" t="s">
        <v>3516</v>
      </c>
      <c r="H25" s="2"/>
      <c r="I25" s="2"/>
      <c r="J25" s="2"/>
      <c r="K25" s="2"/>
      <c r="L25" s="2"/>
      <c r="M25" s="2"/>
      <c r="N25" s="2"/>
      <c r="O25" s="2"/>
      <c r="P25" s="2"/>
      <c r="Q25" s="2"/>
      <c r="R25" s="2"/>
      <c r="S25" s="2"/>
      <c r="T25" s="2"/>
      <c r="U25" s="2"/>
      <c r="V25" s="2"/>
      <c r="W25" s="2"/>
      <c r="X25" s="2"/>
      <c r="Y25" s="2"/>
      <c r="Z25" s="2"/>
    </row>
    <row r="26" ht="13.5" customHeight="1" spans="1:26">
      <c r="A26" s="13" t="s">
        <v>115</v>
      </c>
      <c r="B26" s="13" t="s">
        <v>3517</v>
      </c>
      <c r="C26" s="13" t="s">
        <v>117</v>
      </c>
      <c r="D26" s="65">
        <v>90</v>
      </c>
      <c r="E26" s="13" t="s">
        <v>32</v>
      </c>
      <c r="F26" s="68" t="str">
        <f>HYPERLINK("http://i.forbesimg.com/media/lists/companies/marks-spencer_416x416.jpg","http://www.plattenfest.com/sites/default/files/shared/Partner/k_weiss_4c.png")</f>
        <v>http://www.plattenfest.com/sites/default/files/shared/Partner/k_weiss_4c.png</v>
      </c>
      <c r="G26" s="68" t="str">
        <f>HYPERLINK("http://www.marksandspencer.com/","www.kaisers.de")</f>
        <v>www.kaisers.de</v>
      </c>
      <c r="H26" s="2"/>
      <c r="I26" s="2"/>
      <c r="J26" s="2"/>
      <c r="K26" s="2"/>
      <c r="L26" s="2"/>
      <c r="M26" s="2"/>
      <c r="N26" s="2"/>
      <c r="O26" s="2"/>
      <c r="P26" s="2"/>
      <c r="Q26" s="2"/>
      <c r="R26" s="2"/>
      <c r="S26" s="2"/>
      <c r="T26" s="2"/>
      <c r="U26" s="2"/>
      <c r="V26" s="2"/>
      <c r="W26" s="2"/>
      <c r="X26" s="2"/>
      <c r="Y26" s="2"/>
      <c r="Z26" s="2"/>
    </row>
    <row r="27" ht="13.5" customHeight="1" spans="1:26">
      <c r="A27" s="64" t="s">
        <v>120</v>
      </c>
      <c r="B27" s="13" t="s">
        <v>3518</v>
      </c>
      <c r="C27" s="13" t="s">
        <v>117</v>
      </c>
      <c r="D27" s="65">
        <v>60</v>
      </c>
      <c r="E27" s="13" t="s">
        <v>37</v>
      </c>
      <c r="F27" s="13" t="s">
        <v>3519</v>
      </c>
      <c r="G27" s="13" t="s">
        <v>3520</v>
      </c>
      <c r="H27" s="2"/>
      <c r="I27" s="2"/>
      <c r="J27" s="2"/>
      <c r="K27" s="2"/>
      <c r="L27" s="2"/>
      <c r="M27" s="2"/>
      <c r="N27" s="2"/>
      <c r="O27" s="2"/>
      <c r="P27" s="2"/>
      <c r="Q27" s="2"/>
      <c r="R27" s="2"/>
      <c r="S27" s="2"/>
      <c r="T27" s="2"/>
      <c r="U27" s="2"/>
      <c r="V27" s="2"/>
      <c r="W27" s="2"/>
      <c r="X27" s="2"/>
      <c r="Y27" s="2"/>
      <c r="Z27" s="2"/>
    </row>
    <row r="28" customHeight="1" spans="1:26">
      <c r="A28" s="13" t="s">
        <v>123</v>
      </c>
      <c r="B28" s="135" t="s">
        <v>942</v>
      </c>
      <c r="C28" s="13" t="s">
        <v>117</v>
      </c>
      <c r="D28" s="65">
        <v>80</v>
      </c>
      <c r="E28" s="13" t="s">
        <v>245</v>
      </c>
      <c r="F28" s="166" t="s">
        <v>3521</v>
      </c>
      <c r="G28" s="166" t="s">
        <v>3522</v>
      </c>
      <c r="H28" s="2"/>
      <c r="I28" s="2"/>
      <c r="J28" s="2"/>
      <c r="K28" s="2"/>
      <c r="L28" s="2"/>
      <c r="M28" s="2"/>
      <c r="N28" s="2"/>
      <c r="O28" s="2"/>
      <c r="P28" s="2"/>
      <c r="Q28" s="2"/>
      <c r="R28" s="2"/>
      <c r="S28" s="2"/>
      <c r="T28" s="2"/>
      <c r="U28" s="2"/>
      <c r="V28" s="2"/>
      <c r="W28" s="2"/>
      <c r="X28" s="2"/>
      <c r="Y28" s="2"/>
      <c r="Z28" s="2"/>
    </row>
    <row r="29" ht="13.5" customHeight="1" spans="1:26">
      <c r="A29" s="64" t="s">
        <v>127</v>
      </c>
      <c r="B29" s="13" t="s">
        <v>3523</v>
      </c>
      <c r="C29" s="13" t="s">
        <v>117</v>
      </c>
      <c r="D29" s="65">
        <v>50</v>
      </c>
      <c r="E29" s="13" t="s">
        <v>37</v>
      </c>
      <c r="F29" s="13" t="s">
        <v>3524</v>
      </c>
      <c r="G29" s="13" t="s">
        <v>3525</v>
      </c>
      <c r="H29" s="2"/>
      <c r="I29" s="2"/>
      <c r="J29" s="2"/>
      <c r="K29" s="2"/>
      <c r="L29" s="2"/>
      <c r="M29" s="2"/>
      <c r="N29" s="2"/>
      <c r="O29" s="2"/>
      <c r="P29" s="2"/>
      <c r="Q29" s="2"/>
      <c r="R29" s="2"/>
      <c r="S29" s="2"/>
      <c r="T29" s="2"/>
      <c r="U29" s="2"/>
      <c r="V29" s="2"/>
      <c r="W29" s="2"/>
      <c r="X29" s="2"/>
      <c r="Y29" s="2"/>
      <c r="Z29" s="2"/>
    </row>
    <row r="30" ht="13.5" customHeight="1" spans="1:26">
      <c r="A30" s="64" t="s">
        <v>131</v>
      </c>
      <c r="B30" s="13" t="s">
        <v>3526</v>
      </c>
      <c r="C30" s="13" t="s">
        <v>117</v>
      </c>
      <c r="D30" s="65">
        <v>50</v>
      </c>
      <c r="E30" s="13" t="s">
        <v>32</v>
      </c>
      <c r="F30" s="13" t="s">
        <v>3527</v>
      </c>
      <c r="G30" s="13" t="s">
        <v>3528</v>
      </c>
      <c r="H30" s="2"/>
      <c r="I30" s="2"/>
      <c r="J30" s="2"/>
      <c r="K30" s="2"/>
      <c r="L30" s="2"/>
      <c r="M30" s="2"/>
      <c r="N30" s="2"/>
      <c r="O30" s="2"/>
      <c r="P30" s="2"/>
      <c r="Q30" s="2"/>
      <c r="R30" s="2"/>
      <c r="S30" s="2"/>
      <c r="T30" s="2"/>
      <c r="U30" s="2"/>
      <c r="V30" s="2"/>
      <c r="W30" s="2"/>
      <c r="X30" s="2"/>
      <c r="Y30" s="2"/>
      <c r="Z30" s="2"/>
    </row>
    <row r="31" ht="13.5" customHeight="1" spans="1:26">
      <c r="A31" s="64" t="s">
        <v>135</v>
      </c>
      <c r="B31" s="13" t="s">
        <v>3529</v>
      </c>
      <c r="C31" s="13" t="s">
        <v>117</v>
      </c>
      <c r="D31" s="65">
        <v>30</v>
      </c>
      <c r="E31" s="13" t="s">
        <v>32</v>
      </c>
      <c r="F31" s="13" t="s">
        <v>3530</v>
      </c>
      <c r="G31" s="162" t="s">
        <v>3531</v>
      </c>
      <c r="H31" s="2"/>
      <c r="I31" s="2"/>
      <c r="J31" s="2"/>
      <c r="K31" s="2"/>
      <c r="L31" s="2"/>
      <c r="M31" s="2"/>
      <c r="N31" s="2"/>
      <c r="O31" s="2"/>
      <c r="P31" s="2"/>
      <c r="Q31" s="2"/>
      <c r="R31" s="2"/>
      <c r="S31" s="2"/>
      <c r="T31" s="2"/>
      <c r="U31" s="2"/>
      <c r="V31" s="2"/>
      <c r="W31" s="2"/>
      <c r="X31" s="2"/>
      <c r="Y31" s="2"/>
      <c r="Z31" s="2"/>
    </row>
    <row r="32" ht="13.5" customHeight="1" spans="1:26">
      <c r="A32" s="13" t="s">
        <v>139</v>
      </c>
      <c r="B32" s="13" t="s">
        <v>954</v>
      </c>
      <c r="C32" s="13" t="s">
        <v>141</v>
      </c>
      <c r="D32" s="14">
        <v>55</v>
      </c>
      <c r="E32" s="13" t="s">
        <v>37</v>
      </c>
      <c r="F32" s="13" t="s">
        <v>2132</v>
      </c>
      <c r="G32" s="13" t="s">
        <v>3502</v>
      </c>
      <c r="H32" s="2"/>
      <c r="I32" s="2"/>
      <c r="J32" s="2"/>
      <c r="K32" s="2"/>
      <c r="L32" s="2"/>
      <c r="M32" s="2"/>
      <c r="N32" s="2"/>
      <c r="O32" s="2"/>
      <c r="P32" s="2"/>
      <c r="Q32" s="2"/>
      <c r="R32" s="2"/>
      <c r="S32" s="2"/>
      <c r="T32" s="2"/>
      <c r="U32" s="2"/>
      <c r="V32" s="2"/>
      <c r="W32" s="2"/>
      <c r="X32" s="2"/>
      <c r="Y32" s="2"/>
      <c r="Z32" s="2"/>
    </row>
    <row r="33" customHeight="1" spans="1:26">
      <c r="A33" s="13" t="s">
        <v>144</v>
      </c>
      <c r="B33" s="135" t="s">
        <v>3532</v>
      </c>
      <c r="C33" s="13" t="s">
        <v>146</v>
      </c>
      <c r="D33" s="57"/>
      <c r="E33" s="57"/>
      <c r="F33" s="166" t="s">
        <v>3533</v>
      </c>
      <c r="G33" s="166" t="s">
        <v>3534</v>
      </c>
      <c r="H33" s="2"/>
      <c r="I33" s="2"/>
      <c r="J33" s="2"/>
      <c r="K33" s="2"/>
      <c r="L33" s="2"/>
      <c r="M33" s="2"/>
      <c r="N33" s="2"/>
      <c r="O33" s="2"/>
      <c r="P33" s="2"/>
      <c r="Q33" s="2"/>
      <c r="R33" s="2"/>
      <c r="S33" s="2"/>
      <c r="T33" s="2"/>
      <c r="U33" s="2"/>
      <c r="V33" s="2"/>
      <c r="W33" s="2"/>
      <c r="X33" s="2"/>
      <c r="Y33" s="2"/>
      <c r="Z33" s="2"/>
    </row>
    <row r="34" customHeight="1" spans="1:26">
      <c r="A34" s="13" t="s">
        <v>149</v>
      </c>
      <c r="B34" s="135" t="s">
        <v>3535</v>
      </c>
      <c r="C34" s="13" t="s">
        <v>151</v>
      </c>
      <c r="D34" s="57"/>
      <c r="E34" s="57"/>
      <c r="F34" s="166" t="s">
        <v>3536</v>
      </c>
      <c r="G34" s="166" t="s">
        <v>3537</v>
      </c>
      <c r="H34" s="2"/>
      <c r="I34" s="2"/>
      <c r="J34" s="2"/>
      <c r="K34" s="2"/>
      <c r="L34" s="2"/>
      <c r="M34" s="2"/>
      <c r="N34" s="2"/>
      <c r="O34" s="2"/>
      <c r="P34" s="2"/>
      <c r="Q34" s="2"/>
      <c r="R34" s="2"/>
      <c r="S34" s="2"/>
      <c r="T34" s="2"/>
      <c r="U34" s="2"/>
      <c r="V34" s="2"/>
      <c r="W34" s="2"/>
      <c r="X34" s="2"/>
      <c r="Y34" s="2"/>
      <c r="Z34" s="2"/>
    </row>
    <row r="35" ht="13.5" customHeight="1" spans="1:26">
      <c r="A35" s="64" t="s">
        <v>154</v>
      </c>
      <c r="B35" s="13" t="s">
        <v>3538</v>
      </c>
      <c r="C35" s="13" t="s">
        <v>156</v>
      </c>
      <c r="D35" s="65">
        <v>30</v>
      </c>
      <c r="E35" s="13" t="s">
        <v>37</v>
      </c>
      <c r="F35" s="13" t="s">
        <v>3539</v>
      </c>
      <c r="G35" s="13" t="s">
        <v>3540</v>
      </c>
      <c r="H35" s="2"/>
      <c r="I35" s="2"/>
      <c r="J35" s="2"/>
      <c r="K35" s="2"/>
      <c r="L35" s="2"/>
      <c r="M35" s="2"/>
      <c r="N35" s="2"/>
      <c r="O35" s="2"/>
      <c r="P35" s="2"/>
      <c r="Q35" s="2"/>
      <c r="R35" s="2"/>
      <c r="S35" s="2"/>
      <c r="T35" s="2"/>
      <c r="U35" s="2"/>
      <c r="V35" s="2"/>
      <c r="W35" s="2"/>
      <c r="X35" s="2"/>
      <c r="Y35" s="2"/>
      <c r="Z35" s="2"/>
    </row>
    <row r="36" customHeight="1" spans="1:26">
      <c r="A36" s="13" t="s">
        <v>159</v>
      </c>
      <c r="B36" s="13" t="s">
        <v>1727</v>
      </c>
      <c r="C36" s="13" t="s">
        <v>161</v>
      </c>
      <c r="D36" s="57"/>
      <c r="E36" s="57"/>
      <c r="F36" s="13" t="s">
        <v>2142</v>
      </c>
      <c r="G36" s="13" t="s">
        <v>2143</v>
      </c>
      <c r="H36" s="2"/>
      <c r="I36" s="2"/>
      <c r="J36" s="2"/>
      <c r="K36" s="2"/>
      <c r="L36" s="2"/>
      <c r="M36" s="2"/>
      <c r="N36" s="2"/>
      <c r="O36" s="2"/>
      <c r="P36" s="2"/>
      <c r="Q36" s="2"/>
      <c r="R36" s="2"/>
      <c r="S36" s="2"/>
      <c r="T36" s="2"/>
      <c r="U36" s="2"/>
      <c r="V36" s="2"/>
      <c r="W36" s="2"/>
      <c r="X36" s="2"/>
      <c r="Y36" s="2"/>
      <c r="Z36" s="2"/>
    </row>
    <row r="37" customHeight="1" spans="1:26">
      <c r="A37" s="13" t="s">
        <v>164</v>
      </c>
      <c r="B37" s="13" t="s">
        <v>1730</v>
      </c>
      <c r="C37" s="13" t="s">
        <v>166</v>
      </c>
      <c r="D37" s="57"/>
      <c r="E37" s="57"/>
      <c r="F37" s="13" t="s">
        <v>1731</v>
      </c>
      <c r="G37" s="13" t="s">
        <v>1732</v>
      </c>
      <c r="H37" s="2"/>
      <c r="I37" s="2"/>
      <c r="J37" s="2"/>
      <c r="K37" s="2"/>
      <c r="L37" s="2"/>
      <c r="M37" s="2"/>
      <c r="N37" s="2"/>
      <c r="O37" s="2"/>
      <c r="P37" s="2"/>
      <c r="Q37" s="2"/>
      <c r="R37" s="2"/>
      <c r="S37" s="2"/>
      <c r="T37" s="2"/>
      <c r="U37" s="2"/>
      <c r="V37" s="2"/>
      <c r="W37" s="2"/>
      <c r="X37" s="2"/>
      <c r="Y37" s="2"/>
      <c r="Z37" s="2"/>
    </row>
    <row r="38" ht="13.5" customHeight="1" spans="1:26">
      <c r="A38" s="64" t="s">
        <v>169</v>
      </c>
      <c r="B38" s="13" t="s">
        <v>170</v>
      </c>
      <c r="C38" s="13" t="s">
        <v>171</v>
      </c>
      <c r="D38" s="65">
        <v>46</v>
      </c>
      <c r="E38" s="13" t="s">
        <v>37</v>
      </c>
      <c r="F38" s="13" t="s">
        <v>1733</v>
      </c>
      <c r="G38" s="13" t="s">
        <v>3541</v>
      </c>
      <c r="H38" s="2"/>
      <c r="I38" s="2"/>
      <c r="J38" s="2"/>
      <c r="K38" s="2"/>
      <c r="L38" s="2"/>
      <c r="M38" s="2"/>
      <c r="N38" s="2"/>
      <c r="O38" s="2"/>
      <c r="P38" s="2"/>
      <c r="Q38" s="2"/>
      <c r="R38" s="2"/>
      <c r="S38" s="2"/>
      <c r="T38" s="2"/>
      <c r="U38" s="2"/>
      <c r="V38" s="2"/>
      <c r="W38" s="2"/>
      <c r="X38" s="2"/>
      <c r="Y38" s="2"/>
      <c r="Z38" s="2"/>
    </row>
    <row r="39" customHeight="1" spans="1:26">
      <c r="A39" s="64" t="s">
        <v>174</v>
      </c>
      <c r="B39" s="135" t="s">
        <v>972</v>
      </c>
      <c r="C39" s="13" t="s">
        <v>171</v>
      </c>
      <c r="D39" s="65">
        <v>30</v>
      </c>
      <c r="E39" s="13" t="s">
        <v>37</v>
      </c>
      <c r="F39" s="166" t="s">
        <v>3542</v>
      </c>
      <c r="G39" s="166" t="s">
        <v>3543</v>
      </c>
      <c r="H39" s="2"/>
      <c r="I39" s="2"/>
      <c r="J39" s="2"/>
      <c r="K39" s="2"/>
      <c r="L39" s="2"/>
      <c r="M39" s="2"/>
      <c r="N39" s="2"/>
      <c r="O39" s="2"/>
      <c r="P39" s="2"/>
      <c r="Q39" s="2"/>
      <c r="R39" s="2"/>
      <c r="S39" s="2"/>
      <c r="T39" s="2"/>
      <c r="U39" s="2"/>
      <c r="V39" s="2"/>
      <c r="W39" s="2"/>
      <c r="X39" s="2"/>
      <c r="Y39" s="2"/>
      <c r="Z39" s="2"/>
    </row>
    <row r="40" customHeight="1" spans="1:26">
      <c r="A40" s="64" t="s">
        <v>178</v>
      </c>
      <c r="B40" s="135" t="s">
        <v>3544</v>
      </c>
      <c r="C40" s="13" t="s">
        <v>180</v>
      </c>
      <c r="D40" s="65">
        <v>45</v>
      </c>
      <c r="E40" s="13" t="s">
        <v>37</v>
      </c>
      <c r="F40" s="167" t="s">
        <v>3545</v>
      </c>
      <c r="G40" s="166" t="s">
        <v>3546</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ht="13.5" customHeight="1" spans="1:26">
      <c r="A42" s="64" t="s">
        <v>188</v>
      </c>
      <c r="B42" s="13" t="s">
        <v>189</v>
      </c>
      <c r="C42" s="13" t="s">
        <v>190</v>
      </c>
      <c r="D42" s="65">
        <v>650</v>
      </c>
      <c r="E42" s="13" t="s">
        <v>37</v>
      </c>
      <c r="F42" s="13" t="s">
        <v>191</v>
      </c>
      <c r="G42" s="13" t="s">
        <v>3547</v>
      </c>
      <c r="H42" s="2"/>
      <c r="I42" s="2"/>
      <c r="J42" s="2"/>
      <c r="K42" s="2"/>
      <c r="L42" s="2"/>
      <c r="M42" s="2"/>
      <c r="N42" s="2"/>
      <c r="O42" s="2"/>
      <c r="P42" s="2"/>
      <c r="Q42" s="2"/>
      <c r="R42" s="2"/>
      <c r="S42" s="2"/>
      <c r="T42" s="2"/>
      <c r="U42" s="2"/>
      <c r="V42" s="2"/>
      <c r="W42" s="2"/>
      <c r="X42" s="2"/>
      <c r="Y42" s="2"/>
      <c r="Z42" s="2"/>
    </row>
    <row r="43" customHeight="1" spans="1:26">
      <c r="A43" s="13" t="s">
        <v>193</v>
      </c>
      <c r="B43" s="13" t="s">
        <v>982</v>
      </c>
      <c r="C43" s="13" t="s">
        <v>195</v>
      </c>
      <c r="D43" s="57"/>
      <c r="E43" s="57"/>
      <c r="F43" s="13" t="s">
        <v>983</v>
      </c>
      <c r="G43" s="166" t="s">
        <v>3548</v>
      </c>
      <c r="H43" s="2"/>
      <c r="I43" s="2"/>
      <c r="J43" s="2"/>
      <c r="K43" s="2"/>
      <c r="L43" s="2"/>
      <c r="M43" s="2"/>
      <c r="N43" s="2"/>
      <c r="O43" s="2"/>
      <c r="P43" s="2"/>
      <c r="Q43" s="2"/>
      <c r="R43" s="2"/>
      <c r="S43" s="2"/>
      <c r="T43" s="2"/>
      <c r="U43" s="2"/>
      <c r="V43" s="2"/>
      <c r="W43" s="2"/>
      <c r="X43" s="2"/>
      <c r="Y43" s="2"/>
      <c r="Z43" s="2"/>
    </row>
    <row r="44" ht="13.5" customHeight="1" spans="1:26">
      <c r="A44" s="64" t="s">
        <v>198</v>
      </c>
      <c r="B44" s="13" t="s">
        <v>3549</v>
      </c>
      <c r="C44" s="13" t="s">
        <v>200</v>
      </c>
      <c r="D44" s="65">
        <v>30</v>
      </c>
      <c r="E44" s="13" t="s">
        <v>21</v>
      </c>
      <c r="F44" s="13" t="s">
        <v>3550</v>
      </c>
      <c r="G44" s="13" t="s">
        <v>3551</v>
      </c>
      <c r="H44" s="2"/>
      <c r="I44" s="2"/>
      <c r="J44" s="2"/>
      <c r="K44" s="2"/>
      <c r="L44" s="2"/>
      <c r="M44" s="2"/>
      <c r="N44" s="2"/>
      <c r="O44" s="2"/>
      <c r="P44" s="2"/>
      <c r="Q44" s="2"/>
      <c r="R44" s="2"/>
      <c r="S44" s="2"/>
      <c r="T44" s="2"/>
      <c r="U44" s="2"/>
      <c r="V44" s="2"/>
      <c r="W44" s="2"/>
      <c r="X44" s="2"/>
      <c r="Y44" s="2"/>
      <c r="Z44" s="2"/>
    </row>
    <row r="45" customHeight="1" spans="1:26">
      <c r="A45" s="13" t="s">
        <v>203</v>
      </c>
      <c r="B45" s="135" t="s">
        <v>3552</v>
      </c>
      <c r="C45" s="13" t="s">
        <v>200</v>
      </c>
      <c r="D45" s="14">
        <v>80</v>
      </c>
      <c r="E45" s="13" t="s">
        <v>21</v>
      </c>
      <c r="F45" s="166" t="s">
        <v>3553</v>
      </c>
      <c r="G45" s="166" t="s">
        <v>3554</v>
      </c>
      <c r="H45" s="2"/>
      <c r="I45" s="2"/>
      <c r="J45" s="2"/>
      <c r="K45" s="2"/>
      <c r="L45" s="2"/>
      <c r="M45" s="2"/>
      <c r="N45" s="2"/>
      <c r="O45" s="2"/>
      <c r="P45" s="2"/>
      <c r="Q45" s="2"/>
      <c r="R45" s="2"/>
      <c r="S45" s="2"/>
      <c r="T45" s="2"/>
      <c r="U45" s="2"/>
      <c r="V45" s="2"/>
      <c r="W45" s="2"/>
      <c r="X45" s="2"/>
      <c r="Y45" s="2"/>
      <c r="Z45" s="2"/>
    </row>
    <row r="46" customHeight="1" spans="1:26">
      <c r="A46" s="64" t="s">
        <v>207</v>
      </c>
      <c r="B46" s="135" t="s">
        <v>3555</v>
      </c>
      <c r="C46" s="13" t="s">
        <v>209</v>
      </c>
      <c r="D46" s="65">
        <v>5</v>
      </c>
      <c r="E46" s="13" t="s">
        <v>37</v>
      </c>
      <c r="F46" s="166" t="s">
        <v>3556</v>
      </c>
      <c r="G46" s="166" t="s">
        <v>3557</v>
      </c>
      <c r="H46" s="2"/>
      <c r="I46" s="2"/>
      <c r="J46" s="2"/>
      <c r="K46" s="2"/>
      <c r="L46" s="2"/>
      <c r="M46" s="2"/>
      <c r="N46" s="2"/>
      <c r="O46" s="2"/>
      <c r="P46" s="2"/>
      <c r="Q46" s="2"/>
      <c r="R46" s="2"/>
      <c r="S46" s="2"/>
      <c r="T46" s="2"/>
      <c r="U46" s="2"/>
      <c r="V46" s="2"/>
      <c r="W46" s="2"/>
      <c r="X46" s="2"/>
      <c r="Y46" s="2"/>
      <c r="Z46" s="2"/>
    </row>
    <row r="47" ht="13.5" customHeight="1" spans="1:26">
      <c r="A47" s="13" t="s">
        <v>212</v>
      </c>
      <c r="B47" s="13" t="s">
        <v>3558</v>
      </c>
      <c r="C47" s="13" t="s">
        <v>214</v>
      </c>
      <c r="D47" s="14">
        <v>20</v>
      </c>
      <c r="E47" s="13" t="s">
        <v>37</v>
      </c>
      <c r="F47" s="13" t="s">
        <v>3559</v>
      </c>
      <c r="G47" s="13" t="s">
        <v>3560</v>
      </c>
      <c r="H47" s="2"/>
      <c r="I47" s="2"/>
      <c r="J47" s="2"/>
      <c r="K47" s="2"/>
      <c r="L47" s="2"/>
      <c r="M47" s="2"/>
      <c r="N47" s="2"/>
      <c r="O47" s="2"/>
      <c r="P47" s="2"/>
      <c r="Q47" s="2"/>
      <c r="R47" s="2"/>
      <c r="S47" s="2"/>
      <c r="T47" s="2"/>
      <c r="U47" s="2"/>
      <c r="V47" s="2"/>
      <c r="W47" s="2"/>
      <c r="X47" s="2"/>
      <c r="Y47" s="2"/>
      <c r="Z47" s="2"/>
    </row>
    <row r="48" customHeight="1" spans="1:26">
      <c r="A48" s="13" t="s">
        <v>217</v>
      </c>
      <c r="B48" s="135" t="s">
        <v>3561</v>
      </c>
      <c r="C48" s="13" t="s">
        <v>219</v>
      </c>
      <c r="D48" s="57"/>
      <c r="E48" s="57"/>
      <c r="F48" s="166" t="s">
        <v>3562</v>
      </c>
      <c r="G48" s="166" t="s">
        <v>3563</v>
      </c>
      <c r="H48" s="2"/>
      <c r="I48" s="2"/>
      <c r="J48" s="2"/>
      <c r="K48" s="2"/>
      <c r="L48" s="2"/>
      <c r="M48" s="2"/>
      <c r="N48" s="2"/>
      <c r="O48" s="2"/>
      <c r="P48" s="2"/>
      <c r="Q48" s="2"/>
      <c r="R48" s="2"/>
      <c r="S48" s="2"/>
      <c r="T48" s="2"/>
      <c r="U48" s="2"/>
      <c r="V48" s="2"/>
      <c r="W48" s="2"/>
      <c r="X48" s="2"/>
      <c r="Y48" s="2"/>
      <c r="Z48" s="2"/>
    </row>
    <row r="49" ht="13.5" customHeight="1" spans="1:26">
      <c r="A49" s="13" t="s">
        <v>3564</v>
      </c>
      <c r="B49" s="13" t="s">
        <v>3565</v>
      </c>
      <c r="C49" s="13" t="s">
        <v>3566</v>
      </c>
      <c r="D49" s="14">
        <v>66</v>
      </c>
      <c r="E49" s="13" t="s">
        <v>21</v>
      </c>
      <c r="F49" s="13" t="s">
        <v>3567</v>
      </c>
      <c r="G49" s="13" t="s">
        <v>3568</v>
      </c>
      <c r="H49" s="2"/>
      <c r="I49" s="2"/>
      <c r="J49" s="2"/>
      <c r="K49" s="2"/>
      <c r="L49" s="2"/>
      <c r="M49" s="2"/>
      <c r="N49" s="2"/>
      <c r="O49" s="2"/>
      <c r="P49" s="2"/>
      <c r="Q49" s="2"/>
      <c r="R49" s="2"/>
      <c r="S49" s="2"/>
      <c r="T49" s="2"/>
      <c r="U49" s="2"/>
      <c r="V49" s="2"/>
      <c r="W49" s="2"/>
      <c r="X49" s="2"/>
      <c r="Y49" s="2"/>
      <c r="Z49" s="2"/>
    </row>
    <row r="50" customHeight="1" spans="1:26">
      <c r="A50" s="13" t="s">
        <v>227</v>
      </c>
      <c r="B50" s="135" t="s">
        <v>3569</v>
      </c>
      <c r="C50" s="13" t="s">
        <v>229</v>
      </c>
      <c r="D50" s="14">
        <v>66</v>
      </c>
      <c r="E50" s="13" t="s">
        <v>21</v>
      </c>
      <c r="F50" s="166" t="s">
        <v>3570</v>
      </c>
      <c r="G50" s="166" t="s">
        <v>3571</v>
      </c>
      <c r="H50" s="2"/>
      <c r="I50" s="2"/>
      <c r="J50" s="2"/>
      <c r="K50" s="2"/>
      <c r="L50" s="2"/>
      <c r="M50" s="2"/>
      <c r="N50" s="2"/>
      <c r="O50" s="2"/>
      <c r="P50" s="2"/>
      <c r="Q50" s="2"/>
      <c r="R50" s="2"/>
      <c r="S50" s="2"/>
      <c r="T50" s="2"/>
      <c r="U50" s="2"/>
      <c r="V50" s="2"/>
      <c r="W50" s="2"/>
      <c r="X50" s="2"/>
      <c r="Y50" s="2"/>
      <c r="Z50" s="2"/>
    </row>
    <row r="51" ht="13.5" customHeight="1" spans="1:26">
      <c r="A51" s="135" t="s">
        <v>231</v>
      </c>
      <c r="B51" s="68" t="str">
        <f>HYPERLINK("http://www.xn--weissbr-bxa.de/","White Bear eK")</f>
        <v>White Bear eK</v>
      </c>
      <c r="C51" s="13" t="s">
        <v>3566</v>
      </c>
      <c r="D51" s="14">
        <v>156</v>
      </c>
      <c r="E51" s="13" t="s">
        <v>21</v>
      </c>
      <c r="F51" s="13" t="s">
        <v>3572</v>
      </c>
      <c r="G51" s="13" t="s">
        <v>3573</v>
      </c>
      <c r="H51" s="2"/>
      <c r="I51" s="2"/>
      <c r="J51" s="2"/>
      <c r="K51" s="2"/>
      <c r="L51" s="2"/>
      <c r="M51" s="2"/>
      <c r="N51" s="2"/>
      <c r="O51" s="2"/>
      <c r="P51" s="2"/>
      <c r="Q51" s="2"/>
      <c r="R51" s="2"/>
      <c r="S51" s="2"/>
      <c r="T51" s="2"/>
      <c r="U51" s="2"/>
      <c r="V51" s="2"/>
      <c r="W51" s="2"/>
      <c r="X51" s="2"/>
      <c r="Y51" s="2"/>
      <c r="Z51" s="2"/>
    </row>
    <row r="52" ht="13.5" customHeight="1" spans="1:26">
      <c r="A52" s="64" t="s">
        <v>234</v>
      </c>
      <c r="B52" s="13" t="s">
        <v>3574</v>
      </c>
      <c r="C52" s="13" t="s">
        <v>236</v>
      </c>
      <c r="D52" s="65">
        <v>30</v>
      </c>
      <c r="E52" s="13" t="s">
        <v>37</v>
      </c>
      <c r="F52" s="13" t="s">
        <v>3575</v>
      </c>
      <c r="G52" s="13" t="s">
        <v>3576</v>
      </c>
      <c r="H52" s="2"/>
      <c r="I52" s="2"/>
      <c r="J52" s="2"/>
      <c r="K52" s="2"/>
      <c r="L52" s="2"/>
      <c r="M52" s="2"/>
      <c r="N52" s="2"/>
      <c r="O52" s="2"/>
      <c r="P52" s="2"/>
      <c r="Q52" s="2"/>
      <c r="R52" s="2"/>
      <c r="S52" s="2"/>
      <c r="T52" s="2"/>
      <c r="U52" s="2"/>
      <c r="V52" s="2"/>
      <c r="W52" s="2"/>
      <c r="X52" s="2"/>
      <c r="Y52" s="2"/>
      <c r="Z52" s="2"/>
    </row>
    <row r="53" customHeight="1" spans="1:26">
      <c r="A53" s="13" t="s">
        <v>239</v>
      </c>
      <c r="B53" s="135" t="s">
        <v>3577</v>
      </c>
      <c r="C53" s="13" t="s">
        <v>236</v>
      </c>
      <c r="D53" s="14">
        <v>230</v>
      </c>
      <c r="E53" s="13" t="s">
        <v>21</v>
      </c>
      <c r="F53" s="166" t="s">
        <v>3578</v>
      </c>
      <c r="G53" s="166" t="s">
        <v>3579</v>
      </c>
      <c r="H53" s="2"/>
      <c r="I53" s="2"/>
      <c r="J53" s="2"/>
      <c r="K53" s="2"/>
      <c r="L53" s="2"/>
      <c r="M53" s="2"/>
      <c r="N53" s="2"/>
      <c r="O53" s="2"/>
      <c r="P53" s="2"/>
      <c r="Q53" s="2"/>
      <c r="R53" s="2"/>
      <c r="S53" s="2"/>
      <c r="T53" s="2"/>
      <c r="U53" s="2"/>
      <c r="V53" s="2"/>
      <c r="W53" s="2"/>
      <c r="X53" s="2"/>
      <c r="Y53" s="2"/>
      <c r="Z53" s="2"/>
    </row>
    <row r="54" customHeight="1" spans="1:26">
      <c r="A54" s="13" t="s">
        <v>243</v>
      </c>
      <c r="B54" s="135" t="s">
        <v>3580</v>
      </c>
      <c r="C54" s="13" t="s">
        <v>236</v>
      </c>
      <c r="D54" s="14">
        <v>100</v>
      </c>
      <c r="E54" s="13" t="s">
        <v>245</v>
      </c>
      <c r="F54" s="167" t="s">
        <v>3581</v>
      </c>
      <c r="G54" s="167" t="s">
        <v>3582</v>
      </c>
      <c r="H54" s="2"/>
      <c r="I54" s="2"/>
      <c r="J54" s="2"/>
      <c r="K54" s="2"/>
      <c r="L54" s="2"/>
      <c r="M54" s="2"/>
      <c r="N54" s="2"/>
      <c r="O54" s="2"/>
      <c r="P54" s="2"/>
      <c r="Q54" s="2"/>
      <c r="R54" s="2"/>
      <c r="S54" s="2"/>
      <c r="T54" s="2"/>
      <c r="U54" s="2"/>
      <c r="V54" s="2"/>
      <c r="W54" s="2"/>
      <c r="X54" s="2"/>
      <c r="Y54" s="2"/>
      <c r="Z54" s="2"/>
    </row>
    <row r="55" customHeight="1" spans="1:26">
      <c r="A55" s="13" t="s">
        <v>248</v>
      </c>
      <c r="B55" s="135" t="s">
        <v>3583</v>
      </c>
      <c r="C55" s="13" t="s">
        <v>236</v>
      </c>
      <c r="D55" s="14">
        <v>100</v>
      </c>
      <c r="E55" s="13" t="s">
        <v>245</v>
      </c>
      <c r="F55" s="167" t="s">
        <v>3584</v>
      </c>
      <c r="G55" s="167" t="s">
        <v>3585</v>
      </c>
      <c r="H55" s="2"/>
      <c r="I55" s="2"/>
      <c r="J55" s="2"/>
      <c r="K55" s="2"/>
      <c r="L55" s="2"/>
      <c r="M55" s="2"/>
      <c r="N55" s="2"/>
      <c r="O55" s="2"/>
      <c r="P55" s="2"/>
      <c r="Q55" s="2"/>
      <c r="R55" s="2"/>
      <c r="S55" s="2"/>
      <c r="T55" s="2"/>
      <c r="U55" s="2"/>
      <c r="V55" s="2"/>
      <c r="W55" s="2"/>
      <c r="X55" s="2"/>
      <c r="Y55" s="2"/>
      <c r="Z55" s="2"/>
    </row>
    <row r="56" ht="13.5" customHeight="1" spans="1:26">
      <c r="A56" s="64" t="s">
        <v>252</v>
      </c>
      <c r="B56" s="13" t="s">
        <v>3586</v>
      </c>
      <c r="C56" s="13" t="s">
        <v>236</v>
      </c>
      <c r="D56" s="65">
        <v>35</v>
      </c>
      <c r="E56" s="13" t="s">
        <v>37</v>
      </c>
      <c r="F56" s="13" t="s">
        <v>3587</v>
      </c>
      <c r="G56" s="13" t="s">
        <v>3588</v>
      </c>
      <c r="H56" s="2"/>
      <c r="I56" s="2"/>
      <c r="J56" s="2"/>
      <c r="K56" s="2"/>
      <c r="L56" s="2"/>
      <c r="M56" s="2"/>
      <c r="N56" s="2"/>
      <c r="O56" s="2"/>
      <c r="P56" s="2"/>
      <c r="Q56" s="2"/>
      <c r="R56" s="2"/>
      <c r="S56" s="2"/>
      <c r="T56" s="2"/>
      <c r="U56" s="2"/>
      <c r="V56" s="2"/>
      <c r="W56" s="2"/>
      <c r="X56" s="2"/>
      <c r="Y56" s="2"/>
      <c r="Z56" s="2"/>
    </row>
    <row r="57" ht="13.5" customHeight="1" spans="1:26">
      <c r="A57" s="64" t="s">
        <v>256</v>
      </c>
      <c r="B57" s="13" t="s">
        <v>3589</v>
      </c>
      <c r="C57" s="13" t="s">
        <v>236</v>
      </c>
      <c r="D57" s="65">
        <v>40</v>
      </c>
      <c r="E57" s="13" t="s">
        <v>37</v>
      </c>
      <c r="F57" s="13" t="s">
        <v>3590</v>
      </c>
      <c r="G57" s="13" t="s">
        <v>3591</v>
      </c>
      <c r="H57" s="2"/>
      <c r="I57" s="2"/>
      <c r="J57" s="2"/>
      <c r="K57" s="2"/>
      <c r="L57" s="2"/>
      <c r="M57" s="2"/>
      <c r="N57" s="2"/>
      <c r="O57" s="2"/>
      <c r="P57" s="2"/>
      <c r="Q57" s="2"/>
      <c r="R57" s="2"/>
      <c r="S57" s="2"/>
      <c r="T57" s="2"/>
      <c r="U57" s="2"/>
      <c r="V57" s="2"/>
      <c r="W57" s="2"/>
      <c r="X57" s="2"/>
      <c r="Y57" s="2"/>
      <c r="Z57" s="2"/>
    </row>
    <row r="58" ht="13.5" customHeight="1" spans="1:26">
      <c r="A58" s="64" t="s">
        <v>260</v>
      </c>
      <c r="B58" s="13" t="s">
        <v>261</v>
      </c>
      <c r="C58" s="13" t="s">
        <v>236</v>
      </c>
      <c r="D58" s="65">
        <v>8</v>
      </c>
      <c r="E58" s="13" t="s">
        <v>262</v>
      </c>
      <c r="F58" s="13" t="s">
        <v>263</v>
      </c>
      <c r="G58" s="13" t="s">
        <v>3592</v>
      </c>
      <c r="H58" s="2"/>
      <c r="I58" s="2"/>
      <c r="J58" s="2"/>
      <c r="K58" s="2"/>
      <c r="L58" s="2"/>
      <c r="M58" s="2"/>
      <c r="N58" s="2"/>
      <c r="O58" s="2"/>
      <c r="P58" s="2"/>
      <c r="Q58" s="2"/>
      <c r="R58" s="2"/>
      <c r="S58" s="2"/>
      <c r="T58" s="2"/>
      <c r="U58" s="2"/>
      <c r="V58" s="2"/>
      <c r="W58" s="2"/>
      <c r="X58" s="2"/>
      <c r="Y58" s="2"/>
      <c r="Z58" s="2"/>
    </row>
    <row r="59" ht="13.5" customHeight="1" spans="1:26">
      <c r="A59" s="64" t="s">
        <v>265</v>
      </c>
      <c r="B59" s="13" t="s">
        <v>3593</v>
      </c>
      <c r="C59" s="13" t="s">
        <v>236</v>
      </c>
      <c r="D59" s="65">
        <v>30</v>
      </c>
      <c r="E59" s="13" t="s">
        <v>37</v>
      </c>
      <c r="F59" s="13" t="s">
        <v>3594</v>
      </c>
      <c r="G59" s="13" t="s">
        <v>3595</v>
      </c>
      <c r="H59" s="2"/>
      <c r="I59" s="2"/>
      <c r="J59" s="2"/>
      <c r="K59" s="2"/>
      <c r="L59" s="2"/>
      <c r="M59" s="2"/>
      <c r="N59" s="2"/>
      <c r="O59" s="2"/>
      <c r="P59" s="2"/>
      <c r="Q59" s="2"/>
      <c r="R59" s="2"/>
      <c r="S59" s="2"/>
      <c r="T59" s="2"/>
      <c r="U59" s="2"/>
      <c r="V59" s="2"/>
      <c r="W59" s="2"/>
      <c r="X59" s="2"/>
      <c r="Y59" s="2"/>
      <c r="Z59" s="2"/>
    </row>
    <row r="60" ht="13.5" customHeight="1" spans="1:26">
      <c r="A60" s="64" t="s">
        <v>269</v>
      </c>
      <c r="B60" s="13" t="s">
        <v>270</v>
      </c>
      <c r="C60" s="13" t="s">
        <v>236</v>
      </c>
      <c r="D60" s="65">
        <v>35</v>
      </c>
      <c r="E60" s="13" t="s">
        <v>37</v>
      </c>
      <c r="F60" s="13" t="s">
        <v>271</v>
      </c>
      <c r="G60" s="13" t="s">
        <v>2185</v>
      </c>
      <c r="H60" s="2"/>
      <c r="I60" s="2"/>
      <c r="J60" s="2"/>
      <c r="K60" s="2"/>
      <c r="L60" s="2"/>
      <c r="M60" s="2"/>
      <c r="N60" s="2"/>
      <c r="O60" s="2"/>
      <c r="P60" s="2"/>
      <c r="Q60" s="2"/>
      <c r="R60" s="2"/>
      <c r="S60" s="2"/>
      <c r="T60" s="2"/>
      <c r="U60" s="2"/>
      <c r="V60" s="2"/>
      <c r="W60" s="2"/>
      <c r="X60" s="2"/>
      <c r="Y60" s="2"/>
      <c r="Z60" s="2"/>
    </row>
    <row r="61" ht="13.5" customHeight="1" spans="1:26">
      <c r="A61" s="64" t="s">
        <v>273</v>
      </c>
      <c r="B61" s="13" t="s">
        <v>274</v>
      </c>
      <c r="C61" s="13" t="s">
        <v>236</v>
      </c>
      <c r="D61" s="65">
        <v>30</v>
      </c>
      <c r="E61" s="13" t="s">
        <v>32</v>
      </c>
      <c r="F61" s="13" t="s">
        <v>275</v>
      </c>
      <c r="G61" s="13" t="s">
        <v>3596</v>
      </c>
      <c r="H61" s="2"/>
      <c r="I61" s="2"/>
      <c r="J61" s="2"/>
      <c r="K61" s="2"/>
      <c r="L61" s="2"/>
      <c r="M61" s="2"/>
      <c r="N61" s="2"/>
      <c r="O61" s="2"/>
      <c r="P61" s="2"/>
      <c r="Q61" s="2"/>
      <c r="R61" s="2"/>
      <c r="S61" s="2"/>
      <c r="T61" s="2"/>
      <c r="U61" s="2"/>
      <c r="V61" s="2"/>
      <c r="W61" s="2"/>
      <c r="X61" s="2"/>
      <c r="Y61" s="2"/>
      <c r="Z61" s="2"/>
    </row>
    <row r="62" ht="13.5" customHeight="1" spans="1:26">
      <c r="A62" s="64" t="s">
        <v>277</v>
      </c>
      <c r="B62" s="13" t="s">
        <v>3597</v>
      </c>
      <c r="C62" s="13" t="s">
        <v>236</v>
      </c>
      <c r="D62" s="65">
        <v>37</v>
      </c>
      <c r="E62" s="13" t="s">
        <v>37</v>
      </c>
      <c r="F62" s="13" t="s">
        <v>3598</v>
      </c>
      <c r="G62" s="13" t="s">
        <v>3599</v>
      </c>
      <c r="H62" s="2"/>
      <c r="I62" s="2"/>
      <c r="J62" s="2"/>
      <c r="K62" s="2"/>
      <c r="L62" s="2"/>
      <c r="M62" s="2"/>
      <c r="N62" s="2"/>
      <c r="O62" s="2"/>
      <c r="P62" s="2"/>
      <c r="Q62" s="2"/>
      <c r="R62" s="2"/>
      <c r="S62" s="2"/>
      <c r="T62" s="2"/>
      <c r="U62" s="2"/>
      <c r="V62" s="2"/>
      <c r="W62" s="2"/>
      <c r="X62" s="2"/>
      <c r="Y62" s="2"/>
      <c r="Z62" s="2"/>
    </row>
    <row r="63" ht="13.5" customHeight="1" spans="1:26">
      <c r="A63" s="64" t="s">
        <v>281</v>
      </c>
      <c r="B63" s="13" t="s">
        <v>3600</v>
      </c>
      <c r="C63" s="13" t="s">
        <v>236</v>
      </c>
      <c r="D63" s="65">
        <v>40</v>
      </c>
      <c r="E63" s="13" t="s">
        <v>37</v>
      </c>
      <c r="F63" s="13" t="s">
        <v>3601</v>
      </c>
      <c r="G63" s="13" t="s">
        <v>3602</v>
      </c>
      <c r="H63" s="2"/>
      <c r="I63" s="2"/>
      <c r="J63" s="2"/>
      <c r="K63" s="2"/>
      <c r="L63" s="2"/>
      <c r="M63" s="2"/>
      <c r="N63" s="2"/>
      <c r="O63" s="2"/>
      <c r="P63" s="2"/>
      <c r="Q63" s="2"/>
      <c r="R63" s="2"/>
      <c r="S63" s="2"/>
      <c r="T63" s="2"/>
      <c r="U63" s="2"/>
      <c r="V63" s="2"/>
      <c r="W63" s="2"/>
      <c r="X63" s="2"/>
      <c r="Y63" s="2"/>
      <c r="Z63" s="2"/>
    </row>
    <row r="64" customHeight="1" spans="1:26">
      <c r="A64" s="13" t="s">
        <v>285</v>
      </c>
      <c r="B64" s="135" t="s">
        <v>3603</v>
      </c>
      <c r="C64" s="13" t="s">
        <v>286</v>
      </c>
      <c r="D64" s="14">
        <v>35</v>
      </c>
      <c r="E64" s="13" t="s">
        <v>37</v>
      </c>
      <c r="F64" s="166" t="s">
        <v>3604</v>
      </c>
      <c r="G64" s="166" t="s">
        <v>3605</v>
      </c>
      <c r="H64" s="2"/>
      <c r="I64" s="2"/>
      <c r="J64" s="2"/>
      <c r="K64" s="2"/>
      <c r="L64" s="2"/>
      <c r="M64" s="2"/>
      <c r="N64" s="2"/>
      <c r="O64" s="2"/>
      <c r="P64" s="2"/>
      <c r="Q64" s="2"/>
      <c r="R64" s="2"/>
      <c r="S64" s="2"/>
      <c r="T64" s="2"/>
      <c r="U64" s="2"/>
      <c r="V64" s="2"/>
      <c r="W64" s="2"/>
      <c r="X64" s="2"/>
      <c r="Y64" s="2"/>
      <c r="Z64" s="2"/>
    </row>
    <row r="65" ht="13.5" customHeight="1" spans="1:26">
      <c r="A65" s="64" t="s">
        <v>288</v>
      </c>
      <c r="B65" s="13" t="s">
        <v>3606</v>
      </c>
      <c r="C65" s="13" t="s">
        <v>290</v>
      </c>
      <c r="D65" s="65">
        <v>300</v>
      </c>
      <c r="E65" s="13" t="s">
        <v>37</v>
      </c>
      <c r="F65" s="13" t="s">
        <v>3607</v>
      </c>
      <c r="G65" s="13" t="s">
        <v>3608</v>
      </c>
      <c r="H65" s="2"/>
      <c r="I65" s="2"/>
      <c r="J65" s="2"/>
      <c r="K65" s="2"/>
      <c r="L65" s="2"/>
      <c r="M65" s="2"/>
      <c r="N65" s="2"/>
      <c r="O65" s="2"/>
      <c r="P65" s="2"/>
      <c r="Q65" s="2"/>
      <c r="R65" s="2"/>
      <c r="S65" s="2"/>
      <c r="T65" s="2"/>
      <c r="U65" s="2"/>
      <c r="V65" s="2"/>
      <c r="W65" s="2"/>
      <c r="X65" s="2"/>
      <c r="Y65" s="2"/>
      <c r="Z65" s="2"/>
    </row>
    <row r="66" ht="13.5" customHeight="1" spans="1:26">
      <c r="A66" s="64" t="s">
        <v>293</v>
      </c>
      <c r="B66" s="13" t="s">
        <v>3609</v>
      </c>
      <c r="C66" s="13" t="s">
        <v>290</v>
      </c>
      <c r="D66" s="65">
        <v>35</v>
      </c>
      <c r="E66" s="13" t="s">
        <v>37</v>
      </c>
      <c r="F66" s="13" t="s">
        <v>3610</v>
      </c>
      <c r="G66" s="13" t="s">
        <v>3611</v>
      </c>
      <c r="H66" s="2"/>
      <c r="I66" s="2"/>
      <c r="J66" s="2"/>
      <c r="K66" s="2"/>
      <c r="L66" s="2"/>
      <c r="M66" s="2"/>
      <c r="N66" s="2"/>
      <c r="O66" s="2"/>
      <c r="P66" s="2"/>
      <c r="Q66" s="2"/>
      <c r="R66" s="2"/>
      <c r="S66" s="2"/>
      <c r="T66" s="2"/>
      <c r="U66" s="2"/>
      <c r="V66" s="2"/>
      <c r="W66" s="2"/>
      <c r="X66" s="2"/>
      <c r="Y66" s="2"/>
      <c r="Z66" s="2"/>
    </row>
    <row r="67" ht="13.5" customHeight="1" spans="1:26">
      <c r="A67" s="13" t="s">
        <v>297</v>
      </c>
      <c r="B67" s="13" t="s">
        <v>3612</v>
      </c>
      <c r="C67" s="13" t="s">
        <v>1807</v>
      </c>
      <c r="D67" s="14">
        <v>1000</v>
      </c>
      <c r="E67" s="13" t="s">
        <v>37</v>
      </c>
      <c r="F67" s="13" t="s">
        <v>3613</v>
      </c>
      <c r="G67" s="13" t="s">
        <v>3614</v>
      </c>
      <c r="H67" s="2"/>
      <c r="I67" s="2"/>
      <c r="J67" s="2"/>
      <c r="K67" s="2"/>
      <c r="L67" s="2"/>
      <c r="M67" s="2"/>
      <c r="N67" s="2"/>
      <c r="O67" s="2"/>
      <c r="P67" s="2"/>
      <c r="Q67" s="2"/>
      <c r="R67" s="2"/>
      <c r="S67" s="2"/>
      <c r="T67" s="2"/>
      <c r="U67" s="2"/>
      <c r="V67" s="2"/>
      <c r="W67" s="2"/>
      <c r="X67" s="2"/>
      <c r="Y67" s="2"/>
      <c r="Z67" s="2"/>
    </row>
    <row r="68" customHeight="1" spans="1:26">
      <c r="A68" s="13" t="s">
        <v>302</v>
      </c>
      <c r="B68" s="13" t="s">
        <v>303</v>
      </c>
      <c r="C68" s="13" t="s">
        <v>304</v>
      </c>
      <c r="D68" s="57"/>
      <c r="E68" s="57"/>
      <c r="F68" s="13" t="s">
        <v>305</v>
      </c>
      <c r="G68" s="13" t="s">
        <v>306</v>
      </c>
      <c r="H68" s="2"/>
      <c r="I68" s="2"/>
      <c r="J68" s="2"/>
      <c r="K68" s="2"/>
      <c r="L68" s="2"/>
      <c r="M68" s="2"/>
      <c r="N68" s="2"/>
      <c r="O68" s="2"/>
      <c r="P68" s="2"/>
      <c r="Q68" s="2"/>
      <c r="R68" s="2"/>
      <c r="S68" s="2"/>
      <c r="T68" s="2"/>
      <c r="U68" s="2"/>
      <c r="V68" s="2"/>
      <c r="W68" s="2"/>
      <c r="X68" s="2"/>
      <c r="Y68" s="2"/>
      <c r="Z68" s="2"/>
    </row>
    <row r="69" ht="13.5" customHeight="1" spans="1:26">
      <c r="A69" s="70" t="s">
        <v>307</v>
      </c>
      <c r="B69" s="13" t="s">
        <v>308</v>
      </c>
      <c r="C69" s="13" t="s">
        <v>309</v>
      </c>
      <c r="D69" s="14">
        <v>45</v>
      </c>
      <c r="E69" s="13" t="s">
        <v>310</v>
      </c>
      <c r="F69" s="13" t="s">
        <v>311</v>
      </c>
      <c r="G69" s="13" t="s">
        <v>3615</v>
      </c>
      <c r="H69" s="2"/>
      <c r="I69" s="2"/>
      <c r="J69" s="2"/>
      <c r="K69" s="2"/>
      <c r="L69" s="2"/>
      <c r="M69" s="2"/>
      <c r="N69" s="2"/>
      <c r="O69" s="2"/>
      <c r="P69" s="2"/>
      <c r="Q69" s="2"/>
      <c r="R69" s="2"/>
      <c r="S69" s="2"/>
      <c r="T69" s="2"/>
      <c r="U69" s="2"/>
      <c r="V69" s="2"/>
      <c r="W69" s="2"/>
      <c r="X69" s="2"/>
      <c r="Y69" s="2"/>
      <c r="Z69" s="2"/>
    </row>
    <row r="70" customHeight="1" spans="1:26">
      <c r="A70" s="13" t="s">
        <v>313</v>
      </c>
      <c r="B70" s="13" t="s">
        <v>314</v>
      </c>
      <c r="C70" s="13" t="s">
        <v>315</v>
      </c>
      <c r="D70" s="65">
        <v>90</v>
      </c>
      <c r="E70" s="13" t="s">
        <v>32</v>
      </c>
      <c r="F70" s="73" t="s">
        <v>316</v>
      </c>
      <c r="G70" s="166" t="s">
        <v>3616</v>
      </c>
      <c r="H70" s="2"/>
      <c r="I70" s="2"/>
      <c r="J70" s="2"/>
      <c r="K70" s="2"/>
      <c r="L70" s="2"/>
      <c r="M70" s="2"/>
      <c r="N70" s="2"/>
      <c r="O70" s="2"/>
      <c r="P70" s="2"/>
      <c r="Q70" s="2"/>
      <c r="R70" s="2"/>
      <c r="S70" s="2"/>
      <c r="T70" s="2"/>
      <c r="U70" s="2"/>
      <c r="V70" s="2"/>
      <c r="W70" s="2"/>
      <c r="X70" s="2"/>
      <c r="Y70" s="2"/>
      <c r="Z70" s="2"/>
    </row>
    <row r="71" ht="13.5" customHeight="1" spans="1:26">
      <c r="A71" s="13" t="s">
        <v>317</v>
      </c>
      <c r="B71" s="13" t="s">
        <v>3617</v>
      </c>
      <c r="C71" s="13" t="s">
        <v>319</v>
      </c>
      <c r="D71" s="65">
        <v>400</v>
      </c>
      <c r="E71" s="13" t="s">
        <v>245</v>
      </c>
      <c r="F71" s="13" t="s">
        <v>3618</v>
      </c>
      <c r="G71" s="13" t="s">
        <v>3619</v>
      </c>
      <c r="H71" s="2"/>
      <c r="I71" s="2"/>
      <c r="J71" s="2"/>
      <c r="K71" s="2"/>
      <c r="L71" s="2"/>
      <c r="M71" s="2"/>
      <c r="N71" s="2"/>
      <c r="O71" s="2"/>
      <c r="P71" s="2"/>
      <c r="Q71" s="2"/>
      <c r="R71" s="2"/>
      <c r="S71" s="2"/>
      <c r="T71" s="2"/>
      <c r="U71" s="2"/>
      <c r="V71" s="2"/>
      <c r="W71" s="2"/>
      <c r="X71" s="2"/>
      <c r="Y71" s="2"/>
      <c r="Z71" s="2"/>
    </row>
    <row r="72" ht="13.5" customHeight="1" spans="1:26">
      <c r="A72" s="64" t="s">
        <v>321</v>
      </c>
      <c r="B72" s="13" t="s">
        <v>3620</v>
      </c>
      <c r="C72" s="13" t="s">
        <v>3621</v>
      </c>
      <c r="D72" s="65">
        <v>13</v>
      </c>
      <c r="E72" s="13" t="s">
        <v>262</v>
      </c>
      <c r="F72" s="13" t="s">
        <v>3622</v>
      </c>
      <c r="G72" s="13" t="s">
        <v>3623</v>
      </c>
      <c r="H72" s="2"/>
      <c r="I72" s="2"/>
      <c r="J72" s="2"/>
      <c r="K72" s="2"/>
      <c r="L72" s="2"/>
      <c r="M72" s="2"/>
      <c r="N72" s="2"/>
      <c r="O72" s="2"/>
      <c r="P72" s="2"/>
      <c r="Q72" s="2"/>
      <c r="R72" s="2"/>
      <c r="S72" s="2"/>
      <c r="T72" s="2"/>
      <c r="U72" s="2"/>
      <c r="V72" s="2"/>
      <c r="W72" s="2"/>
      <c r="X72" s="2"/>
      <c r="Y72" s="2"/>
      <c r="Z72" s="2"/>
    </row>
    <row r="73" ht="13.5" customHeight="1" spans="1:26">
      <c r="A73" s="13" t="s">
        <v>325</v>
      </c>
      <c r="B73" s="13" t="s">
        <v>3624</v>
      </c>
      <c r="C73" s="13" t="s">
        <v>327</v>
      </c>
      <c r="D73" s="14">
        <v>25</v>
      </c>
      <c r="E73" s="13" t="s">
        <v>310</v>
      </c>
      <c r="F73" s="13" t="s">
        <v>3625</v>
      </c>
      <c r="G73" s="13" t="s">
        <v>3626</v>
      </c>
      <c r="H73" s="2"/>
      <c r="I73" s="2"/>
      <c r="J73" s="2"/>
      <c r="K73" s="2"/>
      <c r="L73" s="2"/>
      <c r="M73" s="2"/>
      <c r="N73" s="2"/>
      <c r="O73" s="2"/>
      <c r="P73" s="2"/>
      <c r="Q73" s="2"/>
      <c r="R73" s="2"/>
      <c r="S73" s="2"/>
      <c r="T73" s="2"/>
      <c r="U73" s="2"/>
      <c r="V73" s="2"/>
      <c r="W73" s="2"/>
      <c r="X73" s="2"/>
      <c r="Y73" s="2"/>
      <c r="Z73" s="2"/>
    </row>
    <row r="74" ht="13.5" customHeight="1" spans="1:26">
      <c r="A74" s="64" t="s">
        <v>330</v>
      </c>
      <c r="B74" s="13" t="s">
        <v>3627</v>
      </c>
      <c r="C74" s="13" t="s">
        <v>315</v>
      </c>
      <c r="D74" s="65">
        <v>125</v>
      </c>
      <c r="E74" s="13" t="s">
        <v>262</v>
      </c>
      <c r="F74" s="13" t="s">
        <v>3628</v>
      </c>
      <c r="G74" s="13" t="s">
        <v>3629</v>
      </c>
      <c r="H74" s="2"/>
      <c r="I74" s="2"/>
      <c r="J74" s="2"/>
      <c r="K74" s="2"/>
      <c r="L74" s="2"/>
      <c r="M74" s="2"/>
      <c r="N74" s="2"/>
      <c r="O74" s="2"/>
      <c r="P74" s="2"/>
      <c r="Q74" s="2"/>
      <c r="R74" s="2"/>
      <c r="S74" s="2"/>
      <c r="T74" s="2"/>
      <c r="U74" s="2"/>
      <c r="V74" s="2"/>
      <c r="W74" s="2"/>
      <c r="X74" s="2"/>
      <c r="Y74" s="2"/>
      <c r="Z74" s="2"/>
    </row>
    <row r="75" ht="13.5" customHeight="1" spans="1:26">
      <c r="A75" s="64" t="s">
        <v>334</v>
      </c>
      <c r="B75" s="13" t="s">
        <v>3630</v>
      </c>
      <c r="C75" s="13" t="s">
        <v>315</v>
      </c>
      <c r="D75" s="65">
        <v>45</v>
      </c>
      <c r="E75" s="13" t="s">
        <v>262</v>
      </c>
      <c r="F75" s="13" t="s">
        <v>3631</v>
      </c>
      <c r="G75" s="13" t="s">
        <v>3632</v>
      </c>
      <c r="H75" s="2"/>
      <c r="I75" s="2"/>
      <c r="J75" s="2"/>
      <c r="K75" s="2"/>
      <c r="L75" s="2"/>
      <c r="M75" s="2"/>
      <c r="N75" s="2"/>
      <c r="O75" s="2"/>
      <c r="P75" s="2"/>
      <c r="Q75" s="2"/>
      <c r="R75" s="2"/>
      <c r="S75" s="2"/>
      <c r="T75" s="2"/>
      <c r="U75" s="2"/>
      <c r="V75" s="2"/>
      <c r="W75" s="2"/>
      <c r="X75" s="2"/>
      <c r="Y75" s="2"/>
      <c r="Z75" s="2"/>
    </row>
    <row r="76" ht="13.5" customHeight="1" spans="1:26">
      <c r="A76" s="64" t="s">
        <v>338</v>
      </c>
      <c r="B76" s="13" t="s">
        <v>347</v>
      </c>
      <c r="C76" s="13" t="s">
        <v>315</v>
      </c>
      <c r="D76" s="65">
        <v>55</v>
      </c>
      <c r="E76" s="13" t="s">
        <v>37</v>
      </c>
      <c r="F76" s="13" t="s">
        <v>348</v>
      </c>
      <c r="G76" s="74" t="s">
        <v>3633</v>
      </c>
      <c r="H76" s="2"/>
      <c r="I76" s="2"/>
      <c r="J76" s="2"/>
      <c r="K76" s="2"/>
      <c r="L76" s="2"/>
      <c r="M76" s="2"/>
      <c r="N76" s="2"/>
      <c r="O76" s="2"/>
      <c r="P76" s="2"/>
      <c r="Q76" s="2"/>
      <c r="R76" s="2"/>
      <c r="S76" s="2"/>
      <c r="T76" s="2"/>
      <c r="U76" s="2"/>
      <c r="V76" s="2"/>
      <c r="W76" s="2"/>
      <c r="X76" s="2"/>
      <c r="Y76" s="2"/>
      <c r="Z76" s="2"/>
    </row>
    <row r="77" ht="13.5" customHeight="1" spans="1:26">
      <c r="A77" s="64" t="s">
        <v>342</v>
      </c>
      <c r="B77" s="13" t="s">
        <v>3634</v>
      </c>
      <c r="C77" s="13" t="s">
        <v>315</v>
      </c>
      <c r="D77" s="65">
        <v>50</v>
      </c>
      <c r="E77" s="13" t="s">
        <v>37</v>
      </c>
      <c r="F77" s="13" t="s">
        <v>3635</v>
      </c>
      <c r="G77" s="13" t="s">
        <v>3636</v>
      </c>
      <c r="H77" s="2"/>
      <c r="I77" s="2"/>
      <c r="J77" s="2"/>
      <c r="K77" s="2"/>
      <c r="L77" s="2"/>
      <c r="M77" s="2"/>
      <c r="N77" s="2"/>
      <c r="O77" s="2"/>
      <c r="P77" s="2"/>
      <c r="Q77" s="2"/>
      <c r="R77" s="2"/>
      <c r="S77" s="2"/>
      <c r="T77" s="2"/>
      <c r="U77" s="2"/>
      <c r="V77" s="2"/>
      <c r="W77" s="2"/>
      <c r="X77" s="2"/>
      <c r="Y77" s="2"/>
      <c r="Z77" s="2"/>
    </row>
    <row r="78" ht="13.5" customHeight="1" spans="1:26">
      <c r="A78" s="64" t="s">
        <v>346</v>
      </c>
      <c r="B78" s="13" t="s">
        <v>335</v>
      </c>
      <c r="C78" s="13" t="s">
        <v>315</v>
      </c>
      <c r="D78" s="65">
        <v>50</v>
      </c>
      <c r="E78" s="13" t="s">
        <v>37</v>
      </c>
      <c r="F78" s="13" t="s">
        <v>336</v>
      </c>
      <c r="G78" s="74" t="s">
        <v>3637</v>
      </c>
      <c r="H78" s="2"/>
      <c r="I78" s="2"/>
      <c r="J78" s="2"/>
      <c r="K78" s="2"/>
      <c r="L78" s="2"/>
      <c r="M78" s="2"/>
      <c r="N78" s="2"/>
      <c r="O78" s="2"/>
      <c r="P78" s="2"/>
      <c r="Q78" s="2"/>
      <c r="R78" s="2"/>
      <c r="S78" s="2"/>
      <c r="T78" s="2"/>
      <c r="U78" s="2"/>
      <c r="V78" s="2"/>
      <c r="W78" s="2"/>
      <c r="X78" s="2"/>
      <c r="Y78" s="2"/>
      <c r="Z78" s="2"/>
    </row>
    <row r="79" ht="13.5" customHeight="1" spans="1:26">
      <c r="A79" s="64" t="s">
        <v>350</v>
      </c>
      <c r="B79" s="13" t="s">
        <v>351</v>
      </c>
      <c r="C79" s="13" t="s">
        <v>315</v>
      </c>
      <c r="D79" s="65">
        <v>20</v>
      </c>
      <c r="E79" s="13" t="s">
        <v>262</v>
      </c>
      <c r="F79" s="13" t="s">
        <v>352</v>
      </c>
      <c r="G79" s="68" t="str">
        <f>HYPERLINK("http://www.thebodyshop.de/","http://www.thebodyshop.de/")</f>
        <v>http://www.thebodyshop.de/</v>
      </c>
      <c r="H79" s="2"/>
      <c r="I79" s="2"/>
      <c r="J79" s="2"/>
      <c r="K79" s="2"/>
      <c r="L79" s="2"/>
      <c r="M79" s="2"/>
      <c r="N79" s="2"/>
      <c r="O79" s="2"/>
      <c r="P79" s="2"/>
      <c r="Q79" s="2"/>
      <c r="R79" s="2"/>
      <c r="S79" s="2"/>
      <c r="T79" s="2"/>
      <c r="U79" s="2"/>
      <c r="V79" s="2"/>
      <c r="W79" s="2"/>
      <c r="X79" s="2"/>
      <c r="Y79" s="2"/>
      <c r="Z79" s="2"/>
    </row>
    <row r="80" ht="13.5" customHeight="1" spans="1:26">
      <c r="A80" s="135" t="s">
        <v>354</v>
      </c>
      <c r="B80" s="13" t="s">
        <v>355</v>
      </c>
      <c r="C80" s="13" t="s">
        <v>356</v>
      </c>
      <c r="D80" s="65">
        <v>123</v>
      </c>
      <c r="E80" s="13" t="s">
        <v>310</v>
      </c>
      <c r="F80" s="13" t="s">
        <v>357</v>
      </c>
      <c r="G80" s="68" t="str">
        <f>HYPERLINK("http://www.maccosmetics.de/","http://www.maccosmetics.de/")</f>
        <v>http://www.maccosmetics.de/</v>
      </c>
      <c r="H80" s="2"/>
      <c r="I80" s="2"/>
      <c r="J80" s="2"/>
      <c r="K80" s="2"/>
      <c r="L80" s="2"/>
      <c r="M80" s="2"/>
      <c r="N80" s="2"/>
      <c r="O80" s="2"/>
      <c r="P80" s="2"/>
      <c r="Q80" s="2"/>
      <c r="R80" s="2"/>
      <c r="S80" s="2"/>
      <c r="T80" s="2"/>
      <c r="U80" s="2"/>
      <c r="V80" s="2"/>
      <c r="W80" s="2"/>
      <c r="X80" s="2"/>
      <c r="Y80" s="2"/>
      <c r="Z80" s="2"/>
    </row>
    <row r="81" ht="13.5" customHeight="1" spans="1:26">
      <c r="A81" s="135" t="s">
        <v>359</v>
      </c>
      <c r="B81" s="13" t="s">
        <v>3638</v>
      </c>
      <c r="C81" s="13" t="s">
        <v>361</v>
      </c>
      <c r="D81" s="65">
        <v>55</v>
      </c>
      <c r="E81" s="13" t="s">
        <v>310</v>
      </c>
      <c r="F81" s="13" t="s">
        <v>3639</v>
      </c>
      <c r="G81" s="13" t="s">
        <v>3640</v>
      </c>
      <c r="H81" s="2"/>
      <c r="I81" s="2"/>
      <c r="J81" s="2"/>
      <c r="K81" s="2"/>
      <c r="L81" s="2"/>
      <c r="M81" s="2"/>
      <c r="N81" s="2"/>
      <c r="O81" s="2"/>
      <c r="P81" s="2"/>
      <c r="Q81" s="2"/>
      <c r="R81" s="2"/>
      <c r="S81" s="2"/>
      <c r="T81" s="2"/>
      <c r="U81" s="2"/>
      <c r="V81" s="2"/>
      <c r="W81" s="2"/>
      <c r="X81" s="2"/>
      <c r="Y81" s="2"/>
      <c r="Z81" s="2"/>
    </row>
    <row r="82" ht="13.5" customHeight="1" spans="1:26">
      <c r="A82" s="64" t="s">
        <v>364</v>
      </c>
      <c r="B82" s="13" t="s">
        <v>365</v>
      </c>
      <c r="C82" s="13" t="s">
        <v>366</v>
      </c>
      <c r="D82" s="65">
        <v>35</v>
      </c>
      <c r="E82" s="13" t="s">
        <v>262</v>
      </c>
      <c r="F82" s="13" t="s">
        <v>367</v>
      </c>
      <c r="G82" s="68" t="str">
        <f>HYPERLINK("http://www.ebay.de/","http://www.ebay.de/")</f>
        <v>http://www.ebay.de/</v>
      </c>
      <c r="H82" s="2"/>
      <c r="I82" s="2"/>
      <c r="J82" s="2"/>
      <c r="K82" s="2"/>
      <c r="L82" s="2"/>
      <c r="M82" s="2"/>
      <c r="N82" s="2"/>
      <c r="O82" s="2"/>
      <c r="P82" s="2"/>
      <c r="Q82" s="2"/>
      <c r="R82" s="2"/>
      <c r="S82" s="2"/>
      <c r="T82" s="2"/>
      <c r="U82" s="2"/>
      <c r="V82" s="2"/>
      <c r="W82" s="2"/>
      <c r="X82" s="2"/>
      <c r="Y82" s="2"/>
      <c r="Z82" s="2"/>
    </row>
    <row r="83" ht="13.5" customHeight="1" spans="1:26">
      <c r="A83" s="64" t="s">
        <v>368</v>
      </c>
      <c r="B83" s="13" t="s">
        <v>369</v>
      </c>
      <c r="C83" s="13" t="s">
        <v>366</v>
      </c>
      <c r="D83" s="65">
        <v>30</v>
      </c>
      <c r="E83" s="13" t="s">
        <v>262</v>
      </c>
      <c r="F83" s="13" t="s">
        <v>370</v>
      </c>
      <c r="G83" s="68" t="str">
        <f>HYPERLINK("http://www.amazon.de/","http://www.amazon.de/")</f>
        <v>http://www.amazon.de/</v>
      </c>
      <c r="H83" s="2"/>
      <c r="I83" s="2"/>
      <c r="J83" s="2"/>
      <c r="K83" s="2"/>
      <c r="L83" s="2"/>
      <c r="M83" s="2"/>
      <c r="N83" s="2"/>
      <c r="O83" s="2"/>
      <c r="P83" s="2"/>
      <c r="Q83" s="2"/>
      <c r="R83" s="2"/>
      <c r="S83" s="2"/>
      <c r="T83" s="2"/>
      <c r="U83" s="2"/>
      <c r="V83" s="2"/>
      <c r="W83" s="2"/>
      <c r="X83" s="2"/>
      <c r="Y83" s="2"/>
      <c r="Z83" s="2"/>
    </row>
    <row r="84" ht="13.5" customHeight="1" spans="1:26">
      <c r="A84" s="64" t="s">
        <v>371</v>
      </c>
      <c r="B84" s="13" t="s">
        <v>372</v>
      </c>
      <c r="C84" s="13" t="s">
        <v>373</v>
      </c>
      <c r="D84" s="65">
        <v>35</v>
      </c>
      <c r="E84" s="13" t="s">
        <v>37</v>
      </c>
      <c r="F84" s="13" t="s">
        <v>374</v>
      </c>
      <c r="G84" s="13" t="s">
        <v>3641</v>
      </c>
      <c r="H84" s="2"/>
      <c r="I84" s="2"/>
      <c r="J84" s="2"/>
      <c r="K84" s="2"/>
      <c r="L84" s="2"/>
      <c r="M84" s="2"/>
      <c r="N84" s="2"/>
      <c r="O84" s="2"/>
      <c r="P84" s="2"/>
      <c r="Q84" s="2"/>
      <c r="R84" s="2"/>
      <c r="S84" s="2"/>
      <c r="T84" s="2"/>
      <c r="U84" s="2"/>
      <c r="V84" s="2"/>
      <c r="W84" s="2"/>
      <c r="X84" s="2"/>
      <c r="Y84" s="2"/>
      <c r="Z84" s="2"/>
    </row>
    <row r="85" ht="13.5" customHeight="1" spans="1:26">
      <c r="A85" s="64" t="s">
        <v>375</v>
      </c>
      <c r="B85" s="13" t="s">
        <v>3642</v>
      </c>
      <c r="C85" s="13" t="s">
        <v>373</v>
      </c>
      <c r="D85" s="65">
        <v>90</v>
      </c>
      <c r="E85" s="13" t="s">
        <v>37</v>
      </c>
      <c r="F85" s="13" t="s">
        <v>3643</v>
      </c>
      <c r="G85" s="13" t="s">
        <v>3644</v>
      </c>
      <c r="H85" s="2"/>
      <c r="I85" s="2"/>
      <c r="J85" s="2"/>
      <c r="K85" s="2"/>
      <c r="L85" s="2"/>
      <c r="M85" s="2"/>
      <c r="N85" s="2"/>
      <c r="O85" s="2"/>
      <c r="P85" s="2"/>
      <c r="Q85" s="2"/>
      <c r="R85" s="2"/>
      <c r="S85" s="2"/>
      <c r="T85" s="2"/>
      <c r="U85" s="2"/>
      <c r="V85" s="2"/>
      <c r="W85" s="2"/>
      <c r="X85" s="2"/>
      <c r="Y85" s="2"/>
      <c r="Z85" s="2"/>
    </row>
    <row r="86" ht="13.5" customHeight="1" spans="1:26">
      <c r="A86" s="64" t="s">
        <v>379</v>
      </c>
      <c r="B86" s="13" t="s">
        <v>3645</v>
      </c>
      <c r="C86" s="13" t="s">
        <v>373</v>
      </c>
      <c r="D86" s="65">
        <v>66</v>
      </c>
      <c r="E86" s="13" t="s">
        <v>21</v>
      </c>
      <c r="F86" s="13" t="s">
        <v>3646</v>
      </c>
      <c r="G86" s="13" t="s">
        <v>3647</v>
      </c>
      <c r="H86" s="2"/>
      <c r="I86" s="2"/>
      <c r="J86" s="2"/>
      <c r="K86" s="2"/>
      <c r="L86" s="2"/>
      <c r="M86" s="2"/>
      <c r="N86" s="2"/>
      <c r="O86" s="2"/>
      <c r="P86" s="2"/>
      <c r="Q86" s="2"/>
      <c r="R86" s="2"/>
      <c r="S86" s="2"/>
      <c r="T86" s="2"/>
      <c r="U86" s="2"/>
      <c r="V86" s="2"/>
      <c r="W86" s="2"/>
      <c r="X86" s="2"/>
      <c r="Y86" s="2"/>
      <c r="Z86" s="2"/>
    </row>
    <row r="87" customHeight="1" spans="1:26">
      <c r="A87" s="13" t="s">
        <v>383</v>
      </c>
      <c r="B87" s="135" t="s">
        <v>3648</v>
      </c>
      <c r="C87" s="13" t="s">
        <v>373</v>
      </c>
      <c r="D87" s="65">
        <v>150</v>
      </c>
      <c r="E87" s="13" t="s">
        <v>310</v>
      </c>
      <c r="F87" s="13"/>
      <c r="G87" s="166" t="s">
        <v>3649</v>
      </c>
      <c r="H87" s="2"/>
      <c r="I87" s="2"/>
      <c r="J87" s="2"/>
      <c r="K87" s="2"/>
      <c r="L87" s="2"/>
      <c r="M87" s="2"/>
      <c r="N87" s="2"/>
      <c r="O87" s="2"/>
      <c r="P87" s="2"/>
      <c r="Q87" s="2"/>
      <c r="R87" s="2"/>
      <c r="S87" s="2"/>
      <c r="T87" s="2"/>
      <c r="U87" s="2"/>
      <c r="V87" s="2"/>
      <c r="W87" s="2"/>
      <c r="X87" s="2"/>
      <c r="Y87" s="2"/>
      <c r="Z87" s="2"/>
    </row>
    <row r="88" customHeight="1" spans="1:26">
      <c r="A88" s="13" t="s">
        <v>387</v>
      </c>
      <c r="B88" s="135" t="s">
        <v>3650</v>
      </c>
      <c r="C88" s="13" t="s">
        <v>373</v>
      </c>
      <c r="D88" s="65">
        <v>76</v>
      </c>
      <c r="E88" s="13" t="s">
        <v>37</v>
      </c>
      <c r="F88" s="166" t="s">
        <v>3651</v>
      </c>
      <c r="G88" s="166" t="s">
        <v>3652</v>
      </c>
      <c r="H88" s="2"/>
      <c r="I88" s="2"/>
      <c r="J88" s="2"/>
      <c r="K88" s="2"/>
      <c r="L88" s="2"/>
      <c r="M88" s="2"/>
      <c r="N88" s="2"/>
      <c r="O88" s="2"/>
      <c r="P88" s="2"/>
      <c r="Q88" s="2"/>
      <c r="R88" s="2"/>
      <c r="S88" s="2"/>
      <c r="T88" s="2"/>
      <c r="U88" s="2"/>
      <c r="V88" s="2"/>
      <c r="W88" s="2"/>
      <c r="X88" s="2"/>
      <c r="Y88" s="2"/>
      <c r="Z88" s="2"/>
    </row>
    <row r="89" ht="13.5" customHeight="1" spans="1:26">
      <c r="A89" s="135" t="s">
        <v>391</v>
      </c>
      <c r="B89" s="13" t="s">
        <v>392</v>
      </c>
      <c r="C89" s="13" t="s">
        <v>393</v>
      </c>
      <c r="D89" s="14">
        <v>3500</v>
      </c>
      <c r="E89" s="13" t="s">
        <v>21</v>
      </c>
      <c r="F89" s="13" t="s">
        <v>394</v>
      </c>
      <c r="G89" s="13" t="s">
        <v>3653</v>
      </c>
      <c r="H89" s="2"/>
      <c r="I89" s="2"/>
      <c r="J89" s="2"/>
      <c r="K89" s="2"/>
      <c r="L89" s="2"/>
      <c r="M89" s="2"/>
      <c r="N89" s="2"/>
      <c r="O89" s="2"/>
      <c r="P89" s="2"/>
      <c r="Q89" s="2"/>
      <c r="R89" s="2"/>
      <c r="S89" s="2"/>
      <c r="T89" s="2"/>
      <c r="U89" s="2"/>
      <c r="V89" s="2"/>
      <c r="W89" s="2"/>
      <c r="X89" s="2"/>
      <c r="Y89" s="2"/>
      <c r="Z89" s="2"/>
    </row>
    <row r="90" ht="13.5" customHeight="1" spans="1:26">
      <c r="A90" s="135" t="s">
        <v>395</v>
      </c>
      <c r="B90" s="13" t="s">
        <v>396</v>
      </c>
      <c r="C90" s="13" t="s">
        <v>393</v>
      </c>
      <c r="D90" s="14">
        <v>1230</v>
      </c>
      <c r="E90" s="13" t="s">
        <v>21</v>
      </c>
      <c r="F90" s="13" t="s">
        <v>397</v>
      </c>
      <c r="G90" s="13" t="s">
        <v>398</v>
      </c>
      <c r="H90" s="2"/>
      <c r="I90" s="2"/>
      <c r="J90" s="2"/>
      <c r="K90" s="2"/>
      <c r="L90" s="2"/>
      <c r="M90" s="2"/>
      <c r="N90" s="2"/>
      <c r="O90" s="2"/>
      <c r="P90" s="2"/>
      <c r="Q90" s="2"/>
      <c r="R90" s="2"/>
      <c r="S90" s="2"/>
      <c r="T90" s="2"/>
      <c r="U90" s="2"/>
      <c r="V90" s="2"/>
      <c r="W90" s="2"/>
      <c r="X90" s="2"/>
      <c r="Y90" s="2"/>
      <c r="Z90" s="2"/>
    </row>
    <row r="91" ht="13.5" customHeight="1" spans="1:26">
      <c r="A91" s="135" t="s">
        <v>399</v>
      </c>
      <c r="B91" s="13" t="s">
        <v>3654</v>
      </c>
      <c r="C91" s="13" t="s">
        <v>224</v>
      </c>
      <c r="D91" s="65">
        <v>130</v>
      </c>
      <c r="E91" s="13" t="s">
        <v>262</v>
      </c>
      <c r="F91" s="13" t="s">
        <v>3655</v>
      </c>
      <c r="G91" s="13" t="s">
        <v>3656</v>
      </c>
      <c r="H91" s="2"/>
      <c r="I91" s="2"/>
      <c r="J91" s="2"/>
      <c r="K91" s="2"/>
      <c r="L91" s="2"/>
      <c r="M91" s="2"/>
      <c r="N91" s="2"/>
      <c r="O91" s="2"/>
      <c r="P91" s="2"/>
      <c r="Q91" s="2"/>
      <c r="R91" s="2"/>
      <c r="S91" s="2"/>
      <c r="T91" s="2"/>
      <c r="U91" s="2"/>
      <c r="V91" s="2"/>
      <c r="W91" s="2"/>
      <c r="X91" s="2"/>
      <c r="Y91" s="2"/>
      <c r="Z91" s="2"/>
    </row>
    <row r="92" ht="13.5" customHeight="1" spans="1:26">
      <c r="A92" s="135" t="s">
        <v>403</v>
      </c>
      <c r="B92" s="13" t="s">
        <v>3657</v>
      </c>
      <c r="C92" s="13" t="s">
        <v>229</v>
      </c>
      <c r="D92" s="65">
        <v>500</v>
      </c>
      <c r="E92" s="13" t="s">
        <v>21</v>
      </c>
      <c r="F92" s="13" t="s">
        <v>3658</v>
      </c>
      <c r="G92" s="13" t="s">
        <v>3659</v>
      </c>
      <c r="H92" s="2"/>
      <c r="I92" s="2"/>
      <c r="J92" s="2"/>
      <c r="K92" s="2"/>
      <c r="L92" s="2"/>
      <c r="M92" s="2"/>
      <c r="N92" s="2"/>
      <c r="O92" s="2"/>
      <c r="P92" s="2"/>
      <c r="Q92" s="2"/>
      <c r="R92" s="2"/>
      <c r="S92" s="2"/>
      <c r="T92" s="2"/>
      <c r="U92" s="2"/>
      <c r="V92" s="2"/>
      <c r="W92" s="2"/>
      <c r="X92" s="2"/>
      <c r="Y92" s="2"/>
      <c r="Z92" s="2"/>
    </row>
    <row r="93" ht="13.5" customHeight="1" spans="1:26">
      <c r="A93" s="135" t="s">
        <v>407</v>
      </c>
      <c r="B93" s="13" t="s">
        <v>1103</v>
      </c>
      <c r="C93" s="13" t="s">
        <v>229</v>
      </c>
      <c r="D93" s="65">
        <v>350</v>
      </c>
      <c r="E93" s="13" t="s">
        <v>21</v>
      </c>
      <c r="F93" s="13" t="s">
        <v>1104</v>
      </c>
      <c r="G93" s="68" t="str">
        <f>HYPERLINK("http://www.euronics.de/","http://www.euronics.de/")</f>
        <v>http://www.euronics.de/</v>
      </c>
      <c r="H93" s="2"/>
      <c r="I93" s="2"/>
      <c r="J93" s="2"/>
      <c r="K93" s="2"/>
      <c r="L93" s="2"/>
      <c r="M93" s="2"/>
      <c r="N93" s="2"/>
      <c r="O93" s="2"/>
      <c r="P93" s="2"/>
      <c r="Q93" s="2"/>
      <c r="R93" s="2"/>
      <c r="S93" s="2"/>
      <c r="T93" s="2"/>
      <c r="U93" s="2"/>
      <c r="V93" s="2"/>
      <c r="W93" s="2"/>
      <c r="X93" s="2"/>
      <c r="Y93" s="2"/>
      <c r="Z93" s="2"/>
    </row>
    <row r="94" ht="13.5" customHeight="1" spans="1:26">
      <c r="A94" s="135" t="s">
        <v>411</v>
      </c>
      <c r="B94" s="13" t="s">
        <v>3660</v>
      </c>
      <c r="C94" s="13" t="s">
        <v>413</v>
      </c>
      <c r="D94" s="14">
        <v>50</v>
      </c>
      <c r="E94" s="13" t="s">
        <v>310</v>
      </c>
      <c r="F94" s="13" t="s">
        <v>3661</v>
      </c>
      <c r="G94" s="13" t="s">
        <v>3662</v>
      </c>
      <c r="H94" s="2"/>
      <c r="I94" s="2"/>
      <c r="J94" s="2"/>
      <c r="K94" s="2"/>
      <c r="L94" s="2"/>
      <c r="M94" s="2"/>
      <c r="N94" s="2"/>
      <c r="O94" s="2"/>
      <c r="P94" s="2"/>
      <c r="Q94" s="2"/>
      <c r="R94" s="2"/>
      <c r="S94" s="2"/>
      <c r="T94" s="2"/>
      <c r="U94" s="2"/>
      <c r="V94" s="2"/>
      <c r="W94" s="2"/>
      <c r="X94" s="2"/>
      <c r="Y94" s="2"/>
      <c r="Z94" s="2"/>
    </row>
    <row r="95" ht="13.5" customHeight="1" spans="1:26">
      <c r="A95" s="13" t="s">
        <v>416</v>
      </c>
      <c r="B95" s="13" t="s">
        <v>3663</v>
      </c>
      <c r="C95" s="13" t="s">
        <v>418</v>
      </c>
      <c r="D95" s="14">
        <v>35</v>
      </c>
      <c r="E95" s="13" t="s">
        <v>310</v>
      </c>
      <c r="F95" s="13" t="s">
        <v>3664</v>
      </c>
      <c r="G95" s="13" t="s">
        <v>3665</v>
      </c>
      <c r="H95" s="2"/>
      <c r="I95" s="2"/>
      <c r="J95" s="2"/>
      <c r="K95" s="2"/>
      <c r="L95" s="2"/>
      <c r="M95" s="2"/>
      <c r="N95" s="2"/>
      <c r="O95" s="2"/>
      <c r="P95" s="2"/>
      <c r="Q95" s="2"/>
      <c r="R95" s="2"/>
      <c r="S95" s="2"/>
      <c r="T95" s="2"/>
      <c r="U95" s="2"/>
      <c r="V95" s="2"/>
      <c r="W95" s="2"/>
      <c r="X95" s="2"/>
      <c r="Y95" s="2"/>
      <c r="Z95" s="2"/>
    </row>
    <row r="96" ht="13.5" customHeight="1" spans="1:26">
      <c r="A96" s="13" t="s">
        <v>421</v>
      </c>
      <c r="B96" s="13" t="s">
        <v>3666</v>
      </c>
      <c r="C96" s="13" t="s">
        <v>423</v>
      </c>
      <c r="D96" s="14">
        <v>67</v>
      </c>
      <c r="E96" s="13" t="s">
        <v>310</v>
      </c>
      <c r="F96" s="13" t="s">
        <v>3667</v>
      </c>
      <c r="G96" s="13" t="s">
        <v>3668</v>
      </c>
      <c r="H96" s="2"/>
      <c r="I96" s="2"/>
      <c r="J96" s="2"/>
      <c r="K96" s="2"/>
      <c r="L96" s="2"/>
      <c r="M96" s="2"/>
      <c r="N96" s="2"/>
      <c r="O96" s="2"/>
      <c r="P96" s="2"/>
      <c r="Q96" s="2"/>
      <c r="R96" s="2"/>
      <c r="S96" s="2"/>
      <c r="T96" s="2"/>
      <c r="U96" s="2"/>
      <c r="V96" s="2"/>
      <c r="W96" s="2"/>
      <c r="X96" s="2"/>
      <c r="Y96" s="2"/>
      <c r="Z96" s="2"/>
    </row>
    <row r="97" ht="13.5" customHeight="1" spans="1:26">
      <c r="A97" s="13" t="s">
        <v>426</v>
      </c>
      <c r="B97" s="13" t="s">
        <v>3669</v>
      </c>
      <c r="C97" s="13" t="s">
        <v>428</v>
      </c>
      <c r="D97" s="65">
        <v>13</v>
      </c>
      <c r="E97" s="13" t="s">
        <v>262</v>
      </c>
      <c r="F97" s="13" t="s">
        <v>3670</v>
      </c>
      <c r="G97" s="13" t="s">
        <v>3671</v>
      </c>
      <c r="H97" s="2"/>
      <c r="I97" s="2"/>
      <c r="J97" s="2"/>
      <c r="K97" s="2"/>
      <c r="L97" s="2"/>
      <c r="M97" s="2"/>
      <c r="N97" s="2"/>
      <c r="O97" s="2"/>
      <c r="P97" s="2"/>
      <c r="Q97" s="2"/>
      <c r="R97" s="2"/>
      <c r="S97" s="2"/>
      <c r="T97" s="2"/>
      <c r="U97" s="2"/>
      <c r="V97" s="2"/>
      <c r="W97" s="2"/>
      <c r="X97" s="2"/>
      <c r="Y97" s="2"/>
      <c r="Z97" s="2"/>
    </row>
    <row r="98" ht="13.5" customHeight="1" spans="1:26">
      <c r="A98" s="13" t="s">
        <v>431</v>
      </c>
      <c r="B98" s="13" t="s">
        <v>427</v>
      </c>
      <c r="C98" s="13" t="s">
        <v>428</v>
      </c>
      <c r="D98" s="65">
        <v>879</v>
      </c>
      <c r="E98" s="13" t="s">
        <v>21</v>
      </c>
      <c r="F98" s="13" t="s">
        <v>3672</v>
      </c>
      <c r="G98" s="13" t="s">
        <v>3673</v>
      </c>
      <c r="H98" s="2"/>
      <c r="I98" s="2"/>
      <c r="J98" s="2"/>
      <c r="K98" s="2"/>
      <c r="L98" s="2"/>
      <c r="M98" s="2"/>
      <c r="N98" s="2"/>
      <c r="O98" s="2"/>
      <c r="P98" s="2"/>
      <c r="Q98" s="2"/>
      <c r="R98" s="2"/>
      <c r="S98" s="2"/>
      <c r="T98" s="2"/>
      <c r="U98" s="2"/>
      <c r="V98" s="2"/>
      <c r="W98" s="2"/>
      <c r="X98" s="2"/>
      <c r="Y98" s="2"/>
      <c r="Z98" s="2"/>
    </row>
    <row r="99" ht="13.5" customHeight="1" spans="1:26">
      <c r="A99" s="13" t="s">
        <v>435</v>
      </c>
      <c r="B99" s="13" t="s">
        <v>3674</v>
      </c>
      <c r="C99" s="13" t="s">
        <v>428</v>
      </c>
      <c r="D99" s="14">
        <v>1000</v>
      </c>
      <c r="E99" s="13" t="s">
        <v>21</v>
      </c>
      <c r="F99" s="13" t="s">
        <v>3675</v>
      </c>
      <c r="G99" s="13" t="s">
        <v>3676</v>
      </c>
      <c r="H99" s="2"/>
      <c r="I99" s="2"/>
      <c r="J99" s="2"/>
      <c r="K99" s="2"/>
      <c r="L99" s="2"/>
      <c r="M99" s="2"/>
      <c r="N99" s="2"/>
      <c r="O99" s="2"/>
      <c r="P99" s="2"/>
      <c r="Q99" s="2"/>
      <c r="R99" s="2"/>
      <c r="S99" s="2"/>
      <c r="T99" s="2"/>
      <c r="U99" s="2"/>
      <c r="V99" s="2"/>
      <c r="W99" s="2"/>
      <c r="X99" s="2"/>
      <c r="Y99" s="2"/>
      <c r="Z99" s="2"/>
    </row>
    <row r="100" customHeight="1" spans="1:26">
      <c r="A100" s="64" t="s">
        <v>439</v>
      </c>
      <c r="B100" s="135" t="s">
        <v>3677</v>
      </c>
      <c r="C100" s="13" t="s">
        <v>315</v>
      </c>
      <c r="D100" s="65">
        <v>15</v>
      </c>
      <c r="E100" s="13" t="s">
        <v>37</v>
      </c>
      <c r="F100" s="166" t="s">
        <v>3678</v>
      </c>
      <c r="G100" s="166" t="s">
        <v>3679</v>
      </c>
      <c r="H100" s="2"/>
      <c r="I100" s="2"/>
      <c r="J100" s="2"/>
      <c r="K100" s="2"/>
      <c r="L100" s="2"/>
      <c r="M100" s="2"/>
      <c r="N100" s="2"/>
      <c r="O100" s="2"/>
      <c r="P100" s="2"/>
      <c r="Q100" s="2"/>
      <c r="R100" s="2"/>
      <c r="S100" s="2"/>
      <c r="T100" s="2"/>
      <c r="U100" s="2"/>
      <c r="V100" s="2"/>
      <c r="W100" s="2"/>
      <c r="X100" s="2"/>
      <c r="Y100" s="2"/>
      <c r="Z100" s="2"/>
    </row>
    <row r="101" ht="13.5" customHeight="1" spans="1:26">
      <c r="A101" s="13" t="s">
        <v>443</v>
      </c>
      <c r="B101" s="13" t="s">
        <v>3680</v>
      </c>
      <c r="C101" s="13" t="s">
        <v>445</v>
      </c>
      <c r="D101" s="14">
        <v>188</v>
      </c>
      <c r="E101" s="13" t="s">
        <v>310</v>
      </c>
      <c r="F101" s="13" t="s">
        <v>3681</v>
      </c>
      <c r="G101" s="13" t="s">
        <v>3682</v>
      </c>
      <c r="H101" s="2"/>
      <c r="I101" s="2"/>
      <c r="J101" s="2"/>
      <c r="K101" s="2"/>
      <c r="L101" s="2"/>
      <c r="M101" s="2"/>
      <c r="N101" s="2"/>
      <c r="O101" s="2"/>
      <c r="P101" s="2"/>
      <c r="Q101" s="2"/>
      <c r="R101" s="2"/>
      <c r="S101" s="2"/>
      <c r="T101" s="2"/>
      <c r="U101" s="2"/>
      <c r="V101" s="2"/>
      <c r="W101" s="2"/>
      <c r="X101" s="2"/>
      <c r="Y101" s="2"/>
      <c r="Z101" s="2"/>
    </row>
    <row r="102" ht="13.5" customHeight="1" spans="1:26">
      <c r="A102" s="13" t="s">
        <v>448</v>
      </c>
      <c r="B102" s="13" t="s">
        <v>3683</v>
      </c>
      <c r="C102" s="13" t="s">
        <v>450</v>
      </c>
      <c r="D102" s="65">
        <v>95</v>
      </c>
      <c r="E102" s="13" t="s">
        <v>310</v>
      </c>
      <c r="F102" s="13" t="s">
        <v>3684</v>
      </c>
      <c r="G102" s="13" t="s">
        <v>3685</v>
      </c>
      <c r="H102" s="2"/>
      <c r="I102" s="2"/>
      <c r="J102" s="2"/>
      <c r="K102" s="2"/>
      <c r="L102" s="2"/>
      <c r="M102" s="2"/>
      <c r="N102" s="2"/>
      <c r="O102" s="2"/>
      <c r="P102" s="2"/>
      <c r="Q102" s="2"/>
      <c r="R102" s="2"/>
      <c r="S102" s="2"/>
      <c r="T102" s="2"/>
      <c r="U102" s="2"/>
      <c r="V102" s="2"/>
      <c r="W102" s="2"/>
      <c r="X102" s="2"/>
      <c r="Y102" s="2"/>
      <c r="Z102" s="2"/>
    </row>
    <row r="103" ht="13.5" customHeight="1" spans="1:26">
      <c r="A103" s="13" t="s">
        <v>452</v>
      </c>
      <c r="B103" s="13" t="s">
        <v>314</v>
      </c>
      <c r="C103" s="13" t="s">
        <v>450</v>
      </c>
      <c r="D103" s="65">
        <v>89</v>
      </c>
      <c r="E103" s="13" t="s">
        <v>310</v>
      </c>
      <c r="F103" s="13" t="s">
        <v>1132</v>
      </c>
      <c r="G103" s="13" t="s">
        <v>3616</v>
      </c>
      <c r="H103" s="2"/>
      <c r="I103" s="2"/>
      <c r="J103" s="2"/>
      <c r="K103" s="2"/>
      <c r="L103" s="2"/>
      <c r="M103" s="2"/>
      <c r="N103" s="2"/>
      <c r="O103" s="2"/>
      <c r="P103" s="2"/>
      <c r="Q103" s="2"/>
      <c r="R103" s="2"/>
      <c r="S103" s="2"/>
      <c r="T103" s="2"/>
      <c r="U103" s="2"/>
      <c r="V103" s="2"/>
      <c r="W103" s="2"/>
      <c r="X103" s="2"/>
      <c r="Y103" s="2"/>
      <c r="Z103" s="2"/>
    </row>
    <row r="104" ht="16.5" customHeight="1" spans="1:26">
      <c r="A104" s="13" t="s">
        <v>455</v>
      </c>
      <c r="B104" s="13" t="s">
        <v>3686</v>
      </c>
      <c r="C104" s="13" t="s">
        <v>457</v>
      </c>
      <c r="D104" s="14">
        <v>400</v>
      </c>
      <c r="E104" s="13" t="s">
        <v>21</v>
      </c>
      <c r="F104" s="13" t="s">
        <v>3687</v>
      </c>
      <c r="G104" s="13" t="s">
        <v>3688</v>
      </c>
      <c r="H104" s="2"/>
      <c r="I104" s="2"/>
      <c r="J104" s="2"/>
      <c r="K104" s="2"/>
      <c r="L104" s="2"/>
      <c r="M104" s="2"/>
      <c r="N104" s="2"/>
      <c r="O104" s="2"/>
      <c r="P104" s="2"/>
      <c r="Q104" s="2"/>
      <c r="R104" s="2"/>
      <c r="S104" s="2"/>
      <c r="T104" s="2"/>
      <c r="U104" s="2"/>
      <c r="V104" s="2"/>
      <c r="W104" s="2"/>
      <c r="X104" s="2"/>
      <c r="Y104" s="2"/>
      <c r="Z104" s="2"/>
    </row>
    <row r="105" ht="13.5" customHeight="1" spans="1:26">
      <c r="A105" s="13" t="s">
        <v>460</v>
      </c>
      <c r="B105" s="13" t="s">
        <v>3689</v>
      </c>
      <c r="C105" s="13" t="s">
        <v>3690</v>
      </c>
      <c r="D105" s="14">
        <v>8</v>
      </c>
      <c r="E105" s="13" t="s">
        <v>37</v>
      </c>
      <c r="F105" s="13" t="s">
        <v>3691</v>
      </c>
      <c r="G105" s="13" t="s">
        <v>3692</v>
      </c>
      <c r="H105" s="2"/>
      <c r="I105" s="2"/>
      <c r="J105" s="2"/>
      <c r="K105" s="2"/>
      <c r="L105" s="2"/>
      <c r="M105" s="2"/>
      <c r="N105" s="2"/>
      <c r="O105" s="2"/>
      <c r="P105" s="2"/>
      <c r="Q105" s="2"/>
      <c r="R105" s="2"/>
      <c r="S105" s="2"/>
      <c r="T105" s="2"/>
      <c r="U105" s="2"/>
      <c r="V105" s="2"/>
      <c r="W105" s="2"/>
      <c r="X105" s="2"/>
      <c r="Y105" s="2"/>
      <c r="Z105" s="2"/>
    </row>
    <row r="106" ht="13.5" customHeight="1" spans="1:26">
      <c r="A106" s="64" t="s">
        <v>465</v>
      </c>
      <c r="B106" s="13" t="s">
        <v>3693</v>
      </c>
      <c r="C106" s="13" t="s">
        <v>471</v>
      </c>
      <c r="D106" s="65">
        <v>30</v>
      </c>
      <c r="E106" s="13" t="s">
        <v>21</v>
      </c>
      <c r="F106" s="13" t="s">
        <v>3694</v>
      </c>
      <c r="G106" s="13" t="s">
        <v>3695</v>
      </c>
      <c r="H106" s="2"/>
      <c r="I106" s="2"/>
      <c r="J106" s="2"/>
      <c r="K106" s="2"/>
      <c r="L106" s="2"/>
      <c r="M106" s="2"/>
      <c r="N106" s="2"/>
      <c r="O106" s="2"/>
      <c r="P106" s="2"/>
      <c r="Q106" s="2"/>
      <c r="R106" s="2"/>
      <c r="S106" s="2"/>
      <c r="T106" s="2"/>
      <c r="U106" s="2"/>
      <c r="V106" s="2"/>
      <c r="W106" s="2"/>
      <c r="X106" s="2"/>
      <c r="Y106" s="2"/>
      <c r="Z106" s="2"/>
    </row>
    <row r="107" ht="13.5" customHeight="1" spans="1:26">
      <c r="A107" s="13" t="s">
        <v>469</v>
      </c>
      <c r="B107" s="13" t="s">
        <v>3696</v>
      </c>
      <c r="C107" s="13" t="s">
        <v>471</v>
      </c>
      <c r="D107" s="14">
        <v>43</v>
      </c>
      <c r="E107" s="13" t="s">
        <v>310</v>
      </c>
      <c r="F107" s="13" t="s">
        <v>3697</v>
      </c>
      <c r="G107" s="13" t="s">
        <v>3698</v>
      </c>
      <c r="H107" s="2"/>
      <c r="I107" s="2"/>
      <c r="J107" s="2"/>
      <c r="K107" s="2"/>
      <c r="L107" s="2"/>
      <c r="M107" s="2"/>
      <c r="N107" s="2"/>
      <c r="O107" s="2"/>
      <c r="P107" s="2"/>
      <c r="Q107" s="2"/>
      <c r="R107" s="2"/>
      <c r="S107" s="2"/>
      <c r="T107" s="2"/>
      <c r="U107" s="2"/>
      <c r="V107" s="2"/>
      <c r="W107" s="2"/>
      <c r="X107" s="2"/>
      <c r="Y107" s="2"/>
      <c r="Z107" s="2"/>
    </row>
    <row r="108" ht="13.5" customHeight="1" spans="1:26">
      <c r="A108" s="13" t="s">
        <v>474</v>
      </c>
      <c r="B108" s="13" t="s">
        <v>812</v>
      </c>
      <c r="C108" s="13" t="s">
        <v>476</v>
      </c>
      <c r="D108" s="65">
        <v>123</v>
      </c>
      <c r="E108" s="13" t="s">
        <v>310</v>
      </c>
      <c r="F108" s="13" t="s">
        <v>3699</v>
      </c>
      <c r="G108" s="13" t="s">
        <v>3700</v>
      </c>
      <c r="H108" s="2"/>
      <c r="I108" s="2"/>
      <c r="J108" s="2"/>
      <c r="K108" s="2"/>
      <c r="L108" s="2"/>
      <c r="M108" s="2"/>
      <c r="N108" s="2"/>
      <c r="O108" s="2"/>
      <c r="P108" s="2"/>
      <c r="Q108" s="2"/>
      <c r="R108" s="2"/>
      <c r="S108" s="2"/>
      <c r="T108" s="2"/>
      <c r="U108" s="2"/>
      <c r="V108" s="2"/>
      <c r="W108" s="2"/>
      <c r="X108" s="2"/>
      <c r="Y108" s="2"/>
      <c r="Z108" s="2"/>
    </row>
    <row r="109" ht="13.5" customHeight="1" spans="1:26">
      <c r="A109" s="13" t="s">
        <v>479</v>
      </c>
      <c r="B109" s="13" t="s">
        <v>3701</v>
      </c>
      <c r="C109" s="13" t="s">
        <v>476</v>
      </c>
      <c r="D109" s="65">
        <v>76</v>
      </c>
      <c r="E109" s="13" t="s">
        <v>310</v>
      </c>
      <c r="F109" s="13" t="s">
        <v>3702</v>
      </c>
      <c r="G109" s="13" t="s">
        <v>3703</v>
      </c>
      <c r="H109" s="2"/>
      <c r="I109" s="2"/>
      <c r="J109" s="2"/>
      <c r="K109" s="2"/>
      <c r="L109" s="2"/>
      <c r="M109" s="2"/>
      <c r="N109" s="2"/>
      <c r="O109" s="2"/>
      <c r="P109" s="2"/>
      <c r="Q109" s="2"/>
      <c r="R109" s="2"/>
      <c r="S109" s="2"/>
      <c r="T109" s="2"/>
      <c r="U109" s="2"/>
      <c r="V109" s="2"/>
      <c r="W109" s="2"/>
      <c r="X109" s="2"/>
      <c r="Y109" s="2"/>
      <c r="Z109" s="2"/>
    </row>
    <row r="110" ht="13.5" customHeight="1" spans="1:26">
      <c r="A110" s="64" t="s">
        <v>483</v>
      </c>
      <c r="B110" s="13" t="s">
        <v>484</v>
      </c>
      <c r="C110" s="13" t="s">
        <v>485</v>
      </c>
      <c r="D110" s="65">
        <v>77</v>
      </c>
      <c r="E110" s="13" t="s">
        <v>37</v>
      </c>
      <c r="F110" s="13" t="s">
        <v>486</v>
      </c>
      <c r="G110" s="13" t="s">
        <v>3704</v>
      </c>
      <c r="H110" s="2"/>
      <c r="I110" s="2"/>
      <c r="J110" s="2"/>
      <c r="K110" s="2"/>
      <c r="L110" s="2"/>
      <c r="M110" s="2"/>
      <c r="N110" s="2"/>
      <c r="O110" s="2"/>
      <c r="P110" s="2"/>
      <c r="Q110" s="2"/>
      <c r="R110" s="2"/>
      <c r="S110" s="2"/>
      <c r="T110" s="2"/>
      <c r="U110" s="2"/>
      <c r="V110" s="2"/>
      <c r="W110" s="2"/>
      <c r="X110" s="2"/>
      <c r="Y110" s="2"/>
      <c r="Z110" s="2"/>
    </row>
    <row r="111" ht="13.5" customHeight="1" spans="1:26">
      <c r="A111" s="13" t="s">
        <v>488</v>
      </c>
      <c r="B111" s="13" t="s">
        <v>3705</v>
      </c>
      <c r="C111" s="13" t="s">
        <v>490</v>
      </c>
      <c r="D111" s="14">
        <v>50</v>
      </c>
      <c r="E111" s="13" t="s">
        <v>37</v>
      </c>
      <c r="F111" s="13" t="s">
        <v>3706</v>
      </c>
      <c r="G111" s="13" t="s">
        <v>3707</v>
      </c>
      <c r="H111" s="2"/>
      <c r="I111" s="2"/>
      <c r="J111" s="2"/>
      <c r="K111" s="2"/>
      <c r="L111" s="2"/>
      <c r="M111" s="2"/>
      <c r="N111" s="2"/>
      <c r="O111" s="2"/>
      <c r="P111" s="2"/>
      <c r="Q111" s="2"/>
      <c r="R111" s="2"/>
      <c r="S111" s="2"/>
      <c r="T111" s="2"/>
      <c r="U111" s="2"/>
      <c r="V111" s="2"/>
      <c r="W111" s="2"/>
      <c r="X111" s="2"/>
      <c r="Y111" s="2"/>
      <c r="Z111" s="2"/>
    </row>
    <row r="112" customHeight="1" spans="1:26">
      <c r="A112" s="13" t="s">
        <v>493</v>
      </c>
      <c r="B112" s="135" t="s">
        <v>3708</v>
      </c>
      <c r="C112" s="13" t="s">
        <v>495</v>
      </c>
      <c r="D112" s="57"/>
      <c r="E112" s="57"/>
      <c r="F112" s="166" t="s">
        <v>3709</v>
      </c>
      <c r="G112" s="166" t="s">
        <v>3710</v>
      </c>
      <c r="H112" s="2"/>
      <c r="I112" s="2"/>
      <c r="J112" s="2"/>
      <c r="K112" s="2"/>
      <c r="L112" s="2"/>
      <c r="M112" s="2"/>
      <c r="N112" s="2"/>
      <c r="O112" s="2"/>
      <c r="P112" s="2"/>
      <c r="Q112" s="2"/>
      <c r="R112" s="2"/>
      <c r="S112" s="2"/>
      <c r="T112" s="2"/>
      <c r="U112" s="2"/>
      <c r="V112" s="2"/>
      <c r="W112" s="2"/>
      <c r="X112" s="2"/>
      <c r="Y112" s="2"/>
      <c r="Z112" s="2"/>
    </row>
    <row r="113" customHeight="1" spans="1:26">
      <c r="A113" s="13" t="s">
        <v>498</v>
      </c>
      <c r="B113" s="13" t="s">
        <v>499</v>
      </c>
      <c r="C113" s="13" t="s">
        <v>500</v>
      </c>
      <c r="D113" s="57"/>
      <c r="E113" s="57"/>
      <c r="F113" s="13" t="s">
        <v>501</v>
      </c>
      <c r="G113" s="166" t="s">
        <v>3711</v>
      </c>
      <c r="H113" s="2"/>
      <c r="I113" s="2"/>
      <c r="J113" s="2"/>
      <c r="K113" s="2"/>
      <c r="L113" s="2"/>
      <c r="M113" s="2"/>
      <c r="N113" s="2"/>
      <c r="O113" s="2"/>
      <c r="P113" s="2"/>
      <c r="Q113" s="2"/>
      <c r="R113" s="2"/>
      <c r="S113" s="2"/>
      <c r="T113" s="2"/>
      <c r="U113" s="2"/>
      <c r="V113" s="2"/>
      <c r="W113" s="2"/>
      <c r="X113" s="2"/>
      <c r="Y113" s="2"/>
      <c r="Z113" s="2"/>
    </row>
    <row r="114" customHeight="1" spans="1:26">
      <c r="A114" s="64" t="s">
        <v>503</v>
      </c>
      <c r="B114" s="13" t="s">
        <v>504</v>
      </c>
      <c r="C114" s="13" t="s">
        <v>505</v>
      </c>
      <c r="D114" s="65">
        <v>38</v>
      </c>
      <c r="E114" s="13" t="s">
        <v>37</v>
      </c>
      <c r="F114" s="13" t="s">
        <v>506</v>
      </c>
      <c r="G114" s="166" t="s">
        <v>3712</v>
      </c>
      <c r="H114" s="2"/>
      <c r="I114" s="2"/>
      <c r="J114" s="2"/>
      <c r="K114" s="2"/>
      <c r="L114" s="2"/>
      <c r="M114" s="2"/>
      <c r="N114" s="2"/>
      <c r="O114" s="2"/>
      <c r="P114" s="2"/>
      <c r="Q114" s="2"/>
      <c r="R114" s="2"/>
      <c r="S114" s="2"/>
      <c r="T114" s="2"/>
      <c r="U114" s="2"/>
      <c r="V114" s="2"/>
      <c r="W114" s="2"/>
      <c r="X114" s="2"/>
      <c r="Y114" s="2"/>
      <c r="Z114" s="2"/>
    </row>
    <row r="115" ht="13.5" customHeight="1" spans="1:26">
      <c r="A115" s="13" t="s">
        <v>508</v>
      </c>
      <c r="B115" s="13" t="s">
        <v>3713</v>
      </c>
      <c r="C115" s="13" t="s">
        <v>510</v>
      </c>
      <c r="D115" s="14">
        <v>40</v>
      </c>
      <c r="E115" s="13" t="s">
        <v>37</v>
      </c>
      <c r="F115" s="13" t="s">
        <v>3714</v>
      </c>
      <c r="G115" s="13" t="s">
        <v>3715</v>
      </c>
      <c r="H115" s="2"/>
      <c r="I115" s="2"/>
      <c r="J115" s="2"/>
      <c r="K115" s="2"/>
      <c r="L115" s="2"/>
      <c r="M115" s="2"/>
      <c r="N115" s="2"/>
      <c r="O115" s="2"/>
      <c r="P115" s="2"/>
      <c r="Q115" s="2"/>
      <c r="R115" s="2"/>
      <c r="S115" s="2"/>
      <c r="T115" s="2"/>
      <c r="U115" s="2"/>
      <c r="V115" s="2"/>
      <c r="W115" s="2"/>
      <c r="X115" s="2"/>
      <c r="Y115" s="2"/>
      <c r="Z115" s="2"/>
    </row>
    <row r="116" ht="13.5" customHeight="1" spans="1:26">
      <c r="A116" s="13" t="s">
        <v>513</v>
      </c>
      <c r="B116" s="13" t="s">
        <v>972</v>
      </c>
      <c r="C116" s="13" t="s">
        <v>515</v>
      </c>
      <c r="D116" s="14">
        <v>40</v>
      </c>
      <c r="E116" s="13" t="s">
        <v>37</v>
      </c>
      <c r="F116" s="13" t="s">
        <v>1167</v>
      </c>
      <c r="G116" s="13" t="s">
        <v>3716</v>
      </c>
      <c r="H116" s="2"/>
      <c r="I116" s="2"/>
      <c r="J116" s="2"/>
      <c r="K116" s="2"/>
      <c r="L116" s="2"/>
      <c r="M116" s="2"/>
      <c r="N116" s="2"/>
      <c r="O116" s="2"/>
      <c r="P116" s="2"/>
      <c r="Q116" s="2"/>
      <c r="R116" s="2"/>
      <c r="S116" s="2"/>
      <c r="T116" s="2"/>
      <c r="U116" s="2"/>
      <c r="V116" s="2"/>
      <c r="W116" s="2"/>
      <c r="X116" s="2"/>
      <c r="Y116" s="2"/>
      <c r="Z116" s="2"/>
    </row>
    <row r="117" ht="13.5" customHeight="1" spans="1:26">
      <c r="A117" s="13" t="s">
        <v>518</v>
      </c>
      <c r="B117" s="13" t="s">
        <v>1171</v>
      </c>
      <c r="C117" s="13" t="s">
        <v>515</v>
      </c>
      <c r="D117" s="14">
        <v>50</v>
      </c>
      <c r="E117" s="13" t="s">
        <v>37</v>
      </c>
      <c r="F117" s="13" t="s">
        <v>2283</v>
      </c>
      <c r="G117" s="13" t="s">
        <v>3717</v>
      </c>
      <c r="H117" s="2"/>
      <c r="I117" s="2"/>
      <c r="J117" s="2"/>
      <c r="K117" s="2"/>
      <c r="L117" s="2"/>
      <c r="M117" s="2"/>
      <c r="N117" s="2"/>
      <c r="O117" s="2"/>
      <c r="P117" s="2"/>
      <c r="Q117" s="2"/>
      <c r="R117" s="2"/>
      <c r="S117" s="2"/>
      <c r="T117" s="2"/>
      <c r="U117" s="2"/>
      <c r="V117" s="2"/>
      <c r="W117" s="2"/>
      <c r="X117" s="2"/>
      <c r="Y117" s="2"/>
      <c r="Z117" s="2"/>
    </row>
    <row r="118" customHeight="1" spans="1:26">
      <c r="A118" s="135" t="s">
        <v>520</v>
      </c>
      <c r="B118" s="136" t="s">
        <v>3718</v>
      </c>
      <c r="C118" s="136" t="s">
        <v>515</v>
      </c>
      <c r="D118" s="168">
        <v>50</v>
      </c>
      <c r="E118" s="136" t="s">
        <v>37</v>
      </c>
      <c r="F118" s="172" t="s">
        <v>3719</v>
      </c>
      <c r="G118" s="172" t="s">
        <v>3720</v>
      </c>
      <c r="H118" s="144"/>
      <c r="I118" s="144"/>
      <c r="J118" s="144"/>
      <c r="K118" s="144"/>
      <c r="L118" s="144"/>
      <c r="M118" s="144"/>
      <c r="N118" s="144"/>
      <c r="O118" s="144"/>
      <c r="P118" s="144"/>
      <c r="Q118" s="144"/>
      <c r="R118" s="144"/>
      <c r="S118" s="144"/>
      <c r="T118" s="144"/>
      <c r="U118" s="144"/>
      <c r="V118" s="144"/>
      <c r="W118" s="144"/>
      <c r="X118" s="144"/>
      <c r="Y118" s="144"/>
      <c r="Z118" s="144"/>
    </row>
    <row r="119" customHeight="1" spans="1:26">
      <c r="A119" s="64" t="s">
        <v>522</v>
      </c>
      <c r="B119" s="13" t="s">
        <v>523</v>
      </c>
      <c r="C119" s="13" t="s">
        <v>524</v>
      </c>
      <c r="D119" s="65">
        <v>90</v>
      </c>
      <c r="E119" s="13" t="s">
        <v>21</v>
      </c>
      <c r="F119" s="13" t="s">
        <v>525</v>
      </c>
      <c r="G119" s="173" t="s">
        <v>3721</v>
      </c>
      <c r="H119" s="2"/>
      <c r="I119" s="2"/>
      <c r="J119" s="2"/>
      <c r="K119" s="2"/>
      <c r="L119" s="2"/>
      <c r="M119" s="2"/>
      <c r="N119" s="2"/>
      <c r="O119" s="2"/>
      <c r="P119" s="2"/>
      <c r="Q119" s="2"/>
      <c r="R119" s="2"/>
      <c r="S119" s="2"/>
      <c r="T119" s="2"/>
      <c r="U119" s="2"/>
      <c r="V119" s="2"/>
      <c r="W119" s="2"/>
      <c r="X119" s="2"/>
      <c r="Y119" s="2"/>
      <c r="Z119" s="2"/>
    </row>
    <row r="120" customHeight="1" spans="1:26">
      <c r="A120" s="13" t="s">
        <v>527</v>
      </c>
      <c r="B120" s="13" t="s">
        <v>528</v>
      </c>
      <c r="C120" s="13" t="s">
        <v>529</v>
      </c>
      <c r="D120" s="57"/>
      <c r="E120" s="57"/>
      <c r="F120" s="13" t="s">
        <v>530</v>
      </c>
      <c r="G120" s="13" t="s">
        <v>531</v>
      </c>
      <c r="H120" s="2"/>
      <c r="I120" s="2"/>
      <c r="J120" s="2"/>
      <c r="K120" s="2"/>
      <c r="L120" s="2"/>
      <c r="M120" s="2"/>
      <c r="N120" s="2"/>
      <c r="O120" s="2"/>
      <c r="P120" s="2"/>
      <c r="Q120" s="2"/>
      <c r="R120" s="2"/>
      <c r="S120" s="2"/>
      <c r="T120" s="2"/>
      <c r="U120" s="2"/>
      <c r="V120" s="2"/>
      <c r="W120" s="2"/>
      <c r="X120" s="2"/>
      <c r="Y120" s="2"/>
      <c r="Z120" s="2"/>
    </row>
    <row r="121" ht="13.5" customHeight="1" spans="1:26">
      <c r="A121" s="13" t="s">
        <v>532</v>
      </c>
      <c r="B121" s="13" t="s">
        <v>3722</v>
      </c>
      <c r="C121" s="13" t="s">
        <v>534</v>
      </c>
      <c r="D121" s="14">
        <v>120</v>
      </c>
      <c r="E121" s="13" t="s">
        <v>37</v>
      </c>
      <c r="F121" s="13" t="s">
        <v>3723</v>
      </c>
      <c r="G121" s="174" t="s">
        <v>3724</v>
      </c>
      <c r="H121" s="2"/>
      <c r="I121" s="2"/>
      <c r="J121" s="2"/>
      <c r="K121" s="2"/>
      <c r="L121" s="2"/>
      <c r="M121" s="2"/>
      <c r="N121" s="2"/>
      <c r="O121" s="2"/>
      <c r="P121" s="2"/>
      <c r="Q121" s="2"/>
      <c r="R121" s="2"/>
      <c r="S121" s="2"/>
      <c r="T121" s="2"/>
      <c r="U121" s="2"/>
      <c r="V121" s="2"/>
      <c r="W121" s="2"/>
      <c r="X121" s="2"/>
      <c r="Y121" s="2"/>
      <c r="Z121" s="2"/>
    </row>
    <row r="122" ht="13.5" customHeight="1" spans="1:26">
      <c r="A122" s="64" t="s">
        <v>537</v>
      </c>
      <c r="B122" s="68" t="str">
        <f>HYPERLINK("http://partners.webmasterplan.com/click.asp?ref=586499&amp;site=5247&amp;type=text&amp;tnb=4","E wie einfach")</f>
        <v>E wie einfach</v>
      </c>
      <c r="C122" s="135" t="s">
        <v>3725</v>
      </c>
      <c r="D122" s="65">
        <v>60</v>
      </c>
      <c r="E122" s="13" t="s">
        <v>37</v>
      </c>
      <c r="F122" s="13" t="s">
        <v>3726</v>
      </c>
      <c r="G122" s="13" t="s">
        <v>3727</v>
      </c>
      <c r="H122" s="2"/>
      <c r="I122" s="2"/>
      <c r="J122" s="2"/>
      <c r="K122" s="2"/>
      <c r="L122" s="2"/>
      <c r="M122" s="2"/>
      <c r="N122" s="2"/>
      <c r="O122" s="2"/>
      <c r="P122" s="2"/>
      <c r="Q122" s="2"/>
      <c r="R122" s="2"/>
      <c r="S122" s="2"/>
      <c r="T122" s="2"/>
      <c r="U122" s="2"/>
      <c r="V122" s="2"/>
      <c r="W122" s="2"/>
      <c r="X122" s="2"/>
      <c r="Y122" s="2"/>
      <c r="Z122" s="2"/>
    </row>
    <row r="123" ht="13.5" customHeight="1" spans="1:26">
      <c r="A123" s="64" t="s">
        <v>542</v>
      </c>
      <c r="B123" s="13" t="s">
        <v>3728</v>
      </c>
      <c r="C123" s="13" t="s">
        <v>539</v>
      </c>
      <c r="D123" s="72"/>
      <c r="E123" s="57"/>
      <c r="F123" s="13" t="s">
        <v>3729</v>
      </c>
      <c r="G123" s="13" t="s">
        <v>3730</v>
      </c>
      <c r="H123" s="2"/>
      <c r="I123" s="2"/>
      <c r="J123" s="2"/>
      <c r="K123" s="2"/>
      <c r="L123" s="2"/>
      <c r="M123" s="2"/>
      <c r="N123" s="2"/>
      <c r="O123" s="2"/>
      <c r="P123" s="2"/>
      <c r="Q123" s="2"/>
      <c r="R123" s="2"/>
      <c r="S123" s="2"/>
      <c r="T123" s="2"/>
      <c r="U123" s="2"/>
      <c r="V123" s="2"/>
      <c r="W123" s="2"/>
      <c r="X123" s="2"/>
      <c r="Y123" s="2"/>
      <c r="Z123" s="2"/>
    </row>
    <row r="124" ht="13.5" customHeight="1" spans="1:26">
      <c r="A124" s="135" t="s">
        <v>546</v>
      </c>
      <c r="B124" s="136" t="s">
        <v>3731</v>
      </c>
      <c r="C124" s="136" t="s">
        <v>548</v>
      </c>
      <c r="D124" s="168">
        <v>100</v>
      </c>
      <c r="E124" s="136" t="s">
        <v>37</v>
      </c>
      <c r="F124" s="172" t="s">
        <v>3732</v>
      </c>
      <c r="G124" s="172" t="s">
        <v>3733</v>
      </c>
      <c r="H124" s="144"/>
      <c r="I124" s="144"/>
      <c r="J124" s="144"/>
      <c r="K124" s="144"/>
      <c r="L124" s="144"/>
      <c r="M124" s="144"/>
      <c r="N124" s="144"/>
      <c r="O124" s="144"/>
      <c r="P124" s="144"/>
      <c r="Q124" s="144"/>
      <c r="R124" s="144"/>
      <c r="S124" s="144"/>
      <c r="T124" s="144"/>
      <c r="U124" s="144"/>
      <c r="V124" s="144"/>
      <c r="W124" s="144"/>
      <c r="X124" s="144"/>
      <c r="Y124" s="144"/>
      <c r="Z124" s="144"/>
    </row>
    <row r="125" ht="13.5" customHeight="1" spans="1:26">
      <c r="A125" s="169" t="s">
        <v>551</v>
      </c>
      <c r="B125" s="170" t="s">
        <v>3734</v>
      </c>
      <c r="C125" s="170" t="s">
        <v>553</v>
      </c>
      <c r="D125" s="42">
        <v>30</v>
      </c>
      <c r="E125" s="170" t="s">
        <v>37</v>
      </c>
      <c r="F125" s="175" t="s">
        <v>3735</v>
      </c>
      <c r="G125" s="175" t="s">
        <v>3736</v>
      </c>
      <c r="H125" s="144"/>
      <c r="I125" s="144"/>
      <c r="J125" s="144"/>
      <c r="K125" s="144"/>
      <c r="L125" s="144"/>
      <c r="M125" s="144"/>
      <c r="N125" s="144"/>
      <c r="O125" s="144"/>
      <c r="P125" s="144"/>
      <c r="Q125" s="144"/>
      <c r="R125" s="144"/>
      <c r="S125" s="144"/>
      <c r="T125" s="144"/>
      <c r="U125" s="144"/>
      <c r="V125" s="144"/>
      <c r="W125" s="144"/>
      <c r="X125" s="144"/>
      <c r="Y125" s="144"/>
      <c r="Z125" s="144"/>
    </row>
    <row r="126" ht="13.5" customHeight="1" spans="1:26">
      <c r="A126" s="169" t="s">
        <v>556</v>
      </c>
      <c r="B126" s="170" t="s">
        <v>3737</v>
      </c>
      <c r="C126" s="170" t="s">
        <v>557</v>
      </c>
      <c r="D126" s="171">
        <v>30</v>
      </c>
      <c r="E126" s="170" t="s">
        <v>37</v>
      </c>
      <c r="F126" s="175" t="s">
        <v>3738</v>
      </c>
      <c r="G126" s="175" t="s">
        <v>3739</v>
      </c>
      <c r="H126" s="144"/>
      <c r="I126" s="144"/>
      <c r="J126" s="144"/>
      <c r="K126" s="144"/>
      <c r="L126" s="144"/>
      <c r="M126" s="144"/>
      <c r="N126" s="144"/>
      <c r="O126" s="144"/>
      <c r="P126" s="144"/>
      <c r="Q126" s="144"/>
      <c r="R126" s="144"/>
      <c r="S126" s="144"/>
      <c r="T126" s="144"/>
      <c r="U126" s="144"/>
      <c r="V126" s="144"/>
      <c r="W126" s="144"/>
      <c r="X126" s="144"/>
      <c r="Y126" s="144"/>
      <c r="Z126" s="144"/>
    </row>
    <row r="127" ht="13.5" customHeight="1" spans="1:26">
      <c r="A127" s="169" t="s">
        <v>558</v>
      </c>
      <c r="B127" s="170" t="s">
        <v>3740</v>
      </c>
      <c r="C127" s="170" t="s">
        <v>560</v>
      </c>
      <c r="D127" s="171">
        <v>40</v>
      </c>
      <c r="E127" s="170" t="s">
        <v>37</v>
      </c>
      <c r="F127" s="175" t="s">
        <v>3741</v>
      </c>
      <c r="G127" s="175" t="s">
        <v>3742</v>
      </c>
      <c r="H127" s="144"/>
      <c r="I127" s="144"/>
      <c r="J127" s="144"/>
      <c r="K127" s="144"/>
      <c r="L127" s="144"/>
      <c r="M127" s="144"/>
      <c r="N127" s="144"/>
      <c r="O127" s="144"/>
      <c r="P127" s="144"/>
      <c r="Q127" s="144"/>
      <c r="R127" s="144"/>
      <c r="S127" s="144"/>
      <c r="T127" s="144"/>
      <c r="U127" s="144"/>
      <c r="V127" s="144"/>
      <c r="W127" s="144"/>
      <c r="X127" s="144"/>
      <c r="Y127" s="144"/>
      <c r="Z127" s="144"/>
    </row>
    <row r="128" ht="13.5" customHeight="1" spans="1:26">
      <c r="A128" s="169" t="s">
        <v>563</v>
      </c>
      <c r="B128" s="170" t="s">
        <v>3743</v>
      </c>
      <c r="C128" s="170" t="s">
        <v>565</v>
      </c>
      <c r="D128" s="171">
        <v>80</v>
      </c>
      <c r="E128" s="170" t="s">
        <v>37</v>
      </c>
      <c r="F128" s="175" t="s">
        <v>3744</v>
      </c>
      <c r="G128" s="175" t="s">
        <v>3745</v>
      </c>
      <c r="H128" s="144"/>
      <c r="I128" s="144"/>
      <c r="J128" s="144"/>
      <c r="K128" s="144"/>
      <c r="L128" s="144"/>
      <c r="M128" s="144"/>
      <c r="N128" s="144"/>
      <c r="O128" s="144"/>
      <c r="P128" s="144"/>
      <c r="Q128" s="144"/>
      <c r="R128" s="144"/>
      <c r="S128" s="144"/>
      <c r="T128" s="144"/>
      <c r="U128" s="144"/>
      <c r="V128" s="144"/>
      <c r="W128" s="144"/>
      <c r="X128" s="144"/>
      <c r="Y128" s="144"/>
      <c r="Z128" s="144"/>
    </row>
    <row r="129" ht="13.5" customHeight="1" spans="1:26">
      <c r="A129" s="176" t="s">
        <v>568</v>
      </c>
      <c r="B129" s="177" t="s">
        <v>3746</v>
      </c>
      <c r="C129" s="177" t="s">
        <v>570</v>
      </c>
      <c r="D129" s="178"/>
      <c r="E129" s="144"/>
      <c r="F129" s="134" t="s">
        <v>3747</v>
      </c>
      <c r="G129" s="134" t="s">
        <v>3748</v>
      </c>
      <c r="H129" s="144"/>
      <c r="I129" s="144"/>
      <c r="J129" s="144"/>
      <c r="K129" s="144"/>
      <c r="L129" s="144"/>
      <c r="M129" s="144"/>
      <c r="N129" s="144"/>
      <c r="O129" s="144"/>
      <c r="P129" s="144"/>
      <c r="Q129" s="144"/>
      <c r="R129" s="144"/>
      <c r="S129" s="144"/>
      <c r="T129" s="144"/>
      <c r="U129" s="144"/>
      <c r="V129" s="144"/>
      <c r="W129" s="144"/>
      <c r="X129" s="144"/>
      <c r="Y129" s="144"/>
      <c r="Z129" s="144"/>
    </row>
    <row r="130" ht="13.5" customHeight="1" spans="1:26">
      <c r="A130" s="178" t="s">
        <v>572</v>
      </c>
      <c r="B130" s="179" t="s">
        <v>3749</v>
      </c>
      <c r="C130" s="180" t="s">
        <v>570</v>
      </c>
      <c r="D130" s="178"/>
      <c r="E130" s="144"/>
      <c r="F130" s="134" t="s">
        <v>3750</v>
      </c>
      <c r="G130" s="134" t="s">
        <v>3611</v>
      </c>
      <c r="H130" s="144"/>
      <c r="I130" s="144"/>
      <c r="J130" s="144"/>
      <c r="K130" s="144"/>
      <c r="L130" s="144"/>
      <c r="M130" s="144"/>
      <c r="N130" s="144"/>
      <c r="O130" s="144"/>
      <c r="P130" s="144"/>
      <c r="Q130" s="144"/>
      <c r="R130" s="144"/>
      <c r="S130" s="144"/>
      <c r="T130" s="144"/>
      <c r="U130" s="144"/>
      <c r="V130" s="144"/>
      <c r="W130" s="144"/>
      <c r="X130" s="144"/>
      <c r="Y130" s="144"/>
      <c r="Z130" s="144"/>
    </row>
    <row r="131" ht="13.5" customHeight="1" spans="1:26">
      <c r="A131" s="2" t="s">
        <v>576</v>
      </c>
      <c r="B131" s="64" t="s">
        <v>3751</v>
      </c>
      <c r="C131" s="11" t="s">
        <v>578</v>
      </c>
      <c r="D131" s="13"/>
      <c r="E131" s="57"/>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135" t="s">
        <v>3752</v>
      </c>
      <c r="C132" s="11" t="s">
        <v>578</v>
      </c>
      <c r="D132" s="13"/>
      <c r="E132" s="57"/>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64" t="s">
        <v>3753</v>
      </c>
      <c r="C133" s="11" t="s">
        <v>578</v>
      </c>
      <c r="D133" s="13"/>
      <c r="E133" s="57"/>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64" t="s">
        <v>3754</v>
      </c>
      <c r="C134" s="11" t="s">
        <v>578</v>
      </c>
      <c r="D134" s="13"/>
      <c r="E134" s="57"/>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64" t="s">
        <v>3755</v>
      </c>
      <c r="C135" s="11" t="s">
        <v>578</v>
      </c>
      <c r="D135" s="13"/>
      <c r="E135" s="57"/>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64" t="s">
        <v>1209</v>
      </c>
      <c r="C136" s="11" t="s">
        <v>578</v>
      </c>
      <c r="D136" s="13"/>
      <c r="E136" s="57"/>
      <c r="F136" s="2" t="s">
        <v>589</v>
      </c>
      <c r="G136" s="134" t="s">
        <v>3756</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64" t="s">
        <v>3757</v>
      </c>
      <c r="C137" s="11" t="s">
        <v>578</v>
      </c>
      <c r="D137" s="13"/>
      <c r="E137" s="57"/>
      <c r="F137" s="134" t="s">
        <v>3758</v>
      </c>
      <c r="G137" s="134" t="s">
        <v>3759</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64" t="s">
        <v>3760</v>
      </c>
      <c r="C138" s="11" t="s">
        <v>578</v>
      </c>
      <c r="D138" s="13"/>
      <c r="E138" s="57"/>
      <c r="F138" s="134" t="s">
        <v>3761</v>
      </c>
      <c r="G138" s="134" t="s">
        <v>3762</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135" t="s">
        <v>3763</v>
      </c>
      <c r="C139" s="11" t="s">
        <v>578</v>
      </c>
      <c r="D139" s="13"/>
      <c r="E139" s="57"/>
      <c r="F139" s="134" t="s">
        <v>3764</v>
      </c>
      <c r="G139" s="134" t="s">
        <v>3765</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135" t="s">
        <v>3766</v>
      </c>
      <c r="C140" s="11" t="s">
        <v>578</v>
      </c>
      <c r="D140" s="13"/>
      <c r="E140" s="57"/>
      <c r="F140" s="134" t="s">
        <v>3767</v>
      </c>
      <c r="G140" s="134" t="s">
        <v>3768</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64" t="s">
        <v>1222</v>
      </c>
      <c r="C141" s="11" t="s">
        <v>609</v>
      </c>
      <c r="D141" s="13"/>
      <c r="E141" s="57"/>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64" t="s">
        <v>3769</v>
      </c>
      <c r="C142" s="11" t="s">
        <v>612</v>
      </c>
      <c r="D142" s="13"/>
      <c r="E142" s="57"/>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64" t="s">
        <v>3770</v>
      </c>
      <c r="C143" s="6" t="s">
        <v>615</v>
      </c>
      <c r="D143" s="13"/>
      <c r="E143" s="57"/>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64" t="s">
        <v>618</v>
      </c>
      <c r="C144" s="11" t="s">
        <v>618</v>
      </c>
      <c r="D144" s="13"/>
      <c r="E144" s="57"/>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64" t="s">
        <v>3771</v>
      </c>
      <c r="C145" s="11" t="s">
        <v>612</v>
      </c>
      <c r="D145" s="13"/>
      <c r="E145" s="57"/>
      <c r="F145" s="134" t="s">
        <v>3772</v>
      </c>
      <c r="G145" s="134" t="s">
        <v>3773</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135" t="s">
        <v>3774</v>
      </c>
      <c r="C146" s="11" t="s">
        <v>612</v>
      </c>
      <c r="D146" s="13"/>
      <c r="E146" s="57"/>
      <c r="F146" s="134" t="s">
        <v>3775</v>
      </c>
      <c r="G146" s="134" t="s">
        <v>3776</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135" t="s">
        <v>3777</v>
      </c>
      <c r="C147" s="11" t="s">
        <v>612</v>
      </c>
      <c r="D147" s="13"/>
      <c r="E147" s="57"/>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135" t="s">
        <v>3778</v>
      </c>
      <c r="C148" s="11" t="s">
        <v>612</v>
      </c>
      <c r="D148" s="13"/>
      <c r="E148" s="57"/>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135" t="s">
        <v>3779</v>
      </c>
      <c r="C149" s="11" t="s">
        <v>612</v>
      </c>
      <c r="D149" s="13"/>
      <c r="E149" s="57"/>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135" t="s">
        <v>3780</v>
      </c>
      <c r="C150" s="11" t="s">
        <v>612</v>
      </c>
      <c r="D150" s="13"/>
      <c r="E150" s="57"/>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135" t="s">
        <v>3781</v>
      </c>
      <c r="C151" s="11" t="s">
        <v>612</v>
      </c>
      <c r="D151" s="13"/>
      <c r="E151" s="57"/>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135" t="s">
        <v>3782</v>
      </c>
      <c r="C152" s="11" t="s">
        <v>612</v>
      </c>
      <c r="D152" s="13"/>
      <c r="E152" s="57"/>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135" t="s">
        <v>3783</v>
      </c>
      <c r="C153" s="11" t="s">
        <v>612</v>
      </c>
      <c r="D153" s="13"/>
      <c r="E153" s="57"/>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135" t="s">
        <v>3784</v>
      </c>
      <c r="C154" s="11" t="s">
        <v>612</v>
      </c>
      <c r="D154" s="13"/>
      <c r="E154" s="57"/>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135" t="s">
        <v>644</v>
      </c>
      <c r="C155" s="11" t="s">
        <v>644</v>
      </c>
      <c r="D155" s="13"/>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6" t="s">
        <v>645</v>
      </c>
      <c r="B156" s="135" t="s">
        <v>644</v>
      </c>
      <c r="C156" s="11" t="s">
        <v>644</v>
      </c>
      <c r="D156" s="13"/>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13" t="s">
        <v>646</v>
      </c>
      <c r="B157" s="135" t="s">
        <v>1239</v>
      </c>
      <c r="C157" s="13" t="s">
        <v>648</v>
      </c>
      <c r="D157" s="13"/>
      <c r="E157" s="2"/>
      <c r="F157" s="13" t="s">
        <v>649</v>
      </c>
      <c r="G157" s="13" t="s">
        <v>650</v>
      </c>
      <c r="H157" s="2"/>
      <c r="I157" s="2"/>
      <c r="J157" s="2"/>
      <c r="K157" s="2"/>
      <c r="L157" s="2"/>
      <c r="M157" s="2"/>
      <c r="N157" s="2"/>
      <c r="O157" s="2"/>
      <c r="P157" s="2"/>
      <c r="Q157" s="2"/>
      <c r="R157" s="2"/>
      <c r="S157" s="2"/>
      <c r="T157" s="2"/>
      <c r="U157" s="2"/>
      <c r="V157" s="2"/>
      <c r="W157" s="2"/>
      <c r="X157" s="2"/>
      <c r="Y157" s="2"/>
      <c r="Z157" s="2"/>
    </row>
    <row r="158" ht="14.8" spans="1:26">
      <c r="A158" s="2" t="s">
        <v>651</v>
      </c>
      <c r="B158" s="135" t="s">
        <v>3785</v>
      </c>
      <c r="C158" s="11" t="s">
        <v>653</v>
      </c>
      <c r="D158" s="13"/>
      <c r="E158" s="2"/>
      <c r="F158" s="134" t="s">
        <v>3786</v>
      </c>
      <c r="G158" s="134" t="s">
        <v>3787</v>
      </c>
      <c r="H158" s="2"/>
      <c r="I158" s="2"/>
      <c r="J158" s="2"/>
      <c r="K158" s="2"/>
      <c r="L158" s="2"/>
      <c r="M158" s="2"/>
      <c r="N158" s="2"/>
      <c r="O158" s="2"/>
      <c r="P158" s="2"/>
      <c r="Q158" s="2"/>
      <c r="R158" s="2"/>
      <c r="S158" s="2"/>
      <c r="T158" s="2"/>
      <c r="U158" s="2"/>
      <c r="V158" s="2"/>
      <c r="W158" s="2"/>
      <c r="X158" s="2"/>
      <c r="Y158" s="2"/>
      <c r="Z158" s="2"/>
    </row>
    <row r="159" ht="13.5" customHeight="1" spans="1:26">
      <c r="A159" s="37" t="s">
        <v>3788</v>
      </c>
      <c r="B159" s="2" t="s">
        <v>3788</v>
      </c>
      <c r="C159" s="37" t="s">
        <v>658</v>
      </c>
      <c r="D159" s="38"/>
      <c r="E159" s="39"/>
      <c r="F159" s="9" t="str">
        <f>HYPERLINK("https://cdn3.mobiletransaction.org/wp-content/uploads/2015/07/eftpos-logo.png","https://cdn3.mobiletransaction.org/wp-content/uploads/2015/07/eftpos-logo.png")</f>
        <v>https://cdn3.mobiletransaction.org/wp-content/uploads/2015/07/eftpos-logo.png</v>
      </c>
      <c r="G159" s="9" t="str">
        <f>HYPERLINK("https://eftposwin.com.au","https://eftposwin.com.au")</f>
        <v>https://eftposwin.com.au</v>
      </c>
      <c r="H159" s="40"/>
      <c r="I159" s="39"/>
      <c r="J159" s="39"/>
      <c r="K159" s="39"/>
      <c r="L159" s="39"/>
      <c r="M159" s="39"/>
      <c r="N159" s="39"/>
      <c r="O159" s="39"/>
      <c r="P159" s="39"/>
      <c r="Q159" s="39"/>
      <c r="R159" s="2"/>
      <c r="S159" s="2"/>
      <c r="T159" s="2"/>
      <c r="U159" s="2"/>
      <c r="V159" s="2"/>
      <c r="W159" s="2"/>
      <c r="X159" s="2"/>
      <c r="Y159" s="2"/>
      <c r="Z159" s="2"/>
    </row>
    <row r="160" ht="13.5" customHeight="1" spans="1:26">
      <c r="A160" s="2" t="s">
        <v>2344</v>
      </c>
      <c r="B160" s="2" t="s">
        <v>2344</v>
      </c>
      <c r="C160" s="2" t="s">
        <v>658</v>
      </c>
      <c r="D160" s="39"/>
      <c r="E160" s="39"/>
      <c r="F160" s="9" t="str">
        <f>HYPERLINK("https://seeklogo.com/images/M/mastercard-logo-473B8726A9-seeklogo.com.png","https://seeklogo.com/images/M/mastercard-logo-473B8726A9-seeklogo.com.png")</f>
        <v>https://seeklogo.com/images/M/mastercard-logo-473B8726A9-seeklogo.com.png</v>
      </c>
      <c r="G160" s="134" t="s">
        <v>3789</v>
      </c>
      <c r="H160" s="39"/>
      <c r="I160" s="39"/>
      <c r="J160" s="39"/>
      <c r="K160" s="39"/>
      <c r="L160" s="39"/>
      <c r="M160" s="39"/>
      <c r="N160" s="39"/>
      <c r="O160" s="39"/>
      <c r="P160" s="39"/>
      <c r="Q160" s="39"/>
      <c r="R160" s="2"/>
      <c r="S160" s="2"/>
      <c r="T160" s="2"/>
      <c r="U160" s="2"/>
      <c r="V160" s="2"/>
      <c r="W160" s="2"/>
      <c r="X160" s="2"/>
      <c r="Y160" s="2"/>
      <c r="Z160" s="2"/>
    </row>
    <row r="161" ht="14.8" spans="1:26">
      <c r="A161" s="2"/>
      <c r="B161" s="13"/>
      <c r="C161" s="13"/>
      <c r="D161" s="13"/>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13"/>
      <c r="C162" s="13"/>
      <c r="D162" s="13"/>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13"/>
      <c r="C163" s="13"/>
      <c r="D163" s="13"/>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13"/>
      <c r="C164" s="13"/>
      <c r="D164" s="13"/>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64"/>
      <c r="C165" s="13"/>
      <c r="D165" s="13"/>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13"/>
      <c r="C166" s="13"/>
      <c r="D166" s="13"/>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13"/>
      <c r="C167" s="13"/>
      <c r="D167" s="13"/>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13"/>
      <c r="C168" s="13"/>
      <c r="D168" s="13"/>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8" spans="1:26">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8" spans="1:26">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8" spans="1:26">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8" spans="1:26">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8" spans="1:26">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8" spans="1:2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8" spans="1:26">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8" spans="1:26">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8" spans="1:26">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8" spans="1:26">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8" spans="1:26">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8" spans="1:26">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4.8" spans="1:26">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4.8" spans="1:26">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4.8" spans="1:26">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14.8" spans="1:2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14.8" spans="1:26">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14.8" spans="1:26">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14.8" spans="1:26">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ht="14.8" spans="1:26">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ht="14.8" spans="1:26">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ht="14.8" spans="1:26">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ht="14.8" spans="1:26">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ht="14.8" spans="1:26">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ht="14.8" spans="1:26">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ht="14.8" spans="1: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ht="14.8" spans="1:26">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ht="14.8" spans="1:26">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ht="14.8" spans="1:26">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ht="14.8" spans="1:26">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ht="14.8" spans="1:26">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ht="14.8" spans="1:26">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ht="14.8" spans="1:26">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sheetData>
  <hyperlinks>
    <hyperlink ref="F4" r:id="rId1" display="https://upload.wikimedia.org/wikipedia/commons/thumb/4/41/Lufthansa-Logo_1964.svg/1024px-Lufthansa-Logo_1964.svg.png"/>
    <hyperlink ref="G4" r:id="rId2" display="http://www.lufthansa.com/online/portal/lh/de/homepage"/>
    <hyperlink ref="G5" r:id="rId3" display="https://www.easyjet.com/de"/>
    <hyperlink ref="F13" r:id="rId4" display="https://upload.wikimedia.org/wikipedia/commons/thumb/e/e8/WDC_Logo_H_D_CMYK.jpg/1200px-WDC_Logo_H_D_CMYK.jpg"/>
    <hyperlink ref="G13" r:id="rId5" display="http://de.whales.org"/>
    <hyperlink ref="F17" r:id="rId6" display="http://www.hoermann.ae/fileadmin/user_upload/Hoermann.ae/News/teaser_News_HOE-WM_714x300.jpg"/>
    <hyperlink ref="G17" r:id="rId7" display="http://www.hoermann.com/produkte/"/>
    <hyperlink ref="F18" r:id="rId8" display="https://www.berlin.de/css/berlin_de/echo/images/logo_berlin_de.svg"/>
    <hyperlink ref="G18" r:id="rId9" display="https://www.berlin.de/sen/finanzen/steuern/finanzaemter/pankow-weissensee/"/>
    <hyperlink ref="F25" r:id="rId10" display="http://www.blue-whale.in/wp-content/uploads/2015/10/msc-logo.png"/>
    <hyperlink ref="G25" r:id="rId11" display="https://www.msc.com/deu?lang=de-de"/>
    <hyperlink ref="F28" r:id="rId12" display="https://www.lidl.de/imgs/llogo.png"/>
    <hyperlink ref="G28" r:id="rId13" display="https://www.lidl.de"/>
    <hyperlink ref="F33" r:id="rId14" display="https://pbs.twimg.com/profile_images/848831561831260164/ZkoeG1mx_400x400.jpg"/>
    <hyperlink ref="G33" r:id="rId15" display="http://www.schaeffler.de/content.schaeffler.de/en/company/company.jsp"/>
    <hyperlink ref="F34" r:id="rId16" display="https://upload.wikimedia.org/wikipedia/commons/thumb/7/78/Logo_Bosch_Rexroth_Ltda.jpg/1200px-Logo_Bosch_Rexroth_Ltda.jpg"/>
    <hyperlink ref="G34" r:id="rId17" display="https://www.boschrexroth.com/de/de/"/>
    <hyperlink ref="F39" r:id="rId18" display="https://www.vodafone.co.uk/cs/groups/public/documents/webcontent/1287x929_vodafone_logo.jpg"/>
    <hyperlink ref="G39" r:id="rId19" display="https://www.vodafone.de"/>
    <hyperlink ref="F40" r:id="rId20" display="http://www.golf-resort-berlin-pankow.de/images/Logo_pankow_120.jpg"/>
    <hyperlink ref="G40" r:id="rId21" display="http://www.golf-pankow.de"/>
    <hyperlink ref="G43" r:id="rId22" display="http://www.viking.de/en/bueroartikel"/>
    <hyperlink ref="F45" r:id="rId23" display="http://unit-berlin.de/co/upload/unitPics/b_unit-berlin_4d9f59fd55c56.gif"/>
    <hyperlink ref="G45" r:id="rId24" display="https://specs-berlin.de/de"/>
    <hyperlink ref="F46" r:id="rId25" display="https://upload.wikimedia.org/wikipedia/commons/thumb/5/5b/Contipark-logo.svg/2000px-Contipark-logo.svg.png"/>
    <hyperlink ref="G46" r:id="rId26" display="http://www.contipark.de/de-DE/find-parking/berlin-tiefgarage-kulturbrauerei/"/>
    <hyperlink ref="F48" r:id="rId27" display="https://upload.wikimedia.org/wikipedia/commons/c/c0/WITTE_Logo_HKS93.jpg"/>
    <hyperlink ref="G48" r:id="rId28" display="http://www.witte-tube.com"/>
    <hyperlink ref="F50" r:id="rId29" display="https://upload.wikimedia.org/wikipedia/commons/thumb/8/8f/K%26M_Elektronik_Logo.svg/2000px-K%26M_Elektronik_Logo.svg.png"/>
    <hyperlink ref="G50" r:id="rId30" display="https://www.kmcomputer.de/Filiale/info/storeId/4"/>
    <hyperlink ref="F53" r:id="rId31" display="https://berlinfoodstories.com/wp-content/uploads/2012/02/babel-berlin-restaurant-outside.jpg"/>
    <hyperlink ref="G53" r:id="rId32" display="http://babelrestaurant.alaqsamosque.co"/>
    <hyperlink ref="F54" r:id="rId33" display="https://media-cdn.tripadvisor.com/media/photo-s/10/15/26/c9/photo2jpg.jpg"/>
    <hyperlink ref="G54" r:id="rId34" display="https://www.co-chu.de"/>
    <hyperlink ref="F55" r:id="rId35" display="http://www.thebirdinberlin.com/uploads/1/9/9/0/19902721/editor/the-bird-prenzlauer-berg-logo_2.png?1489954335"/>
    <hyperlink ref="G55" r:id="rId36" display="http://www.thebirdinberlin.com"/>
    <hyperlink ref="F64" r:id="rId37" display="https://blog.vdi.de/wp-content/uploads/2014/05/ab-1985-01-Bild.jpg"/>
    <hyperlink ref="G64" r:id="rId38" display="http://www.vdik.de/startseite.html?L=1%252525252525252525252527A%25252525252525252525253D0"/>
    <hyperlink ref="G70" r:id="rId39" display="http://www.disneystore.de/"/>
    <hyperlink ref="G87" r:id="rId40" display="https://aus.berlin"/>
    <hyperlink ref="F88" r:id="rId41" display="https://meineinkauf.ch/fileadmin/_processed_/4/c/csm_1637_manufactum_5532e46608.png"/>
    <hyperlink ref="G88" r:id="rId42" display="https://www.manufactum.de/manufactum-berlin-c-41/"/>
    <hyperlink ref="F100" r:id="rId43" display="http://l7.alamy.com/zooms/9149357fd48a4195ad6df0cd39781d6b/das-logo-der-marke-euroshop-berlin-hab0n3.jpg"/>
    <hyperlink ref="G100" r:id="rId44" display="https://www.euroshop-online.de/1-euro-shop.html"/>
    <hyperlink ref="F112" r:id="rId45" display="http://buslibrary.busworld.org/import/companylogos/139356.jpg"/>
    <hyperlink ref="G112" r:id="rId46" display="http://www.tmtech.de/index.php"/>
    <hyperlink ref="G113" r:id="rId47" display="http://de.farnell.com"/>
    <hyperlink ref="G114" r:id="rId48" display="https://www.dominos.de"/>
    <hyperlink ref="F118" r:id="rId49" display="https://upload.wikimedia.org/wikipedia/commons/thumb/2/2a/E-Plus%2BLogo.svg/2000px-E-Plus%2BLogo.svg.png"/>
    <hyperlink ref="G118" r:id="rId50" display="https://www.handyflatrate.de"/>
    <hyperlink ref="G119" r:id="rId51" display="http://www.ticketmaster.de"/>
    <hyperlink ref="F124" r:id="rId52" display="https://www.wingas.com/fileadmin/WINGAS-Designportal/03_Basiselemente/Downloads/WINGAS_Logo_Standard_RGB_1200px.jpg"/>
    <hyperlink ref="G124" r:id="rId53" display="https://www.wingas.com/produkte.html"/>
    <hyperlink ref="F125" r:id="rId54" display="http://www.bwb.de/content/language1/img_307/Logo-BWB-rgb_307x150.jpg"/>
    <hyperlink ref="G125" r:id="rId55" display="http://www.bwb.de/content/en/html/index.php"/>
    <hyperlink ref="F126" r:id="rId56" display="https://veolia-trennrechner.netwaste.de/images/6883453.png"/>
    <hyperlink ref="G126" r:id="rId57" display="https://www.veolia.de"/>
    <hyperlink ref="F127" r:id="rId58" display="http://solar.schneider-electric.com/wp-content/uploads/2016/04/Schneider_Electric.svg_.png"/>
    <hyperlink ref="G127" r:id="rId59" display="http://www.schneider-electric.de/de/"/>
    <hyperlink ref="F128" r:id="rId60" display="http://www.byc.berlin/wp-content/uploads/2017/02/BYC_150_ohneVerlauf.jpg"/>
    <hyperlink ref="G128" r:id="rId61" display="http://www.byc.berlin"/>
    <hyperlink ref="F129" r:id="rId62" display="http://riemerassociates.com/wp-content/uploads/2015/06/NEW_Double_ATM.png"/>
    <hyperlink ref="G129" r:id="rId63" display="https://www.santander.de/de/privatkunden/index.html"/>
    <hyperlink ref="F130" r:id="rId64" display="https://pic.immobilienscout24.de/userfiles/H/u/z/Q/8/E7jEaQRU3kL6gPyxCAXXDa.jpg"/>
    <hyperlink ref="G130" r:id="rId65" display="https://www.sparkasse.de"/>
    <hyperlink ref="G136" r:id="rId66" display="https://smiletrain.org"/>
    <hyperlink ref="F137" r:id="rId67" display="https://cdn.shopify.com/s/files/1/0831/4141/t/41/assets/footer-logo.png"/>
    <hyperlink ref="G137" r:id="rId68" display="https://thebarn.de"/>
    <hyperlink ref="F138" r:id="rId69" display="http://www.augen-optic-actuell.de/GRA/LOG/Logo_AOA2017_trans.gif"/>
    <hyperlink ref="G138" r:id="rId70" display="http://www.optiker-berlin.com"/>
    <hyperlink ref="F139" r:id="rId71" display="https://static.opendi.com/yellow/production/de/6198387/images/4364726.jpg"/>
    <hyperlink ref="G139" r:id="rId72" display="https://www.berlin-mitte-hotel.com/de"/>
    <hyperlink ref="F140" r:id="rId73" display="https://upload.wikimedia.org/wikipedia/en/thumb/f/fe/1._FC_Union_Berlin_logo.svg/1280px-1._FC_Union_Berlin_logo.svg.png"/>
    <hyperlink ref="G140" r:id="rId74" display="https://www.fc-union-berlin.de/landing/"/>
    <hyperlink ref="F145" r:id="rId75" display="https://www.clicks4charity.net/uploads/tx_usercharityshopping/ricam.png"/>
    <hyperlink ref="G145" r:id="rId76" display="https://www.ricam-hospiz.de"/>
    <hyperlink ref="F146" r:id="rId77" display="http://www.female-refugee-study.com/wp-content/uploads/2016/07/alexianer-logo-300x300.jpg"/>
    <hyperlink ref="G146" r:id="rId78" display="http://www.alexianer-berlin-hedwigkliniken.de/st_hedwig_krankenhaus/home/"/>
    <hyperlink ref="F158" r:id="rId79" display="https://i.pinimg.com/originals/9d/2f/7c/9d2f7c1b7a3a454bb230508e8c017ddc.jpg"/>
    <hyperlink ref="G158" r:id="rId80" display="https://www.hiscox.de"/>
    <hyperlink ref="G160" r:id="rId81" display="https://www.mastercard.de/de-de.html"/>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B23" sqref="B23"/>
    </sheetView>
  </sheetViews>
  <sheetFormatPr defaultColWidth="12.6607142857143" defaultRowHeight="15" customHeight="1"/>
  <cols>
    <col min="1" max="1" width="23.3303571428571" customWidth="1"/>
    <col min="2" max="2" width="27.1607142857143" customWidth="1"/>
    <col min="3" max="5" width="8.5" customWidth="1"/>
    <col min="6" max="6" width="28.1607142857143" customWidth="1"/>
    <col min="7" max="7" width="8.5" customWidth="1"/>
    <col min="8" max="8" width="25.3303571428571" customWidth="1"/>
    <col min="9" max="18" width="8.5" customWidth="1"/>
    <col min="19" max="26" width="11.1607142857143" customWidth="1"/>
  </cols>
  <sheetData>
    <row r="1" customHeight="1" spans="1:26">
      <c r="A1" s="56" t="s">
        <v>0</v>
      </c>
      <c r="B1" s="57"/>
      <c r="C1" s="57"/>
      <c r="D1" s="57"/>
      <c r="E1" s="57"/>
      <c r="F1" s="57"/>
      <c r="G1" s="57"/>
      <c r="H1" s="57"/>
      <c r="I1" s="2"/>
      <c r="J1" s="2"/>
      <c r="K1" s="2"/>
      <c r="L1" s="2"/>
      <c r="M1" s="2"/>
      <c r="N1" s="2"/>
      <c r="O1" s="2"/>
      <c r="P1" s="2"/>
      <c r="Q1" s="2"/>
      <c r="R1" s="2"/>
      <c r="S1" s="2"/>
      <c r="T1" s="2"/>
      <c r="U1" s="2"/>
      <c r="V1" s="2"/>
      <c r="W1" s="2"/>
      <c r="X1" s="2"/>
      <c r="Y1" s="2"/>
      <c r="Z1" s="2"/>
    </row>
    <row r="2" customHeight="1" spans="1:26">
      <c r="A2" s="58" t="s">
        <v>3790</v>
      </c>
      <c r="B2" s="49"/>
      <c r="C2" s="49"/>
      <c r="D2" s="59" t="s">
        <v>2</v>
      </c>
      <c r="E2" s="49"/>
      <c r="F2" s="49"/>
      <c r="G2" s="49"/>
      <c r="H2" s="57"/>
      <c r="I2" s="2"/>
      <c r="J2" s="2"/>
      <c r="K2" s="2"/>
      <c r="L2" s="2"/>
      <c r="M2" s="2"/>
      <c r="N2" s="2"/>
      <c r="O2" s="2"/>
      <c r="P2" s="2"/>
      <c r="Q2" s="2"/>
      <c r="R2" s="2"/>
      <c r="S2" s="2"/>
      <c r="T2" s="2"/>
      <c r="U2" s="2"/>
      <c r="V2" s="2"/>
      <c r="W2" s="2"/>
      <c r="X2" s="2"/>
      <c r="Y2" s="2"/>
      <c r="Z2" s="2"/>
    </row>
    <row r="3" customHeight="1" spans="1:26">
      <c r="A3" s="60" t="s">
        <v>1643</v>
      </c>
      <c r="B3" s="61" t="s">
        <v>4</v>
      </c>
      <c r="C3" s="61" t="s">
        <v>5</v>
      </c>
      <c r="D3" s="61" t="s">
        <v>6</v>
      </c>
      <c r="E3" s="61" t="s">
        <v>7</v>
      </c>
      <c r="F3" s="61" t="s">
        <v>8</v>
      </c>
      <c r="G3" s="61" t="s">
        <v>9</v>
      </c>
      <c r="H3" s="161"/>
      <c r="I3" s="2"/>
      <c r="J3" s="2"/>
      <c r="K3" s="2"/>
      <c r="L3" s="2"/>
      <c r="M3" s="2"/>
      <c r="N3" s="2"/>
      <c r="O3" s="2"/>
      <c r="P3" s="2"/>
      <c r="Q3" s="2"/>
      <c r="R3" s="2"/>
      <c r="S3" s="2"/>
      <c r="T3" s="2"/>
      <c r="U3" s="2"/>
      <c r="V3" s="2"/>
      <c r="W3" s="2"/>
      <c r="X3" s="2"/>
      <c r="Y3" s="2"/>
      <c r="Z3" s="2"/>
    </row>
    <row r="4" customHeight="1" spans="1:26">
      <c r="A4" s="163" t="s">
        <v>115</v>
      </c>
      <c r="B4" s="63" t="s">
        <v>3791</v>
      </c>
      <c r="C4" s="63" t="s">
        <v>117</v>
      </c>
      <c r="D4" s="98"/>
      <c r="E4" s="98"/>
      <c r="F4" s="63" t="s">
        <v>3792</v>
      </c>
      <c r="G4" s="63" t="s">
        <v>3793</v>
      </c>
      <c r="H4" s="57"/>
      <c r="I4" s="2"/>
      <c r="J4" s="2"/>
      <c r="K4" s="2"/>
      <c r="L4" s="2"/>
      <c r="M4" s="2"/>
      <c r="N4" s="2"/>
      <c r="O4" s="2"/>
      <c r="P4" s="2"/>
      <c r="Q4" s="2"/>
      <c r="R4" s="2"/>
      <c r="S4" s="2"/>
      <c r="T4" s="2"/>
      <c r="U4" s="2"/>
      <c r="V4" s="2"/>
      <c r="W4" s="2"/>
      <c r="X4" s="2"/>
      <c r="Y4" s="2"/>
      <c r="Z4" s="2"/>
    </row>
    <row r="5" customHeight="1" spans="1:26">
      <c r="A5" s="52" t="s">
        <v>115</v>
      </c>
      <c r="B5" s="62" t="s">
        <v>3794</v>
      </c>
      <c r="C5" s="13" t="s">
        <v>117</v>
      </c>
      <c r="D5" s="57"/>
      <c r="E5" s="57"/>
      <c r="F5" s="13" t="s">
        <v>3795</v>
      </c>
      <c r="G5" s="13" t="s">
        <v>3796</v>
      </c>
      <c r="H5" s="57"/>
      <c r="I5" s="2"/>
      <c r="J5" s="2"/>
      <c r="K5" s="2"/>
      <c r="L5" s="2"/>
      <c r="M5" s="2"/>
      <c r="N5" s="2"/>
      <c r="O5" s="2"/>
      <c r="P5" s="2"/>
      <c r="Q5" s="2"/>
      <c r="R5" s="2"/>
      <c r="S5" s="2"/>
      <c r="T5" s="2"/>
      <c r="U5" s="2"/>
      <c r="V5" s="2"/>
      <c r="W5" s="2"/>
      <c r="X5" s="2"/>
      <c r="Y5" s="2"/>
      <c r="Z5" s="2"/>
    </row>
    <row r="6" customHeight="1" spans="1:26">
      <c r="A6" s="151" t="s">
        <v>131</v>
      </c>
      <c r="B6" s="13" t="s">
        <v>3797</v>
      </c>
      <c r="C6" s="13" t="s">
        <v>117</v>
      </c>
      <c r="D6" s="57"/>
      <c r="E6" s="57"/>
      <c r="F6" s="13" t="s">
        <v>3798</v>
      </c>
      <c r="G6" s="13" t="s">
        <v>3799</v>
      </c>
      <c r="H6" s="57"/>
      <c r="I6" s="2"/>
      <c r="J6" s="2"/>
      <c r="K6" s="2"/>
      <c r="L6" s="2"/>
      <c r="M6" s="2"/>
      <c r="N6" s="2"/>
      <c r="O6" s="2"/>
      <c r="P6" s="2"/>
      <c r="Q6" s="2"/>
      <c r="R6" s="2"/>
      <c r="S6" s="2"/>
      <c r="T6" s="2"/>
      <c r="U6" s="2"/>
      <c r="V6" s="2"/>
      <c r="W6" s="2"/>
      <c r="X6" s="2"/>
      <c r="Y6" s="2"/>
      <c r="Z6" s="2"/>
    </row>
    <row r="7" customHeight="1" spans="1:26">
      <c r="A7" s="64" t="s">
        <v>3800</v>
      </c>
      <c r="B7" s="13" t="s">
        <v>3801</v>
      </c>
      <c r="C7" s="13" t="s">
        <v>117</v>
      </c>
      <c r="D7" s="57"/>
      <c r="E7" s="57"/>
      <c r="F7" s="13" t="s">
        <v>3802</v>
      </c>
      <c r="G7" s="13" t="s">
        <v>3803</v>
      </c>
      <c r="H7" s="57"/>
      <c r="I7" s="2"/>
      <c r="J7" s="2"/>
      <c r="K7" s="2"/>
      <c r="L7" s="2"/>
      <c r="M7" s="2"/>
      <c r="N7" s="2"/>
      <c r="O7" s="2"/>
      <c r="P7" s="2"/>
      <c r="Q7" s="2"/>
      <c r="R7" s="2"/>
      <c r="S7" s="2"/>
      <c r="T7" s="2"/>
      <c r="U7" s="2"/>
      <c r="V7" s="2"/>
      <c r="W7" s="2"/>
      <c r="X7" s="2"/>
      <c r="Y7" s="2"/>
      <c r="Z7" s="2"/>
    </row>
    <row r="8" customHeight="1" spans="1:26">
      <c r="A8" s="64" t="s">
        <v>120</v>
      </c>
      <c r="B8" s="13" t="s">
        <v>3804</v>
      </c>
      <c r="C8" s="13" t="s">
        <v>117</v>
      </c>
      <c r="D8" s="57"/>
      <c r="E8" s="57"/>
      <c r="F8" s="13" t="s">
        <v>3805</v>
      </c>
      <c r="G8" s="13" t="s">
        <v>3806</v>
      </c>
      <c r="H8" s="57"/>
      <c r="I8" s="2"/>
      <c r="J8" s="2"/>
      <c r="K8" s="2"/>
      <c r="L8" s="2"/>
      <c r="M8" s="2"/>
      <c r="N8" s="2"/>
      <c r="O8" s="2"/>
      <c r="P8" s="2"/>
      <c r="Q8" s="2"/>
      <c r="R8" s="2"/>
      <c r="S8" s="2"/>
      <c r="T8" s="2"/>
      <c r="U8" s="2"/>
      <c r="V8" s="2"/>
      <c r="W8" s="2"/>
      <c r="X8" s="2"/>
      <c r="Y8" s="2"/>
      <c r="Z8" s="2"/>
    </row>
    <row r="9" customHeight="1" spans="1:26">
      <c r="A9" s="13" t="s">
        <v>123</v>
      </c>
      <c r="B9" s="13" t="s">
        <v>3807</v>
      </c>
      <c r="C9" s="13" t="s">
        <v>117</v>
      </c>
      <c r="D9" s="57"/>
      <c r="E9" s="57"/>
      <c r="F9" s="13" t="s">
        <v>3808</v>
      </c>
      <c r="G9" s="13" t="s">
        <v>3809</v>
      </c>
      <c r="H9" s="57"/>
      <c r="I9" s="2"/>
      <c r="J9" s="2"/>
      <c r="K9" s="2"/>
      <c r="L9" s="2"/>
      <c r="M9" s="2"/>
      <c r="N9" s="2"/>
      <c r="O9" s="2"/>
      <c r="P9" s="2"/>
      <c r="Q9" s="2"/>
      <c r="R9" s="2"/>
      <c r="S9" s="2"/>
      <c r="T9" s="2"/>
      <c r="U9" s="2"/>
      <c r="V9" s="2"/>
      <c r="W9" s="2"/>
      <c r="X9" s="2"/>
      <c r="Y9" s="2"/>
      <c r="Z9" s="2"/>
    </row>
    <row r="10" customHeight="1" spans="1:26">
      <c r="A10" s="64" t="s">
        <v>439</v>
      </c>
      <c r="B10" s="13" t="s">
        <v>3810</v>
      </c>
      <c r="C10" s="13" t="s">
        <v>315</v>
      </c>
      <c r="D10" s="65">
        <v>15</v>
      </c>
      <c r="E10" s="13" t="s">
        <v>37</v>
      </c>
      <c r="F10" s="13" t="s">
        <v>3811</v>
      </c>
      <c r="G10" s="13" t="s">
        <v>3812</v>
      </c>
      <c r="H10" s="57"/>
      <c r="I10" s="2"/>
      <c r="J10" s="2"/>
      <c r="K10" s="2"/>
      <c r="L10" s="2"/>
      <c r="M10" s="2"/>
      <c r="N10" s="2"/>
      <c r="O10" s="2"/>
      <c r="P10" s="2"/>
      <c r="Q10" s="2"/>
      <c r="R10" s="2"/>
      <c r="S10" s="2"/>
      <c r="T10" s="2"/>
      <c r="U10" s="2"/>
      <c r="V10" s="2"/>
      <c r="W10" s="2"/>
      <c r="X10" s="2"/>
      <c r="Y10" s="2"/>
      <c r="Z10" s="2"/>
    </row>
    <row r="11" customHeight="1" spans="1:26">
      <c r="A11" s="64" t="s">
        <v>364</v>
      </c>
      <c r="B11" s="13" t="s">
        <v>365</v>
      </c>
      <c r="C11" s="13" t="s">
        <v>366</v>
      </c>
      <c r="D11" s="65">
        <v>35</v>
      </c>
      <c r="E11" s="13" t="s">
        <v>262</v>
      </c>
      <c r="F11" s="13" t="s">
        <v>367</v>
      </c>
      <c r="G11" s="68" t="str">
        <f>HYPERLINK("http://www.ebay.fi/","http://www.ebay.fi")</f>
        <v>http://www.ebay.fi</v>
      </c>
      <c r="H11" s="57"/>
      <c r="I11" s="2"/>
      <c r="J11" s="2"/>
      <c r="K11" s="2"/>
      <c r="L11" s="2"/>
      <c r="M11" s="2"/>
      <c r="N11" s="2"/>
      <c r="O11" s="2"/>
      <c r="P11" s="2"/>
      <c r="Q11" s="2"/>
      <c r="R11" s="2"/>
      <c r="S11" s="2"/>
      <c r="T11" s="2"/>
      <c r="U11" s="2"/>
      <c r="V11" s="2"/>
      <c r="W11" s="2"/>
      <c r="X11" s="2"/>
      <c r="Y11" s="2"/>
      <c r="Z11" s="2"/>
    </row>
    <row r="12" customHeight="1" spans="1:26">
      <c r="A12" s="64" t="s">
        <v>368</v>
      </c>
      <c r="B12" s="13" t="s">
        <v>369</v>
      </c>
      <c r="C12" s="13" t="s">
        <v>366</v>
      </c>
      <c r="D12" s="65">
        <v>30</v>
      </c>
      <c r="E12" s="13" t="s">
        <v>262</v>
      </c>
      <c r="F12" s="13" t="s">
        <v>370</v>
      </c>
      <c r="G12" s="68" t="str">
        <f>HYPERLINK("http://www.amazon.com/","http://www.amazon.com")</f>
        <v>http://www.amazon.com</v>
      </c>
      <c r="H12" s="57"/>
      <c r="I12" s="2"/>
      <c r="J12" s="2"/>
      <c r="K12" s="2"/>
      <c r="L12" s="2"/>
      <c r="M12" s="2"/>
      <c r="N12" s="2"/>
      <c r="O12" s="2"/>
      <c r="P12" s="2"/>
      <c r="Q12" s="2"/>
      <c r="R12" s="2"/>
      <c r="S12" s="2"/>
      <c r="T12" s="2"/>
      <c r="U12" s="2"/>
      <c r="V12" s="2"/>
      <c r="W12" s="2"/>
      <c r="X12" s="2"/>
      <c r="Y12" s="2"/>
      <c r="Z12" s="2"/>
    </row>
    <row r="13" customHeight="1" spans="1:26">
      <c r="A13" s="13" t="s">
        <v>371</v>
      </c>
      <c r="B13" s="13" t="s">
        <v>3813</v>
      </c>
      <c r="C13" s="13" t="s">
        <v>373</v>
      </c>
      <c r="D13" s="57"/>
      <c r="E13" s="57"/>
      <c r="F13" s="13" t="s">
        <v>3814</v>
      </c>
      <c r="G13" s="13" t="s">
        <v>3815</v>
      </c>
      <c r="H13" s="57"/>
      <c r="I13" s="2"/>
      <c r="J13" s="2"/>
      <c r="K13" s="2"/>
      <c r="L13" s="2"/>
      <c r="M13" s="2"/>
      <c r="N13" s="2"/>
      <c r="O13" s="2"/>
      <c r="P13" s="2"/>
      <c r="Q13" s="2"/>
      <c r="R13" s="2"/>
      <c r="S13" s="2"/>
      <c r="T13" s="2"/>
      <c r="U13" s="2"/>
      <c r="V13" s="2"/>
      <c r="W13" s="2"/>
      <c r="X13" s="2"/>
      <c r="Y13" s="2"/>
      <c r="Z13" s="2"/>
    </row>
    <row r="14" customHeight="1" spans="1:26">
      <c r="A14" s="13" t="s">
        <v>375</v>
      </c>
      <c r="B14" s="13" t="s">
        <v>3816</v>
      </c>
      <c r="C14" s="13" t="s">
        <v>373</v>
      </c>
      <c r="D14" s="57"/>
      <c r="E14" s="57"/>
      <c r="F14" s="13" t="s">
        <v>3817</v>
      </c>
      <c r="G14" s="13" t="s">
        <v>3818</v>
      </c>
      <c r="H14" s="57"/>
      <c r="I14" s="2"/>
      <c r="J14" s="2"/>
      <c r="K14" s="2"/>
      <c r="L14" s="2"/>
      <c r="M14" s="2"/>
      <c r="N14" s="2"/>
      <c r="O14" s="2"/>
      <c r="P14" s="2"/>
      <c r="Q14" s="2"/>
      <c r="R14" s="2"/>
      <c r="S14" s="2"/>
      <c r="T14" s="2"/>
      <c r="U14" s="2"/>
      <c r="V14" s="2"/>
      <c r="W14" s="2"/>
      <c r="X14" s="2"/>
      <c r="Y14" s="2"/>
      <c r="Z14" s="2"/>
    </row>
    <row r="15" customHeight="1" spans="1:26">
      <c r="A15" s="64" t="s">
        <v>379</v>
      </c>
      <c r="B15" s="13" t="s">
        <v>3819</v>
      </c>
      <c r="C15" s="13" t="s">
        <v>373</v>
      </c>
      <c r="D15" s="57"/>
      <c r="E15" s="57"/>
      <c r="F15" s="13" t="s">
        <v>3820</v>
      </c>
      <c r="G15" s="13" t="s">
        <v>3821</v>
      </c>
      <c r="H15" s="57"/>
      <c r="I15" s="2"/>
      <c r="J15" s="2"/>
      <c r="K15" s="2"/>
      <c r="L15" s="2"/>
      <c r="M15" s="2"/>
      <c r="N15" s="2"/>
      <c r="O15" s="2"/>
      <c r="P15" s="2"/>
      <c r="Q15" s="2"/>
      <c r="R15" s="2"/>
      <c r="S15" s="2"/>
      <c r="T15" s="2"/>
      <c r="U15" s="2"/>
      <c r="V15" s="2"/>
      <c r="W15" s="2"/>
      <c r="X15" s="2"/>
      <c r="Y15" s="2"/>
      <c r="Z15" s="2"/>
    </row>
    <row r="16" customHeight="1" spans="1:26">
      <c r="A16" s="64" t="s">
        <v>383</v>
      </c>
      <c r="B16" s="13" t="s">
        <v>3822</v>
      </c>
      <c r="C16" s="13" t="s">
        <v>373</v>
      </c>
      <c r="D16" s="57"/>
      <c r="E16" s="57"/>
      <c r="F16" s="13" t="s">
        <v>3823</v>
      </c>
      <c r="G16" s="13" t="s">
        <v>3824</v>
      </c>
      <c r="H16" s="57"/>
      <c r="I16" s="2"/>
      <c r="J16" s="2"/>
      <c r="K16" s="2"/>
      <c r="L16" s="2"/>
      <c r="M16" s="2"/>
      <c r="N16" s="2"/>
      <c r="O16" s="2"/>
      <c r="P16" s="2"/>
      <c r="Q16" s="2"/>
      <c r="R16" s="2"/>
      <c r="S16" s="2"/>
      <c r="T16" s="2"/>
      <c r="U16" s="2"/>
      <c r="V16" s="2"/>
      <c r="W16" s="2"/>
      <c r="X16" s="2"/>
      <c r="Y16" s="2"/>
      <c r="Z16" s="2"/>
    </row>
    <row r="17" customHeight="1" spans="1:26">
      <c r="A17" s="13" t="s">
        <v>387</v>
      </c>
      <c r="B17" s="13" t="s">
        <v>3825</v>
      </c>
      <c r="C17" s="13" t="s">
        <v>373</v>
      </c>
      <c r="D17" s="57"/>
      <c r="E17" s="57"/>
      <c r="F17" s="13" t="s">
        <v>3826</v>
      </c>
      <c r="G17" s="13" t="s">
        <v>3827</v>
      </c>
      <c r="H17" s="57"/>
      <c r="I17" s="2"/>
      <c r="J17" s="2"/>
      <c r="K17" s="2"/>
      <c r="L17" s="2"/>
      <c r="M17" s="2"/>
      <c r="N17" s="2"/>
      <c r="O17" s="2"/>
      <c r="P17" s="2"/>
      <c r="Q17" s="2"/>
      <c r="R17" s="2"/>
      <c r="S17" s="2"/>
      <c r="T17" s="2"/>
      <c r="U17" s="2"/>
      <c r="V17" s="2"/>
      <c r="W17" s="2"/>
      <c r="X17" s="2"/>
      <c r="Y17" s="2"/>
      <c r="Z17" s="2"/>
    </row>
    <row r="18" customHeight="1" spans="1:26">
      <c r="A18" s="64" t="s">
        <v>342</v>
      </c>
      <c r="B18" s="13" t="s">
        <v>3828</v>
      </c>
      <c r="C18" s="13" t="s">
        <v>315</v>
      </c>
      <c r="D18" s="65">
        <v>45</v>
      </c>
      <c r="E18" s="13" t="s">
        <v>262</v>
      </c>
      <c r="F18" s="13" t="s">
        <v>3829</v>
      </c>
      <c r="G18" s="13" t="s">
        <v>3830</v>
      </c>
      <c r="H18" s="57"/>
      <c r="I18" s="2"/>
      <c r="J18" s="2"/>
      <c r="K18" s="2"/>
      <c r="L18" s="2"/>
      <c r="M18" s="2"/>
      <c r="N18" s="2"/>
      <c r="O18" s="2"/>
      <c r="P18" s="2"/>
      <c r="Q18" s="2"/>
      <c r="R18" s="2"/>
      <c r="S18" s="2"/>
      <c r="T18" s="2"/>
      <c r="U18" s="2"/>
      <c r="V18" s="2"/>
      <c r="W18" s="2"/>
      <c r="X18" s="2"/>
      <c r="Y18" s="2"/>
      <c r="Z18" s="2"/>
    </row>
    <row r="19" customHeight="1" spans="1:26">
      <c r="A19" s="64" t="s">
        <v>346</v>
      </c>
      <c r="B19" s="13" t="s">
        <v>347</v>
      </c>
      <c r="C19" s="13" t="s">
        <v>315</v>
      </c>
      <c r="D19" s="65">
        <v>55</v>
      </c>
      <c r="E19" s="13" t="s">
        <v>37</v>
      </c>
      <c r="F19" s="13" t="s">
        <v>348</v>
      </c>
      <c r="G19" s="68" t="str">
        <f>HYPERLINK("http://www.zara.com/fi","www.zara.com/fi")</f>
        <v>www.zara.com/fi</v>
      </c>
      <c r="H19" s="57"/>
      <c r="I19" s="2"/>
      <c r="J19" s="2"/>
      <c r="K19" s="2"/>
      <c r="L19" s="2"/>
      <c r="M19" s="2"/>
      <c r="N19" s="2"/>
      <c r="O19" s="2"/>
      <c r="P19" s="2"/>
      <c r="Q19" s="2"/>
      <c r="R19" s="2"/>
      <c r="S19" s="2"/>
      <c r="T19" s="2"/>
      <c r="U19" s="2"/>
      <c r="V19" s="2"/>
      <c r="W19" s="2"/>
      <c r="X19" s="2"/>
      <c r="Y19" s="2"/>
      <c r="Z19" s="2"/>
    </row>
    <row r="20" customHeight="1" spans="1:26">
      <c r="A20" s="64" t="s">
        <v>330</v>
      </c>
      <c r="B20" s="13" t="s">
        <v>3831</v>
      </c>
      <c r="C20" s="13" t="s">
        <v>315</v>
      </c>
      <c r="D20" s="65">
        <v>50</v>
      </c>
      <c r="E20" s="13" t="s">
        <v>37</v>
      </c>
      <c r="F20" s="13" t="s">
        <v>3832</v>
      </c>
      <c r="G20" s="13" t="s">
        <v>3833</v>
      </c>
      <c r="H20" s="57"/>
      <c r="I20" s="2"/>
      <c r="J20" s="2"/>
      <c r="K20" s="2"/>
      <c r="L20" s="2"/>
      <c r="M20" s="2"/>
      <c r="N20" s="2"/>
      <c r="O20" s="2"/>
      <c r="P20" s="2"/>
      <c r="Q20" s="2"/>
      <c r="R20" s="2"/>
      <c r="S20" s="2"/>
      <c r="T20" s="2"/>
      <c r="U20" s="2"/>
      <c r="V20" s="2"/>
      <c r="W20" s="2"/>
      <c r="X20" s="2"/>
      <c r="Y20" s="2"/>
      <c r="Z20" s="2"/>
    </row>
    <row r="21" customHeight="1" spans="1:26">
      <c r="A21" s="64" t="s">
        <v>334</v>
      </c>
      <c r="B21" s="13" t="s">
        <v>3834</v>
      </c>
      <c r="C21" s="13" t="s">
        <v>315</v>
      </c>
      <c r="D21" s="65">
        <v>50</v>
      </c>
      <c r="E21" s="13" t="s">
        <v>37</v>
      </c>
      <c r="F21" s="13" t="s">
        <v>3835</v>
      </c>
      <c r="G21" s="74" t="s">
        <v>3836</v>
      </c>
      <c r="H21" s="57"/>
      <c r="I21" s="2"/>
      <c r="J21" s="2"/>
      <c r="K21" s="2"/>
      <c r="L21" s="2"/>
      <c r="M21" s="2"/>
      <c r="N21" s="2"/>
      <c r="O21" s="2"/>
      <c r="P21" s="2"/>
      <c r="Q21" s="2"/>
      <c r="R21" s="2"/>
      <c r="S21" s="2"/>
      <c r="T21" s="2"/>
      <c r="U21" s="2"/>
      <c r="V21" s="2"/>
      <c r="W21" s="2"/>
      <c r="X21" s="2"/>
      <c r="Y21" s="2"/>
      <c r="Z21" s="2"/>
    </row>
    <row r="22" customHeight="1" spans="1:26">
      <c r="A22" s="64" t="s">
        <v>338</v>
      </c>
      <c r="B22" s="13" t="s">
        <v>3837</v>
      </c>
      <c r="C22" s="13" t="s">
        <v>315</v>
      </c>
      <c r="D22" s="65">
        <v>125</v>
      </c>
      <c r="E22" s="13" t="s">
        <v>262</v>
      </c>
      <c r="F22" s="13" t="s">
        <v>3838</v>
      </c>
      <c r="G22" s="13" t="s">
        <v>3839</v>
      </c>
      <c r="H22" s="57"/>
      <c r="I22" s="2"/>
      <c r="J22" s="2"/>
      <c r="K22" s="2"/>
      <c r="L22" s="2"/>
      <c r="M22" s="2"/>
      <c r="N22" s="2"/>
      <c r="O22" s="2"/>
      <c r="P22" s="2"/>
      <c r="Q22" s="2"/>
      <c r="R22" s="2"/>
      <c r="S22" s="2"/>
      <c r="T22" s="2"/>
      <c r="U22" s="2"/>
      <c r="V22" s="2"/>
      <c r="W22" s="2"/>
      <c r="X22" s="2"/>
      <c r="Y22" s="2"/>
      <c r="Z22" s="2"/>
    </row>
    <row r="23" customHeight="1" spans="1:26">
      <c r="A23" s="64" t="s">
        <v>350</v>
      </c>
      <c r="B23" s="13" t="s">
        <v>351</v>
      </c>
      <c r="C23" s="13" t="s">
        <v>315</v>
      </c>
      <c r="D23" s="65">
        <v>20</v>
      </c>
      <c r="E23" s="13" t="s">
        <v>262</v>
      </c>
      <c r="F23" s="13" t="s">
        <v>352</v>
      </c>
      <c r="G23" s="13" t="s">
        <v>3840</v>
      </c>
      <c r="H23" s="57"/>
      <c r="I23" s="2"/>
      <c r="J23" s="2"/>
      <c r="K23" s="2"/>
      <c r="L23" s="2"/>
      <c r="M23" s="2"/>
      <c r="N23" s="2"/>
      <c r="O23" s="2"/>
      <c r="P23" s="2"/>
      <c r="Q23" s="2"/>
      <c r="R23" s="2"/>
      <c r="S23" s="2"/>
      <c r="T23" s="2"/>
      <c r="U23" s="2"/>
      <c r="V23" s="2"/>
      <c r="W23" s="2"/>
      <c r="X23" s="2"/>
      <c r="Y23" s="2"/>
      <c r="Z23" s="2"/>
    </row>
    <row r="24" customHeight="1" spans="1:26">
      <c r="A24" s="13" t="s">
        <v>3841</v>
      </c>
      <c r="B24" s="13" t="s">
        <v>3842</v>
      </c>
      <c r="C24" s="13" t="s">
        <v>356</v>
      </c>
      <c r="D24" s="57"/>
      <c r="E24" s="57"/>
      <c r="F24" s="13" t="s">
        <v>357</v>
      </c>
      <c r="G24" s="13" t="s">
        <v>1301</v>
      </c>
      <c r="H24" s="57"/>
      <c r="I24" s="2"/>
      <c r="J24" s="2"/>
      <c r="K24" s="2"/>
      <c r="L24" s="2"/>
      <c r="M24" s="2"/>
      <c r="N24" s="2"/>
      <c r="O24" s="2"/>
      <c r="P24" s="2"/>
      <c r="Q24" s="2"/>
      <c r="R24" s="2"/>
      <c r="S24" s="2"/>
      <c r="T24" s="2"/>
      <c r="U24" s="2"/>
      <c r="V24" s="2"/>
      <c r="W24" s="2"/>
      <c r="X24" s="2"/>
      <c r="Y24" s="2"/>
      <c r="Z24" s="2"/>
    </row>
    <row r="25" customHeight="1" spans="1:26">
      <c r="A25" s="13" t="s">
        <v>359</v>
      </c>
      <c r="B25" s="13" t="s">
        <v>3843</v>
      </c>
      <c r="C25" s="13" t="s">
        <v>361</v>
      </c>
      <c r="D25" s="57"/>
      <c r="E25" s="57"/>
      <c r="F25" s="13" t="s">
        <v>3844</v>
      </c>
      <c r="G25" s="13" t="s">
        <v>3845</v>
      </c>
      <c r="H25" s="57"/>
      <c r="I25" s="2"/>
      <c r="J25" s="2"/>
      <c r="K25" s="2"/>
      <c r="L25" s="2"/>
      <c r="M25" s="2"/>
      <c r="N25" s="2"/>
      <c r="O25" s="2"/>
      <c r="P25" s="2"/>
      <c r="Q25" s="2"/>
      <c r="R25" s="2"/>
      <c r="S25" s="2"/>
      <c r="T25" s="2"/>
      <c r="U25" s="2"/>
      <c r="V25" s="2"/>
      <c r="W25" s="2"/>
      <c r="X25" s="2"/>
      <c r="Y25" s="2"/>
      <c r="Z25" s="2"/>
    </row>
    <row r="26" customHeight="1" spans="1:26">
      <c r="A26" s="13" t="s">
        <v>317</v>
      </c>
      <c r="B26" s="13" t="s">
        <v>319</v>
      </c>
      <c r="C26" s="13" t="s">
        <v>319</v>
      </c>
      <c r="D26" s="57"/>
      <c r="E26" s="57"/>
      <c r="F26" s="13" t="s">
        <v>3846</v>
      </c>
      <c r="G26" s="13" t="s">
        <v>3847</v>
      </c>
      <c r="H26" s="57"/>
      <c r="I26" s="2"/>
      <c r="J26" s="2"/>
      <c r="K26" s="2"/>
      <c r="L26" s="2"/>
      <c r="M26" s="2"/>
      <c r="N26" s="2"/>
      <c r="O26" s="2"/>
      <c r="P26" s="2"/>
      <c r="Q26" s="2"/>
      <c r="R26" s="2"/>
      <c r="S26" s="2"/>
      <c r="T26" s="2"/>
      <c r="U26" s="2"/>
      <c r="V26" s="2"/>
      <c r="W26" s="2"/>
      <c r="X26" s="2"/>
      <c r="Y26" s="2"/>
      <c r="Z26" s="2"/>
    </row>
    <row r="27" customHeight="1" spans="1:26">
      <c r="A27" s="13" t="s">
        <v>448</v>
      </c>
      <c r="B27" s="13" t="s">
        <v>3848</v>
      </c>
      <c r="C27" s="13" t="s">
        <v>450</v>
      </c>
      <c r="D27" s="57"/>
      <c r="E27" s="57"/>
      <c r="F27" s="13" t="s">
        <v>3849</v>
      </c>
      <c r="G27" s="13" t="s">
        <v>3850</v>
      </c>
      <c r="H27" s="57"/>
      <c r="I27" s="2"/>
      <c r="J27" s="2"/>
      <c r="K27" s="2"/>
      <c r="L27" s="2"/>
      <c r="M27" s="2"/>
      <c r="N27" s="2"/>
      <c r="O27" s="2"/>
      <c r="P27" s="2"/>
      <c r="Q27" s="2"/>
      <c r="R27" s="2"/>
      <c r="S27" s="2"/>
      <c r="T27" s="2"/>
      <c r="U27" s="2"/>
      <c r="V27" s="2"/>
      <c r="W27" s="2"/>
      <c r="X27" s="2"/>
      <c r="Y27" s="2"/>
      <c r="Z27" s="2"/>
    </row>
    <row r="28" customHeight="1" spans="1:26">
      <c r="A28" s="13" t="s">
        <v>452</v>
      </c>
      <c r="B28" s="13" t="s">
        <v>314</v>
      </c>
      <c r="C28" s="13" t="s">
        <v>450</v>
      </c>
      <c r="D28" s="57"/>
      <c r="E28" s="57"/>
      <c r="F28" s="13" t="s">
        <v>1132</v>
      </c>
      <c r="G28" s="13" t="s">
        <v>3851</v>
      </c>
      <c r="H28" s="57"/>
      <c r="I28" s="2"/>
      <c r="J28" s="2"/>
      <c r="K28" s="2"/>
      <c r="L28" s="2"/>
      <c r="M28" s="2"/>
      <c r="N28" s="2"/>
      <c r="O28" s="2"/>
      <c r="P28" s="2"/>
      <c r="Q28" s="2"/>
      <c r="R28" s="2"/>
      <c r="S28" s="2"/>
      <c r="T28" s="2"/>
      <c r="U28" s="2"/>
      <c r="V28" s="2"/>
      <c r="W28" s="2"/>
      <c r="X28" s="2"/>
      <c r="Y28" s="2"/>
      <c r="Z28" s="2"/>
    </row>
    <row r="29" customHeight="1" spans="1:26">
      <c r="A29" s="13" t="s">
        <v>399</v>
      </c>
      <c r="B29" s="13" t="s">
        <v>3852</v>
      </c>
      <c r="C29" s="13" t="s">
        <v>224</v>
      </c>
      <c r="D29" s="65"/>
      <c r="E29" s="65"/>
      <c r="F29" s="13" t="s">
        <v>3853</v>
      </c>
      <c r="G29" s="13" t="s">
        <v>3854</v>
      </c>
      <c r="H29" s="57"/>
      <c r="I29" s="2"/>
      <c r="J29" s="2"/>
      <c r="K29" s="2"/>
      <c r="L29" s="2"/>
      <c r="M29" s="2"/>
      <c r="N29" s="2"/>
      <c r="O29" s="2"/>
      <c r="P29" s="2"/>
      <c r="Q29" s="2"/>
      <c r="R29" s="2"/>
      <c r="S29" s="2"/>
      <c r="T29" s="2"/>
      <c r="U29" s="2"/>
      <c r="V29" s="2"/>
      <c r="W29" s="2"/>
      <c r="X29" s="2"/>
      <c r="Y29" s="2"/>
      <c r="Z29" s="2"/>
    </row>
    <row r="30" customHeight="1" spans="1:26">
      <c r="A30" s="13" t="s">
        <v>403</v>
      </c>
      <c r="B30" s="13" t="s">
        <v>3855</v>
      </c>
      <c r="C30" s="13" t="s">
        <v>229</v>
      </c>
      <c r="D30" s="57"/>
      <c r="E30" s="57"/>
      <c r="F30" s="13" t="s">
        <v>3856</v>
      </c>
      <c r="G30" s="13" t="s">
        <v>3857</v>
      </c>
      <c r="H30" s="57"/>
      <c r="I30" s="2"/>
      <c r="J30" s="2"/>
      <c r="K30" s="2"/>
      <c r="L30" s="2"/>
      <c r="M30" s="2"/>
      <c r="N30" s="2"/>
      <c r="O30" s="2"/>
      <c r="P30" s="2"/>
      <c r="Q30" s="2"/>
      <c r="R30" s="2"/>
      <c r="S30" s="2"/>
      <c r="T30" s="2"/>
      <c r="U30" s="2"/>
      <c r="V30" s="2"/>
      <c r="W30" s="2"/>
      <c r="X30" s="2"/>
      <c r="Y30" s="2"/>
      <c r="Z30" s="2"/>
    </row>
    <row r="31" customHeight="1" spans="1:26">
      <c r="A31" s="13" t="s">
        <v>407</v>
      </c>
      <c r="B31" s="13" t="s">
        <v>3858</v>
      </c>
      <c r="C31" s="13" t="s">
        <v>229</v>
      </c>
      <c r="D31" s="57"/>
      <c r="E31" s="57"/>
      <c r="F31" s="13" t="s">
        <v>3859</v>
      </c>
      <c r="G31" s="13" t="s">
        <v>3860</v>
      </c>
      <c r="H31" s="57"/>
      <c r="I31" s="2"/>
      <c r="J31" s="2"/>
      <c r="K31" s="2"/>
      <c r="L31" s="2"/>
      <c r="M31" s="2"/>
      <c r="N31" s="2"/>
      <c r="O31" s="2"/>
      <c r="P31" s="2"/>
      <c r="Q31" s="2"/>
      <c r="R31" s="2"/>
      <c r="S31" s="2"/>
      <c r="T31" s="2"/>
      <c r="U31" s="2"/>
      <c r="V31" s="2"/>
      <c r="W31" s="2"/>
      <c r="X31" s="2"/>
      <c r="Y31" s="2"/>
      <c r="Z31" s="2"/>
    </row>
    <row r="32" customHeight="1" spans="1:26">
      <c r="A32" s="13" t="s">
        <v>474</v>
      </c>
      <c r="B32" s="13" t="s">
        <v>3861</v>
      </c>
      <c r="C32" s="13" t="s">
        <v>476</v>
      </c>
      <c r="D32" s="57"/>
      <c r="E32" s="57"/>
      <c r="F32" s="13" t="s">
        <v>3862</v>
      </c>
      <c r="G32" s="13" t="s">
        <v>3862</v>
      </c>
      <c r="H32" s="57"/>
      <c r="I32" s="2"/>
      <c r="J32" s="2"/>
      <c r="K32" s="2"/>
      <c r="L32" s="2"/>
      <c r="M32" s="2"/>
      <c r="N32" s="2"/>
      <c r="O32" s="2"/>
      <c r="P32" s="2"/>
      <c r="Q32" s="2"/>
      <c r="R32" s="2"/>
      <c r="S32" s="2"/>
      <c r="T32" s="2"/>
      <c r="U32" s="2"/>
      <c r="V32" s="2"/>
      <c r="W32" s="2"/>
      <c r="X32" s="2"/>
      <c r="Y32" s="2"/>
      <c r="Z32" s="2"/>
    </row>
    <row r="33" customHeight="1" spans="1:26">
      <c r="A33" s="13" t="s">
        <v>479</v>
      </c>
      <c r="B33" s="13" t="s">
        <v>3863</v>
      </c>
      <c r="C33" s="13" t="s">
        <v>476</v>
      </c>
      <c r="D33" s="57"/>
      <c r="E33" s="57"/>
      <c r="F33" s="13" t="s">
        <v>3864</v>
      </c>
      <c r="G33" s="13" t="s">
        <v>3865</v>
      </c>
      <c r="H33" s="57"/>
      <c r="I33" s="2"/>
      <c r="J33" s="2"/>
      <c r="K33" s="2"/>
      <c r="L33" s="2"/>
      <c r="M33" s="2"/>
      <c r="N33" s="2"/>
      <c r="O33" s="2"/>
      <c r="P33" s="2"/>
      <c r="Q33" s="2"/>
      <c r="R33" s="2"/>
      <c r="S33" s="2"/>
      <c r="T33" s="2"/>
      <c r="U33" s="2"/>
      <c r="V33" s="2"/>
      <c r="W33" s="2"/>
      <c r="X33" s="2"/>
      <c r="Y33" s="2"/>
      <c r="Z33" s="2"/>
    </row>
    <row r="34" customHeight="1" spans="1:26">
      <c r="A34" s="13" t="s">
        <v>426</v>
      </c>
      <c r="B34" s="13" t="s">
        <v>3866</v>
      </c>
      <c r="C34" s="13" t="s">
        <v>3867</v>
      </c>
      <c r="D34" s="57"/>
      <c r="E34" s="57"/>
      <c r="F34" s="13" t="s">
        <v>3868</v>
      </c>
      <c r="G34" s="13" t="s">
        <v>3869</v>
      </c>
      <c r="H34" s="57"/>
      <c r="I34" s="2"/>
      <c r="J34" s="2"/>
      <c r="K34" s="2"/>
      <c r="L34" s="2"/>
      <c r="M34" s="2"/>
      <c r="N34" s="2"/>
      <c r="O34" s="2"/>
      <c r="P34" s="2"/>
      <c r="Q34" s="2"/>
      <c r="R34" s="2"/>
      <c r="S34" s="2"/>
      <c r="T34" s="2"/>
      <c r="U34" s="2"/>
      <c r="V34" s="2"/>
      <c r="W34" s="2"/>
      <c r="X34" s="2"/>
      <c r="Y34" s="2"/>
      <c r="Z34" s="2"/>
    </row>
    <row r="35" customHeight="1" spans="1:26">
      <c r="A35" s="13" t="s">
        <v>431</v>
      </c>
      <c r="B35" s="13" t="s">
        <v>427</v>
      </c>
      <c r="C35" s="13" t="s">
        <v>428</v>
      </c>
      <c r="D35" s="57"/>
      <c r="E35" s="57"/>
      <c r="F35" s="13" t="s">
        <v>3870</v>
      </c>
      <c r="G35" s="13" t="s">
        <v>3871</v>
      </c>
      <c r="H35" s="57"/>
      <c r="I35" s="2"/>
      <c r="J35" s="2"/>
      <c r="K35" s="2"/>
      <c r="L35" s="2"/>
      <c r="M35" s="2"/>
      <c r="N35" s="2"/>
      <c r="O35" s="2"/>
      <c r="P35" s="2"/>
      <c r="Q35" s="2"/>
      <c r="R35" s="2"/>
      <c r="S35" s="2"/>
      <c r="T35" s="2"/>
      <c r="U35" s="2"/>
      <c r="V35" s="2"/>
      <c r="W35" s="2"/>
      <c r="X35" s="2"/>
      <c r="Y35" s="2"/>
      <c r="Z35" s="2"/>
    </row>
    <row r="36" customHeight="1" spans="1:26">
      <c r="A36" s="13" t="s">
        <v>435</v>
      </c>
      <c r="B36" s="13" t="s">
        <v>3872</v>
      </c>
      <c r="C36" s="13" t="s">
        <v>428</v>
      </c>
      <c r="D36" s="14"/>
      <c r="E36" s="57"/>
      <c r="F36" s="13" t="s">
        <v>3873</v>
      </c>
      <c r="G36" s="13" t="s">
        <v>3874</v>
      </c>
      <c r="H36" s="57"/>
      <c r="I36" s="2"/>
      <c r="J36" s="2"/>
      <c r="K36" s="2"/>
      <c r="L36" s="2"/>
      <c r="M36" s="2"/>
      <c r="N36" s="2"/>
      <c r="O36" s="2"/>
      <c r="P36" s="2"/>
      <c r="Q36" s="2"/>
      <c r="R36" s="2"/>
      <c r="S36" s="2"/>
      <c r="T36" s="2"/>
      <c r="U36" s="2"/>
      <c r="V36" s="2"/>
      <c r="W36" s="2"/>
      <c r="X36" s="2"/>
      <c r="Y36" s="2"/>
      <c r="Z36" s="2"/>
    </row>
    <row r="37" customHeight="1" spans="1:26">
      <c r="A37" s="13" t="s">
        <v>391</v>
      </c>
      <c r="B37" s="13" t="s">
        <v>392</v>
      </c>
      <c r="C37" s="13" t="s">
        <v>393</v>
      </c>
      <c r="D37" s="14"/>
      <c r="E37" s="57"/>
      <c r="F37" s="13" t="s">
        <v>394</v>
      </c>
      <c r="G37" s="13" t="s">
        <v>1842</v>
      </c>
      <c r="H37" s="57"/>
      <c r="I37" s="2"/>
      <c r="J37" s="2"/>
      <c r="K37" s="2"/>
      <c r="L37" s="2"/>
      <c r="M37" s="2"/>
      <c r="N37" s="2"/>
      <c r="O37" s="2"/>
      <c r="P37" s="2"/>
      <c r="Q37" s="2"/>
      <c r="R37" s="2"/>
      <c r="S37" s="2"/>
      <c r="T37" s="2"/>
      <c r="U37" s="2"/>
      <c r="V37" s="2"/>
      <c r="W37" s="2"/>
      <c r="X37" s="2"/>
      <c r="Y37" s="2"/>
      <c r="Z37" s="2"/>
    </row>
    <row r="38" customHeight="1" spans="1:26">
      <c r="A38" s="13" t="s">
        <v>395</v>
      </c>
      <c r="B38" s="13" t="s">
        <v>396</v>
      </c>
      <c r="C38" s="13" t="s">
        <v>393</v>
      </c>
      <c r="D38" s="14"/>
      <c r="E38" s="57"/>
      <c r="F38" s="13" t="s">
        <v>397</v>
      </c>
      <c r="G38" s="13" t="s">
        <v>398</v>
      </c>
      <c r="H38" s="57"/>
      <c r="I38" s="2"/>
      <c r="J38" s="2"/>
      <c r="K38" s="2"/>
      <c r="L38" s="2"/>
      <c r="M38" s="2"/>
      <c r="N38" s="2"/>
      <c r="O38" s="2"/>
      <c r="P38" s="2"/>
      <c r="Q38" s="2"/>
      <c r="R38" s="2"/>
      <c r="S38" s="2"/>
      <c r="T38" s="2"/>
      <c r="U38" s="2"/>
      <c r="V38" s="2"/>
      <c r="W38" s="2"/>
      <c r="X38" s="2"/>
      <c r="Y38" s="2"/>
      <c r="Z38" s="2"/>
    </row>
    <row r="39" customHeight="1" spans="1:26">
      <c r="A39" s="13" t="s">
        <v>307</v>
      </c>
      <c r="B39" s="13" t="s">
        <v>3875</v>
      </c>
      <c r="C39" s="13" t="s">
        <v>308</v>
      </c>
      <c r="D39" s="57"/>
      <c r="E39" s="57"/>
      <c r="F39" s="13" t="s">
        <v>332</v>
      </c>
      <c r="G39" s="13" t="s">
        <v>3876</v>
      </c>
      <c r="H39" s="57"/>
      <c r="I39" s="2"/>
      <c r="J39" s="2"/>
      <c r="K39" s="2"/>
      <c r="L39" s="2"/>
      <c r="M39" s="2"/>
      <c r="N39" s="2"/>
      <c r="O39" s="2"/>
      <c r="P39" s="2"/>
      <c r="Q39" s="2"/>
      <c r="R39" s="2"/>
      <c r="S39" s="2"/>
      <c r="T39" s="2"/>
      <c r="U39" s="2"/>
      <c r="V39" s="2"/>
      <c r="W39" s="2"/>
      <c r="X39" s="2"/>
      <c r="Y39" s="2"/>
      <c r="Z39" s="2"/>
    </row>
    <row r="40" customHeight="1" spans="1:26">
      <c r="A40" s="13" t="s">
        <v>465</v>
      </c>
      <c r="B40" s="13" t="s">
        <v>3877</v>
      </c>
      <c r="C40" s="13" t="s">
        <v>471</v>
      </c>
      <c r="D40" s="14"/>
      <c r="E40" s="57"/>
      <c r="F40" s="13" t="s">
        <v>3878</v>
      </c>
      <c r="G40" s="13" t="s">
        <v>3879</v>
      </c>
      <c r="H40" s="57"/>
      <c r="I40" s="2"/>
      <c r="J40" s="2"/>
      <c r="K40" s="2"/>
      <c r="L40" s="2"/>
      <c r="M40" s="2"/>
      <c r="N40" s="2"/>
      <c r="O40" s="2"/>
      <c r="P40" s="2"/>
      <c r="Q40" s="2"/>
      <c r="R40" s="2"/>
      <c r="S40" s="2"/>
      <c r="T40" s="2"/>
      <c r="U40" s="2"/>
      <c r="V40" s="2"/>
      <c r="W40" s="2"/>
      <c r="X40" s="2"/>
      <c r="Y40" s="2"/>
      <c r="Z40" s="2"/>
    </row>
    <row r="41" customHeight="1" spans="1:26">
      <c r="A41" s="13" t="s">
        <v>469</v>
      </c>
      <c r="B41" s="13" t="s">
        <v>3880</v>
      </c>
      <c r="C41" s="13" t="s">
        <v>471</v>
      </c>
      <c r="D41" s="14"/>
      <c r="E41" s="57"/>
      <c r="F41" s="13" t="s">
        <v>3881</v>
      </c>
      <c r="G41" s="13" t="s">
        <v>3882</v>
      </c>
      <c r="H41" s="57"/>
      <c r="I41" s="2"/>
      <c r="J41" s="2"/>
      <c r="K41" s="2"/>
      <c r="L41" s="2"/>
      <c r="M41" s="2"/>
      <c r="N41" s="2"/>
      <c r="O41" s="2"/>
      <c r="P41" s="2"/>
      <c r="Q41" s="2"/>
      <c r="R41" s="2"/>
      <c r="S41" s="2"/>
      <c r="T41" s="2"/>
      <c r="U41" s="2"/>
      <c r="V41" s="2"/>
      <c r="W41" s="2"/>
      <c r="X41" s="2"/>
      <c r="Y41" s="2"/>
      <c r="Z41" s="2"/>
    </row>
    <row r="42" customHeight="1" spans="1:26">
      <c r="A42" s="13" t="s">
        <v>443</v>
      </c>
      <c r="B42" s="13" t="s">
        <v>3883</v>
      </c>
      <c r="C42" s="13" t="s">
        <v>445</v>
      </c>
      <c r="D42" s="14"/>
      <c r="E42" s="57"/>
      <c r="F42" s="13" t="s">
        <v>3884</v>
      </c>
      <c r="G42" s="13" t="s">
        <v>3885</v>
      </c>
      <c r="H42" s="57"/>
      <c r="I42" s="2"/>
      <c r="J42" s="2"/>
      <c r="K42" s="2"/>
      <c r="L42" s="2"/>
      <c r="M42" s="2"/>
      <c r="N42" s="2"/>
      <c r="O42" s="2"/>
      <c r="P42" s="2"/>
      <c r="Q42" s="2"/>
      <c r="R42" s="2"/>
      <c r="S42" s="2"/>
      <c r="T42" s="2"/>
      <c r="U42" s="2"/>
      <c r="V42" s="2"/>
      <c r="W42" s="2"/>
      <c r="X42" s="2"/>
      <c r="Y42" s="2"/>
      <c r="Z42" s="2"/>
    </row>
    <row r="43" customHeight="1" spans="1:26">
      <c r="A43" s="13" t="s">
        <v>325</v>
      </c>
      <c r="B43" s="13" t="s">
        <v>3886</v>
      </c>
      <c r="C43" s="13" t="s">
        <v>327</v>
      </c>
      <c r="D43" s="14"/>
      <c r="E43" s="57"/>
      <c r="F43" s="13" t="s">
        <v>3887</v>
      </c>
      <c r="G43" s="13" t="s">
        <v>3888</v>
      </c>
      <c r="H43" s="57"/>
      <c r="I43" s="2"/>
      <c r="J43" s="2"/>
      <c r="K43" s="2"/>
      <c r="L43" s="2"/>
      <c r="M43" s="2"/>
      <c r="N43" s="2"/>
      <c r="O43" s="2"/>
      <c r="P43" s="2"/>
      <c r="Q43" s="2"/>
      <c r="R43" s="2"/>
      <c r="S43" s="2"/>
      <c r="T43" s="2"/>
      <c r="U43" s="2"/>
      <c r="V43" s="2"/>
      <c r="W43" s="2"/>
      <c r="X43" s="2"/>
      <c r="Y43" s="2"/>
      <c r="Z43" s="2"/>
    </row>
    <row r="44" customHeight="1" spans="1:26">
      <c r="A44" s="64" t="s">
        <v>321</v>
      </c>
      <c r="B44" s="13" t="s">
        <v>3889</v>
      </c>
      <c r="C44" s="13" t="s">
        <v>315</v>
      </c>
      <c r="D44" s="65">
        <v>13</v>
      </c>
      <c r="E44" s="13" t="s">
        <v>262</v>
      </c>
      <c r="F44" s="13" t="s">
        <v>3890</v>
      </c>
      <c r="G44" s="13" t="s">
        <v>3891</v>
      </c>
      <c r="H44" s="57"/>
      <c r="I44" s="2"/>
      <c r="J44" s="2"/>
      <c r="K44" s="2"/>
      <c r="L44" s="2"/>
      <c r="M44" s="2"/>
      <c r="N44" s="2"/>
      <c r="O44" s="2"/>
      <c r="P44" s="2"/>
      <c r="Q44" s="2"/>
      <c r="R44" s="2"/>
      <c r="S44" s="2"/>
      <c r="T44" s="2"/>
      <c r="U44" s="2"/>
      <c r="V44" s="2"/>
      <c r="W44" s="2"/>
      <c r="X44" s="2"/>
      <c r="Y44" s="2"/>
      <c r="Z44" s="2"/>
    </row>
    <row r="45" customHeight="1" spans="1:26">
      <c r="A45" s="13" t="s">
        <v>460</v>
      </c>
      <c r="B45" s="13" t="s">
        <v>3892</v>
      </c>
      <c r="C45" s="13" t="s">
        <v>462</v>
      </c>
      <c r="D45" s="14">
        <v>8</v>
      </c>
      <c r="E45" s="13" t="s">
        <v>37</v>
      </c>
      <c r="F45" s="13" t="s">
        <v>3893</v>
      </c>
      <c r="G45" s="13" t="s">
        <v>3894</v>
      </c>
      <c r="H45" s="57"/>
      <c r="I45" s="2"/>
      <c r="J45" s="2"/>
      <c r="K45" s="2"/>
      <c r="L45" s="2"/>
      <c r="M45" s="2"/>
      <c r="N45" s="2"/>
      <c r="O45" s="2"/>
      <c r="P45" s="2"/>
      <c r="Q45" s="2"/>
      <c r="R45" s="2"/>
      <c r="S45" s="2"/>
      <c r="T45" s="2"/>
      <c r="U45" s="2"/>
      <c r="V45" s="2"/>
      <c r="W45" s="2"/>
      <c r="X45" s="2"/>
      <c r="Y45" s="2"/>
      <c r="Z45" s="2"/>
    </row>
    <row r="46" customHeight="1" spans="1:26">
      <c r="A46" s="13" t="s">
        <v>416</v>
      </c>
      <c r="B46" s="13" t="s">
        <v>3889</v>
      </c>
      <c r="C46" s="13" t="s">
        <v>418</v>
      </c>
      <c r="D46" s="14"/>
      <c r="E46" s="57"/>
      <c r="F46" s="13" t="s">
        <v>3895</v>
      </c>
      <c r="G46" s="13" t="s">
        <v>3896</v>
      </c>
      <c r="H46" s="57"/>
      <c r="I46" s="2"/>
      <c r="J46" s="2"/>
      <c r="K46" s="2"/>
      <c r="L46" s="2"/>
      <c r="M46" s="2"/>
      <c r="N46" s="2"/>
      <c r="O46" s="2"/>
      <c r="P46" s="2"/>
      <c r="Q46" s="2"/>
      <c r="R46" s="2"/>
      <c r="S46" s="2"/>
      <c r="T46" s="2"/>
      <c r="U46" s="2"/>
      <c r="V46" s="2"/>
      <c r="W46" s="2"/>
      <c r="X46" s="2"/>
      <c r="Y46" s="2"/>
      <c r="Z46" s="2"/>
    </row>
    <row r="47" customHeight="1" spans="1:26">
      <c r="A47" s="13" t="s">
        <v>411</v>
      </c>
      <c r="B47" s="13" t="s">
        <v>3897</v>
      </c>
      <c r="C47" s="13" t="s">
        <v>413</v>
      </c>
      <c r="D47" s="14"/>
      <c r="E47" s="57"/>
      <c r="F47" s="13" t="s">
        <v>3898</v>
      </c>
      <c r="G47" s="13" t="s">
        <v>3899</v>
      </c>
      <c r="H47" s="57"/>
      <c r="I47" s="2"/>
      <c r="J47" s="2"/>
      <c r="K47" s="2"/>
      <c r="L47" s="2"/>
      <c r="M47" s="2"/>
      <c r="N47" s="2"/>
      <c r="O47" s="2"/>
      <c r="P47" s="2"/>
      <c r="Q47" s="2"/>
      <c r="R47" s="2"/>
      <c r="S47" s="2"/>
      <c r="T47" s="2"/>
      <c r="U47" s="2"/>
      <c r="V47" s="2"/>
      <c r="W47" s="2"/>
      <c r="X47" s="2"/>
      <c r="Y47" s="2"/>
      <c r="Z47" s="2"/>
    </row>
    <row r="48" customHeight="1" spans="1:26">
      <c r="A48" s="13" t="s">
        <v>455</v>
      </c>
      <c r="B48" s="13" t="s">
        <v>3900</v>
      </c>
      <c r="C48" s="13" t="s">
        <v>457</v>
      </c>
      <c r="D48" s="14"/>
      <c r="E48" s="57"/>
      <c r="F48" s="13" t="s">
        <v>3901</v>
      </c>
      <c r="G48" s="13" t="s">
        <v>3902</v>
      </c>
      <c r="H48" s="57"/>
      <c r="I48" s="2"/>
      <c r="J48" s="2"/>
      <c r="K48" s="2"/>
      <c r="L48" s="2"/>
      <c r="M48" s="2"/>
      <c r="N48" s="2"/>
      <c r="O48" s="2"/>
      <c r="P48" s="2"/>
      <c r="Q48" s="2"/>
      <c r="R48" s="2"/>
      <c r="S48" s="2"/>
      <c r="T48" s="2"/>
      <c r="U48" s="2"/>
      <c r="V48" s="2"/>
      <c r="W48" s="2"/>
      <c r="X48" s="2"/>
      <c r="Y48" s="2"/>
      <c r="Z48" s="2"/>
    </row>
    <row r="49" customHeight="1" spans="1:26">
      <c r="A49" s="13" t="s">
        <v>421</v>
      </c>
      <c r="B49" s="13" t="s">
        <v>3903</v>
      </c>
      <c r="C49" s="13" t="s">
        <v>423</v>
      </c>
      <c r="D49" s="14"/>
      <c r="E49" s="57"/>
      <c r="F49" s="13" t="s">
        <v>3904</v>
      </c>
      <c r="G49" s="13" t="s">
        <v>3905</v>
      </c>
      <c r="H49" s="57"/>
      <c r="I49" s="2"/>
      <c r="J49" s="2"/>
      <c r="K49" s="2"/>
      <c r="L49" s="2"/>
      <c r="M49" s="2"/>
      <c r="N49" s="2"/>
      <c r="O49" s="2"/>
      <c r="P49" s="2"/>
      <c r="Q49" s="2"/>
      <c r="R49" s="2"/>
      <c r="S49" s="2"/>
      <c r="T49" s="2"/>
      <c r="U49" s="2"/>
      <c r="V49" s="2"/>
      <c r="W49" s="2"/>
      <c r="X49" s="2"/>
      <c r="Y49" s="2"/>
      <c r="Z49" s="2"/>
    </row>
    <row r="50" customHeight="1" spans="1:26">
      <c r="A50" s="13" t="s">
        <v>3564</v>
      </c>
      <c r="B50" s="13" t="s">
        <v>3906</v>
      </c>
      <c r="C50" s="13" t="s">
        <v>2165</v>
      </c>
      <c r="D50" s="14"/>
      <c r="E50" s="57"/>
      <c r="F50" s="13" t="s">
        <v>3907</v>
      </c>
      <c r="G50" s="13" t="s">
        <v>3908</v>
      </c>
      <c r="H50" s="57"/>
      <c r="I50" s="2"/>
      <c r="J50" s="2"/>
      <c r="K50" s="2"/>
      <c r="L50" s="2"/>
      <c r="M50" s="2"/>
      <c r="N50" s="2"/>
      <c r="O50" s="2"/>
      <c r="P50" s="2"/>
      <c r="Q50" s="2"/>
      <c r="R50" s="2"/>
      <c r="S50" s="2"/>
      <c r="T50" s="2"/>
      <c r="U50" s="2"/>
      <c r="V50" s="2"/>
      <c r="W50" s="2"/>
      <c r="X50" s="2"/>
      <c r="Y50" s="2"/>
      <c r="Z50" s="2"/>
    </row>
    <row r="51" customHeight="1" spans="1:26">
      <c r="A51" s="13" t="s">
        <v>227</v>
      </c>
      <c r="B51" s="13" t="s">
        <v>3909</v>
      </c>
      <c r="C51" s="13" t="s">
        <v>224</v>
      </c>
      <c r="D51" s="14"/>
      <c r="E51" s="57"/>
      <c r="F51" s="13" t="s">
        <v>3910</v>
      </c>
      <c r="G51" s="13" t="s">
        <v>3911</v>
      </c>
      <c r="H51" s="57"/>
      <c r="I51" s="2"/>
      <c r="J51" s="2"/>
      <c r="K51" s="2"/>
      <c r="L51" s="2"/>
      <c r="M51" s="2"/>
      <c r="N51" s="2"/>
      <c r="O51" s="2"/>
      <c r="P51" s="2"/>
      <c r="Q51" s="2"/>
      <c r="R51" s="2"/>
      <c r="S51" s="2"/>
      <c r="T51" s="2"/>
      <c r="U51" s="2"/>
      <c r="V51" s="2"/>
      <c r="W51" s="2"/>
      <c r="X51" s="2"/>
      <c r="Y51" s="2"/>
      <c r="Z51" s="2"/>
    </row>
    <row r="52" customHeight="1" spans="1:26">
      <c r="A52" s="13" t="s">
        <v>231</v>
      </c>
      <c r="B52" s="13" t="s">
        <v>3912</v>
      </c>
      <c r="C52" s="13" t="s">
        <v>229</v>
      </c>
      <c r="D52" s="14"/>
      <c r="E52" s="57"/>
      <c r="F52" s="13" t="s">
        <v>3913</v>
      </c>
      <c r="G52" s="13" t="s">
        <v>3914</v>
      </c>
      <c r="H52" s="57"/>
      <c r="I52" s="2"/>
      <c r="J52" s="2"/>
      <c r="K52" s="2"/>
      <c r="L52" s="2"/>
      <c r="M52" s="2"/>
      <c r="N52" s="2"/>
      <c r="O52" s="2"/>
      <c r="P52" s="2"/>
      <c r="Q52" s="2"/>
      <c r="R52" s="2"/>
      <c r="S52" s="2"/>
      <c r="T52" s="2"/>
      <c r="U52" s="2"/>
      <c r="V52" s="2"/>
      <c r="W52" s="2"/>
      <c r="X52" s="2"/>
      <c r="Y52" s="2"/>
      <c r="Z52" s="2"/>
    </row>
    <row r="53" customHeight="1" spans="1:26">
      <c r="A53" s="64" t="s">
        <v>94</v>
      </c>
      <c r="B53" s="13" t="s">
        <v>3915</v>
      </c>
      <c r="C53" s="13" t="s">
        <v>925</v>
      </c>
      <c r="D53" s="65">
        <v>60</v>
      </c>
      <c r="E53" s="13" t="s">
        <v>71</v>
      </c>
      <c r="F53" s="13" t="s">
        <v>3916</v>
      </c>
      <c r="G53" s="13" t="s">
        <v>3917</v>
      </c>
      <c r="H53" s="57"/>
      <c r="I53" s="2"/>
      <c r="J53" s="2"/>
      <c r="K53" s="2"/>
      <c r="L53" s="2"/>
      <c r="M53" s="2"/>
      <c r="N53" s="2"/>
      <c r="O53" s="2"/>
      <c r="P53" s="2"/>
      <c r="Q53" s="2"/>
      <c r="R53" s="2"/>
      <c r="S53" s="2"/>
      <c r="T53" s="2"/>
      <c r="U53" s="2"/>
      <c r="V53" s="2"/>
      <c r="W53" s="2"/>
      <c r="X53" s="2"/>
      <c r="Y53" s="2"/>
      <c r="Z53" s="2"/>
    </row>
    <row r="54" customHeight="1" spans="1:26">
      <c r="A54" s="64" t="s">
        <v>99</v>
      </c>
      <c r="B54" s="13" t="s">
        <v>3918</v>
      </c>
      <c r="C54" s="13" t="s">
        <v>925</v>
      </c>
      <c r="D54" s="65">
        <v>70</v>
      </c>
      <c r="E54" s="13" t="s">
        <v>32</v>
      </c>
      <c r="F54" s="13" t="s">
        <v>3919</v>
      </c>
      <c r="G54" s="13" t="s">
        <v>3920</v>
      </c>
      <c r="H54" s="57"/>
      <c r="I54" s="2"/>
      <c r="J54" s="2"/>
      <c r="K54" s="2"/>
      <c r="L54" s="2"/>
      <c r="M54" s="2"/>
      <c r="N54" s="2"/>
      <c r="O54" s="2"/>
      <c r="P54" s="2"/>
      <c r="Q54" s="2"/>
      <c r="R54" s="2"/>
      <c r="S54" s="2"/>
      <c r="T54" s="2"/>
      <c r="U54" s="2"/>
      <c r="V54" s="2"/>
      <c r="W54" s="2"/>
      <c r="X54" s="2"/>
      <c r="Y54" s="2"/>
      <c r="Z54" s="2"/>
    </row>
    <row r="55" customHeight="1" spans="1:26">
      <c r="A55" s="13" t="s">
        <v>198</v>
      </c>
      <c r="B55" s="13" t="s">
        <v>3921</v>
      </c>
      <c r="C55" s="13" t="s">
        <v>200</v>
      </c>
      <c r="D55" s="14"/>
      <c r="E55" s="57"/>
      <c r="F55" s="13" t="s">
        <v>3922</v>
      </c>
      <c r="G55" s="13" t="s">
        <v>3923</v>
      </c>
      <c r="H55" s="57"/>
      <c r="I55" s="2"/>
      <c r="J55" s="2"/>
      <c r="K55" s="2"/>
      <c r="L55" s="2"/>
      <c r="M55" s="2"/>
      <c r="N55" s="2"/>
      <c r="O55" s="2"/>
      <c r="P55" s="2"/>
      <c r="Q55" s="2"/>
      <c r="R55" s="2"/>
      <c r="S55" s="2"/>
      <c r="T55" s="2"/>
      <c r="U55" s="2"/>
      <c r="V55" s="2"/>
      <c r="W55" s="2"/>
      <c r="X55" s="2"/>
      <c r="Y55" s="2"/>
      <c r="Z55" s="2"/>
    </row>
    <row r="56" customHeight="1" spans="1:26">
      <c r="A56" s="13" t="s">
        <v>203</v>
      </c>
      <c r="B56" s="13" t="s">
        <v>3924</v>
      </c>
      <c r="C56" s="13" t="s">
        <v>200</v>
      </c>
      <c r="D56" s="14"/>
      <c r="E56" s="57"/>
      <c r="F56" s="13" t="s">
        <v>3925</v>
      </c>
      <c r="G56" s="13" t="s">
        <v>3926</v>
      </c>
      <c r="H56" s="57"/>
      <c r="I56" s="2"/>
      <c r="J56" s="2"/>
      <c r="K56" s="2"/>
      <c r="L56" s="2"/>
      <c r="M56" s="2"/>
      <c r="N56" s="2"/>
      <c r="O56" s="2"/>
      <c r="P56" s="2"/>
      <c r="Q56" s="2"/>
      <c r="R56" s="2"/>
      <c r="S56" s="2"/>
      <c r="T56" s="2"/>
      <c r="U56" s="2"/>
      <c r="V56" s="2"/>
      <c r="W56" s="2"/>
      <c r="X56" s="2"/>
      <c r="Y56" s="2"/>
      <c r="Z56" s="2"/>
    </row>
    <row r="57" customHeight="1" spans="1:26">
      <c r="A57" s="13" t="s">
        <v>84</v>
      </c>
      <c r="B57" s="13" t="s">
        <v>3927</v>
      </c>
      <c r="C57" s="13" t="s">
        <v>86</v>
      </c>
      <c r="D57" s="14"/>
      <c r="E57" s="57"/>
      <c r="F57" s="13" t="s">
        <v>3928</v>
      </c>
      <c r="G57" s="13" t="s">
        <v>3929</v>
      </c>
      <c r="H57" s="57"/>
      <c r="I57" s="2"/>
      <c r="J57" s="2"/>
      <c r="K57" s="2"/>
      <c r="L57" s="2"/>
      <c r="M57" s="2"/>
      <c r="N57" s="2"/>
      <c r="O57" s="2"/>
      <c r="P57" s="2"/>
      <c r="Q57" s="2"/>
      <c r="R57" s="2"/>
      <c r="S57" s="2"/>
      <c r="T57" s="2"/>
      <c r="U57" s="2"/>
      <c r="V57" s="2"/>
      <c r="W57" s="2"/>
      <c r="X57" s="2"/>
      <c r="Y57" s="2"/>
      <c r="Z57" s="2"/>
    </row>
    <row r="58" customHeight="1" spans="1:26">
      <c r="A58" s="13" t="s">
        <v>139</v>
      </c>
      <c r="B58" s="13" t="s">
        <v>3930</v>
      </c>
      <c r="C58" s="13" t="s">
        <v>141</v>
      </c>
      <c r="D58" s="14"/>
      <c r="E58" s="57"/>
      <c r="F58" s="13" t="s">
        <v>3931</v>
      </c>
      <c r="G58" s="13" t="s">
        <v>3932</v>
      </c>
      <c r="H58" s="57"/>
      <c r="I58" s="2"/>
      <c r="J58" s="2"/>
      <c r="K58" s="2"/>
      <c r="L58" s="2"/>
      <c r="M58" s="2"/>
      <c r="N58" s="2"/>
      <c r="O58" s="2"/>
      <c r="P58" s="2"/>
      <c r="Q58" s="2"/>
      <c r="R58" s="2"/>
      <c r="S58" s="2"/>
      <c r="T58" s="2"/>
      <c r="U58" s="2"/>
      <c r="V58" s="2"/>
      <c r="W58" s="2"/>
      <c r="X58" s="2"/>
      <c r="Y58" s="2"/>
      <c r="Z58" s="2"/>
    </row>
    <row r="59" customHeight="1" spans="1:26">
      <c r="A59" s="13" t="s">
        <v>488</v>
      </c>
      <c r="B59" s="13" t="s">
        <v>3933</v>
      </c>
      <c r="C59" s="13" t="s">
        <v>490</v>
      </c>
      <c r="D59" s="14"/>
      <c r="E59" s="57"/>
      <c r="F59" s="13" t="s">
        <v>3934</v>
      </c>
      <c r="G59" s="13" t="s">
        <v>3935</v>
      </c>
      <c r="H59" s="57"/>
      <c r="I59" s="2"/>
      <c r="J59" s="2"/>
      <c r="K59" s="2"/>
      <c r="L59" s="2"/>
      <c r="M59" s="2"/>
      <c r="N59" s="2"/>
      <c r="O59" s="2"/>
      <c r="P59" s="2"/>
      <c r="Q59" s="2"/>
      <c r="R59" s="2"/>
      <c r="S59" s="2"/>
      <c r="T59" s="2"/>
      <c r="U59" s="2"/>
      <c r="V59" s="2"/>
      <c r="W59" s="2"/>
      <c r="X59" s="2"/>
      <c r="Y59" s="2"/>
      <c r="Z59" s="2"/>
    </row>
    <row r="60" customHeight="1" spans="1:26">
      <c r="A60" s="64" t="s">
        <v>178</v>
      </c>
      <c r="B60" s="13" t="s">
        <v>3936</v>
      </c>
      <c r="C60" s="13" t="s">
        <v>180</v>
      </c>
      <c r="D60" s="65">
        <v>45</v>
      </c>
      <c r="E60" s="13" t="s">
        <v>37</v>
      </c>
      <c r="F60" s="57"/>
      <c r="G60" s="13" t="s">
        <v>3937</v>
      </c>
      <c r="H60" s="57"/>
      <c r="I60" s="2"/>
      <c r="J60" s="2"/>
      <c r="K60" s="2"/>
      <c r="L60" s="2"/>
      <c r="M60" s="2"/>
      <c r="N60" s="2"/>
      <c r="O60" s="2"/>
      <c r="P60" s="2"/>
      <c r="Q60" s="2"/>
      <c r="R60" s="2"/>
      <c r="S60" s="2"/>
      <c r="T60" s="2"/>
      <c r="U60" s="2"/>
      <c r="V60" s="2"/>
      <c r="W60" s="2"/>
      <c r="X60" s="2"/>
      <c r="Y60" s="2"/>
      <c r="Z60" s="2"/>
    </row>
    <row r="61" customHeight="1" spans="1:26">
      <c r="A61" s="64" t="s">
        <v>183</v>
      </c>
      <c r="B61" s="13" t="s">
        <v>184</v>
      </c>
      <c r="C61" s="13" t="s">
        <v>185</v>
      </c>
      <c r="D61" s="65">
        <v>7</v>
      </c>
      <c r="E61" s="13" t="s">
        <v>37</v>
      </c>
      <c r="F61" s="13" t="s">
        <v>186</v>
      </c>
      <c r="G61" s="13" t="s">
        <v>3938</v>
      </c>
      <c r="H61" s="57"/>
      <c r="I61" s="2"/>
      <c r="J61" s="2"/>
      <c r="K61" s="2"/>
      <c r="L61" s="2"/>
      <c r="M61" s="2"/>
      <c r="N61" s="2"/>
      <c r="O61" s="2"/>
      <c r="P61" s="2"/>
      <c r="Q61" s="2"/>
      <c r="R61" s="2"/>
      <c r="S61" s="2"/>
      <c r="T61" s="2"/>
      <c r="U61" s="2"/>
      <c r="V61" s="2"/>
      <c r="W61" s="2"/>
      <c r="X61" s="2"/>
      <c r="Y61" s="2"/>
      <c r="Z61" s="2"/>
    </row>
    <row r="62" customHeight="1" spans="1:26">
      <c r="A62" s="13" t="s">
        <v>563</v>
      </c>
      <c r="B62" s="13" t="s">
        <v>3939</v>
      </c>
      <c r="C62" s="13" t="s">
        <v>565</v>
      </c>
      <c r="D62" s="14"/>
      <c r="E62" s="57"/>
      <c r="F62" s="13" t="s">
        <v>3940</v>
      </c>
      <c r="G62" s="13" t="s">
        <v>3941</v>
      </c>
      <c r="H62" s="57"/>
      <c r="I62" s="2"/>
      <c r="J62" s="2"/>
      <c r="K62" s="2"/>
      <c r="L62" s="2"/>
      <c r="M62" s="2"/>
      <c r="N62" s="2"/>
      <c r="O62" s="2"/>
      <c r="P62" s="2"/>
      <c r="Q62" s="2"/>
      <c r="R62" s="2"/>
      <c r="S62" s="2"/>
      <c r="T62" s="2"/>
      <c r="U62" s="2"/>
      <c r="V62" s="2"/>
      <c r="W62" s="2"/>
      <c r="X62" s="2"/>
      <c r="Y62" s="2"/>
      <c r="Z62" s="2"/>
    </row>
    <row r="63" customHeight="1" spans="1:26">
      <c r="A63" s="13" t="s">
        <v>24</v>
      </c>
      <c r="B63" s="13" t="s">
        <v>3942</v>
      </c>
      <c r="C63" s="13" t="s">
        <v>3943</v>
      </c>
      <c r="D63" s="14"/>
      <c r="E63" s="57"/>
      <c r="F63" s="13" t="s">
        <v>3944</v>
      </c>
      <c r="G63" s="13" t="s">
        <v>3945</v>
      </c>
      <c r="H63" s="57"/>
      <c r="I63" s="2"/>
      <c r="J63" s="2"/>
      <c r="K63" s="2"/>
      <c r="L63" s="2"/>
      <c r="M63" s="2"/>
      <c r="N63" s="2"/>
      <c r="O63" s="2"/>
      <c r="P63" s="2"/>
      <c r="Q63" s="2"/>
      <c r="R63" s="2"/>
      <c r="S63" s="2"/>
      <c r="T63" s="2"/>
      <c r="U63" s="2"/>
      <c r="V63" s="2"/>
      <c r="W63" s="2"/>
      <c r="X63" s="2"/>
      <c r="Y63" s="2"/>
      <c r="Z63" s="2"/>
    </row>
    <row r="64" customHeight="1" spans="1:26">
      <c r="A64" s="64" t="s">
        <v>64</v>
      </c>
      <c r="B64" s="13" t="s">
        <v>3946</v>
      </c>
      <c r="C64" s="13" t="s">
        <v>66</v>
      </c>
      <c r="D64" s="65">
        <v>13</v>
      </c>
      <c r="E64" s="13" t="s">
        <v>32</v>
      </c>
      <c r="F64" s="13" t="s">
        <v>3947</v>
      </c>
      <c r="G64" s="13" t="s">
        <v>3948</v>
      </c>
      <c r="H64" s="57"/>
      <c r="I64" s="2"/>
      <c r="J64" s="2"/>
      <c r="K64" s="2"/>
      <c r="L64" s="2"/>
      <c r="M64" s="2"/>
      <c r="N64" s="2"/>
      <c r="O64" s="2"/>
      <c r="P64" s="2"/>
      <c r="Q64" s="2"/>
      <c r="R64" s="2"/>
      <c r="S64" s="2"/>
      <c r="T64" s="2"/>
      <c r="U64" s="2"/>
      <c r="V64" s="2"/>
      <c r="W64" s="2"/>
      <c r="X64" s="2"/>
      <c r="Y64" s="2"/>
      <c r="Z64" s="2"/>
    </row>
    <row r="65" customHeight="1" spans="1:26">
      <c r="A65" s="64" t="s">
        <v>69</v>
      </c>
      <c r="B65" s="13" t="s">
        <v>2097</v>
      </c>
      <c r="C65" s="13" t="s">
        <v>66</v>
      </c>
      <c r="D65" s="65">
        <v>12</v>
      </c>
      <c r="E65" s="13" t="s">
        <v>71</v>
      </c>
      <c r="F65" s="13" t="s">
        <v>2098</v>
      </c>
      <c r="G65" s="13" t="s">
        <v>3949</v>
      </c>
      <c r="H65" s="57"/>
      <c r="I65" s="2"/>
      <c r="J65" s="2"/>
      <c r="K65" s="2"/>
      <c r="L65" s="2"/>
      <c r="M65" s="2"/>
      <c r="N65" s="2"/>
      <c r="O65" s="2"/>
      <c r="P65" s="2"/>
      <c r="Q65" s="2"/>
      <c r="R65" s="2"/>
      <c r="S65" s="2"/>
      <c r="T65" s="2"/>
      <c r="U65" s="2"/>
      <c r="V65" s="2"/>
      <c r="W65" s="2"/>
      <c r="X65" s="2"/>
      <c r="Y65" s="2"/>
      <c r="Z65" s="2"/>
    </row>
    <row r="66" customHeight="1" spans="1:26">
      <c r="A66" s="13" t="s">
        <v>234</v>
      </c>
      <c r="B66" s="13" t="s">
        <v>3950</v>
      </c>
      <c r="C66" s="13" t="s">
        <v>236</v>
      </c>
      <c r="D66" s="14"/>
      <c r="E66" s="57"/>
      <c r="F66" s="13" t="s">
        <v>3951</v>
      </c>
      <c r="G66" s="13" t="s">
        <v>3952</v>
      </c>
      <c r="H66" s="57"/>
      <c r="I66" s="2"/>
      <c r="J66" s="2"/>
      <c r="K66" s="2"/>
      <c r="L66" s="2"/>
      <c r="M66" s="2"/>
      <c r="N66" s="2"/>
      <c r="O66" s="2"/>
      <c r="P66" s="2"/>
      <c r="Q66" s="2"/>
      <c r="R66" s="2"/>
      <c r="S66" s="2"/>
      <c r="T66" s="2"/>
      <c r="U66" s="2"/>
      <c r="V66" s="2"/>
      <c r="W66" s="2"/>
      <c r="X66" s="2"/>
      <c r="Y66" s="2"/>
      <c r="Z66" s="2"/>
    </row>
    <row r="67" customHeight="1" spans="1:26">
      <c r="A67" s="13" t="s">
        <v>252</v>
      </c>
      <c r="B67" s="13" t="s">
        <v>3953</v>
      </c>
      <c r="C67" s="13" t="s">
        <v>236</v>
      </c>
      <c r="D67" s="14"/>
      <c r="E67" s="57"/>
      <c r="F67" s="13" t="s">
        <v>3954</v>
      </c>
      <c r="G67" s="13" t="s">
        <v>3955</v>
      </c>
      <c r="H67" s="57"/>
      <c r="I67" s="2"/>
      <c r="J67" s="2"/>
      <c r="K67" s="2"/>
      <c r="L67" s="2"/>
      <c r="M67" s="2"/>
      <c r="N67" s="2"/>
      <c r="O67" s="2"/>
      <c r="P67" s="2"/>
      <c r="Q67" s="2"/>
      <c r="R67" s="2"/>
      <c r="S67" s="2"/>
      <c r="T67" s="2"/>
      <c r="U67" s="2"/>
      <c r="V67" s="2"/>
      <c r="W67" s="2"/>
      <c r="X67" s="2"/>
      <c r="Y67" s="2"/>
      <c r="Z67" s="2"/>
    </row>
    <row r="68" customHeight="1" spans="1:26">
      <c r="A68" s="13" t="s">
        <v>256</v>
      </c>
      <c r="B68" s="13" t="s">
        <v>3956</v>
      </c>
      <c r="C68" s="13" t="s">
        <v>236</v>
      </c>
      <c r="D68" s="14"/>
      <c r="E68" s="57"/>
      <c r="F68" s="13" t="s">
        <v>3957</v>
      </c>
      <c r="G68" s="13" t="s">
        <v>3958</v>
      </c>
      <c r="H68" s="57"/>
      <c r="I68" s="2"/>
      <c r="J68" s="2"/>
      <c r="K68" s="2"/>
      <c r="L68" s="2"/>
      <c r="M68" s="2"/>
      <c r="N68" s="2"/>
      <c r="O68" s="2"/>
      <c r="P68" s="2"/>
      <c r="Q68" s="2"/>
      <c r="R68" s="2"/>
      <c r="S68" s="2"/>
      <c r="T68" s="2"/>
      <c r="U68" s="2"/>
      <c r="V68" s="2"/>
      <c r="W68" s="2"/>
      <c r="X68" s="2"/>
      <c r="Y68" s="2"/>
      <c r="Z68" s="2"/>
    </row>
    <row r="69" customHeight="1" spans="1:26">
      <c r="A69" s="13" t="s">
        <v>260</v>
      </c>
      <c r="B69" s="13" t="s">
        <v>819</v>
      </c>
      <c r="C69" s="13" t="s">
        <v>236</v>
      </c>
      <c r="D69" s="14"/>
      <c r="E69" s="57"/>
      <c r="F69" s="13" t="s">
        <v>3959</v>
      </c>
      <c r="G69" s="13" t="s">
        <v>3960</v>
      </c>
      <c r="H69" s="57"/>
      <c r="I69" s="2"/>
      <c r="J69" s="2"/>
      <c r="K69" s="2"/>
      <c r="L69" s="2"/>
      <c r="M69" s="2"/>
      <c r="N69" s="2"/>
      <c r="O69" s="2"/>
      <c r="P69" s="2"/>
      <c r="Q69" s="2"/>
      <c r="R69" s="2"/>
      <c r="S69" s="2"/>
      <c r="T69" s="2"/>
      <c r="U69" s="2"/>
      <c r="V69" s="2"/>
      <c r="W69" s="2"/>
      <c r="X69" s="2"/>
      <c r="Y69" s="2"/>
      <c r="Z69" s="2"/>
    </row>
    <row r="70" customHeight="1" spans="1:26">
      <c r="A70" s="13" t="s">
        <v>265</v>
      </c>
      <c r="B70" s="13" t="s">
        <v>3961</v>
      </c>
      <c r="C70" s="13" t="s">
        <v>236</v>
      </c>
      <c r="D70" s="14"/>
      <c r="E70" s="57"/>
      <c r="F70" s="13" t="s">
        <v>3962</v>
      </c>
      <c r="G70" s="13" t="s">
        <v>3963</v>
      </c>
      <c r="H70" s="57"/>
      <c r="I70" s="2"/>
      <c r="J70" s="2"/>
      <c r="K70" s="2"/>
      <c r="L70" s="2"/>
      <c r="M70" s="2"/>
      <c r="N70" s="2"/>
      <c r="O70" s="2"/>
      <c r="P70" s="2"/>
      <c r="Q70" s="2"/>
      <c r="R70" s="2"/>
      <c r="S70" s="2"/>
      <c r="T70" s="2"/>
      <c r="U70" s="2"/>
      <c r="V70" s="2"/>
      <c r="W70" s="2"/>
      <c r="X70" s="2"/>
      <c r="Y70" s="2"/>
      <c r="Z70" s="2"/>
    </row>
    <row r="71" customHeight="1" spans="1:26">
      <c r="A71" s="13" t="s">
        <v>269</v>
      </c>
      <c r="B71" s="13" t="s">
        <v>3964</v>
      </c>
      <c r="C71" s="13" t="s">
        <v>236</v>
      </c>
      <c r="D71" s="14"/>
      <c r="E71" s="57"/>
      <c r="F71" s="13" t="s">
        <v>3965</v>
      </c>
      <c r="G71" s="13" t="s">
        <v>3966</v>
      </c>
      <c r="H71" s="57"/>
      <c r="I71" s="2"/>
      <c r="J71" s="2"/>
      <c r="K71" s="2"/>
      <c r="L71" s="2"/>
      <c r="M71" s="2"/>
      <c r="N71" s="2"/>
      <c r="O71" s="2"/>
      <c r="P71" s="2"/>
      <c r="Q71" s="2"/>
      <c r="R71" s="2"/>
      <c r="S71" s="2"/>
      <c r="T71" s="2"/>
      <c r="U71" s="2"/>
      <c r="V71" s="2"/>
      <c r="W71" s="2"/>
      <c r="X71" s="2"/>
      <c r="Y71" s="2"/>
      <c r="Z71" s="2"/>
    </row>
    <row r="72" customHeight="1" spans="1:26">
      <c r="A72" s="13" t="s">
        <v>273</v>
      </c>
      <c r="B72" s="13" t="s">
        <v>3967</v>
      </c>
      <c r="C72" s="13" t="s">
        <v>236</v>
      </c>
      <c r="D72" s="14"/>
      <c r="E72" s="57"/>
      <c r="F72" s="13" t="s">
        <v>3968</v>
      </c>
      <c r="G72" s="13" t="s">
        <v>3969</v>
      </c>
      <c r="H72" s="57"/>
      <c r="I72" s="2"/>
      <c r="J72" s="2"/>
      <c r="K72" s="2"/>
      <c r="L72" s="2"/>
      <c r="M72" s="2"/>
      <c r="N72" s="2"/>
      <c r="O72" s="2"/>
      <c r="P72" s="2"/>
      <c r="Q72" s="2"/>
      <c r="R72" s="2"/>
      <c r="S72" s="2"/>
      <c r="T72" s="2"/>
      <c r="U72" s="2"/>
      <c r="V72" s="2"/>
      <c r="W72" s="2"/>
      <c r="X72" s="2"/>
      <c r="Y72" s="2"/>
      <c r="Z72" s="2"/>
    </row>
    <row r="73" customHeight="1" spans="1:26">
      <c r="A73" s="13" t="s">
        <v>277</v>
      </c>
      <c r="B73" s="13" t="s">
        <v>3970</v>
      </c>
      <c r="C73" s="13" t="s">
        <v>236</v>
      </c>
      <c r="D73" s="14"/>
      <c r="E73" s="57"/>
      <c r="F73" s="13" t="s">
        <v>3971</v>
      </c>
      <c r="G73" s="13" t="s">
        <v>3972</v>
      </c>
      <c r="H73" s="57"/>
      <c r="I73" s="2"/>
      <c r="J73" s="2"/>
      <c r="K73" s="2"/>
      <c r="L73" s="2"/>
      <c r="M73" s="2"/>
      <c r="N73" s="2"/>
      <c r="O73" s="2"/>
      <c r="P73" s="2"/>
      <c r="Q73" s="2"/>
      <c r="R73" s="2"/>
      <c r="S73" s="2"/>
      <c r="T73" s="2"/>
      <c r="U73" s="2"/>
      <c r="V73" s="2"/>
      <c r="W73" s="2"/>
      <c r="X73" s="2"/>
      <c r="Y73" s="2"/>
      <c r="Z73" s="2"/>
    </row>
    <row r="74" customHeight="1" spans="1:26">
      <c r="A74" s="13" t="s">
        <v>281</v>
      </c>
      <c r="B74" s="13" t="s">
        <v>3973</v>
      </c>
      <c r="C74" s="13" t="s">
        <v>236</v>
      </c>
      <c r="D74" s="14"/>
      <c r="E74" s="57"/>
      <c r="F74" s="13" t="s">
        <v>3974</v>
      </c>
      <c r="G74" s="13" t="s">
        <v>3975</v>
      </c>
      <c r="H74" s="57"/>
      <c r="I74" s="2"/>
      <c r="J74" s="2"/>
      <c r="K74" s="2"/>
      <c r="L74" s="2"/>
      <c r="M74" s="2"/>
      <c r="N74" s="2"/>
      <c r="O74" s="2"/>
      <c r="P74" s="2"/>
      <c r="Q74" s="2"/>
      <c r="R74" s="2"/>
      <c r="S74" s="2"/>
      <c r="T74" s="2"/>
      <c r="U74" s="2"/>
      <c r="V74" s="2"/>
      <c r="W74" s="2"/>
      <c r="X74" s="2"/>
      <c r="Y74" s="2"/>
      <c r="Z74" s="2"/>
    </row>
    <row r="75" customHeight="1" spans="1:26">
      <c r="A75" s="13" t="s">
        <v>239</v>
      </c>
      <c r="B75" s="13" t="s">
        <v>3976</v>
      </c>
      <c r="C75" s="13" t="s">
        <v>236</v>
      </c>
      <c r="D75" s="14"/>
      <c r="E75" s="57"/>
      <c r="F75" s="13" t="s">
        <v>3977</v>
      </c>
      <c r="G75" s="13" t="s">
        <v>3978</v>
      </c>
      <c r="H75" s="57"/>
      <c r="I75" s="2"/>
      <c r="J75" s="2"/>
      <c r="K75" s="2"/>
      <c r="L75" s="2"/>
      <c r="M75" s="2"/>
      <c r="N75" s="2"/>
      <c r="O75" s="2"/>
      <c r="P75" s="2"/>
      <c r="Q75" s="2"/>
      <c r="R75" s="2"/>
      <c r="S75" s="2"/>
      <c r="T75" s="2"/>
      <c r="U75" s="2"/>
      <c r="V75" s="2"/>
      <c r="W75" s="2"/>
      <c r="X75" s="2"/>
      <c r="Y75" s="2"/>
      <c r="Z75" s="2"/>
    </row>
    <row r="76" customHeight="1" spans="1:26">
      <c r="A76" s="13" t="s">
        <v>243</v>
      </c>
      <c r="B76" s="13" t="s">
        <v>3979</v>
      </c>
      <c r="C76" s="13" t="s">
        <v>236</v>
      </c>
      <c r="D76" s="14">
        <v>100</v>
      </c>
      <c r="E76" s="13" t="s">
        <v>245</v>
      </c>
      <c r="F76" s="65"/>
      <c r="G76" s="65"/>
      <c r="H76" s="57"/>
      <c r="I76" s="2"/>
      <c r="J76" s="2"/>
      <c r="K76" s="2"/>
      <c r="L76" s="2"/>
      <c r="M76" s="2"/>
      <c r="N76" s="2"/>
      <c r="O76" s="2"/>
      <c r="P76" s="2"/>
      <c r="Q76" s="2"/>
      <c r="R76" s="2"/>
      <c r="S76" s="2"/>
      <c r="T76" s="2"/>
      <c r="U76" s="2"/>
      <c r="V76" s="2"/>
      <c r="W76" s="2"/>
      <c r="X76" s="2"/>
      <c r="Y76" s="2"/>
      <c r="Z76" s="2"/>
    </row>
    <row r="77" customHeight="1" spans="1:26">
      <c r="A77" s="13" t="s">
        <v>248</v>
      </c>
      <c r="B77" s="13" t="s">
        <v>3980</v>
      </c>
      <c r="C77" s="13" t="s">
        <v>236</v>
      </c>
      <c r="D77" s="14">
        <v>100</v>
      </c>
      <c r="E77" s="13" t="s">
        <v>245</v>
      </c>
      <c r="F77" s="65"/>
      <c r="G77" s="65"/>
      <c r="H77" s="57"/>
      <c r="I77" s="2"/>
      <c r="J77" s="2"/>
      <c r="K77" s="2"/>
      <c r="L77" s="2"/>
      <c r="M77" s="2"/>
      <c r="N77" s="2"/>
      <c r="O77" s="2"/>
      <c r="P77" s="2"/>
      <c r="Q77" s="2"/>
      <c r="R77" s="2"/>
      <c r="S77" s="2"/>
      <c r="T77" s="2"/>
      <c r="U77" s="2"/>
      <c r="V77" s="2"/>
      <c r="W77" s="2"/>
      <c r="X77" s="2"/>
      <c r="Y77" s="2"/>
      <c r="Z77" s="2"/>
    </row>
    <row r="78" customHeight="1" spans="1:26">
      <c r="A78" s="64" t="s">
        <v>503</v>
      </c>
      <c r="B78" s="13" t="s">
        <v>3981</v>
      </c>
      <c r="C78" s="13" t="s">
        <v>505</v>
      </c>
      <c r="D78" s="65">
        <v>38</v>
      </c>
      <c r="E78" s="13" t="s">
        <v>37</v>
      </c>
      <c r="F78" s="13" t="s">
        <v>3982</v>
      </c>
      <c r="G78" s="13" t="s">
        <v>3983</v>
      </c>
      <c r="H78" s="57"/>
      <c r="I78" s="2"/>
      <c r="J78" s="2"/>
      <c r="K78" s="2"/>
      <c r="L78" s="2"/>
      <c r="M78" s="2"/>
      <c r="N78" s="2"/>
      <c r="O78" s="2"/>
      <c r="P78" s="2"/>
      <c r="Q78" s="2"/>
      <c r="R78" s="2"/>
      <c r="S78" s="2"/>
      <c r="T78" s="2"/>
      <c r="U78" s="2"/>
      <c r="V78" s="2"/>
      <c r="W78" s="2"/>
      <c r="X78" s="2"/>
      <c r="Y78" s="2"/>
      <c r="Z78" s="2"/>
    </row>
    <row r="79" customHeight="1" spans="1:26">
      <c r="A79" s="64" t="s">
        <v>29</v>
      </c>
      <c r="B79" s="13" t="s">
        <v>2081</v>
      </c>
      <c r="C79" s="13" t="s">
        <v>31</v>
      </c>
      <c r="D79" s="65">
        <v>30</v>
      </c>
      <c r="E79" s="13" t="s">
        <v>32</v>
      </c>
      <c r="F79" s="13" t="s">
        <v>3984</v>
      </c>
      <c r="G79" s="13" t="s">
        <v>3985</v>
      </c>
      <c r="H79" s="57"/>
      <c r="I79" s="2"/>
      <c r="J79" s="2"/>
      <c r="K79" s="2"/>
      <c r="L79" s="2"/>
      <c r="M79" s="2"/>
      <c r="N79" s="2"/>
      <c r="O79" s="2"/>
      <c r="P79" s="2"/>
      <c r="Q79" s="2"/>
      <c r="R79" s="2"/>
      <c r="S79" s="2"/>
      <c r="T79" s="2"/>
      <c r="U79" s="2"/>
      <c r="V79" s="2"/>
      <c r="W79" s="2"/>
      <c r="X79" s="2"/>
      <c r="Y79" s="2"/>
      <c r="Z79" s="2"/>
    </row>
    <row r="80" customHeight="1" spans="1:26">
      <c r="A80" s="64" t="s">
        <v>35</v>
      </c>
      <c r="B80" s="13" t="s">
        <v>3986</v>
      </c>
      <c r="C80" s="13" t="s">
        <v>31</v>
      </c>
      <c r="D80" s="65">
        <v>30</v>
      </c>
      <c r="E80" s="13" t="s">
        <v>37</v>
      </c>
      <c r="F80" s="13" t="s">
        <v>3987</v>
      </c>
      <c r="G80" s="13" t="s">
        <v>3988</v>
      </c>
      <c r="H80" s="57"/>
      <c r="I80" s="2"/>
      <c r="J80" s="2"/>
      <c r="K80" s="2"/>
      <c r="L80" s="2"/>
      <c r="M80" s="2"/>
      <c r="N80" s="2"/>
      <c r="O80" s="2"/>
      <c r="P80" s="2"/>
      <c r="Q80" s="2"/>
      <c r="R80" s="2"/>
      <c r="S80" s="2"/>
      <c r="T80" s="2"/>
      <c r="U80" s="2"/>
      <c r="V80" s="2"/>
      <c r="W80" s="2"/>
      <c r="X80" s="2"/>
      <c r="Y80" s="2"/>
      <c r="Z80" s="2"/>
    </row>
    <row r="81" customHeight="1" spans="1:26">
      <c r="A81" s="13" t="s">
        <v>212</v>
      </c>
      <c r="B81" s="13" t="s">
        <v>3989</v>
      </c>
      <c r="C81" s="13" t="s">
        <v>214</v>
      </c>
      <c r="D81" s="14"/>
      <c r="E81" s="57"/>
      <c r="F81" s="13" t="s">
        <v>3990</v>
      </c>
      <c r="G81" s="13" t="s">
        <v>3991</v>
      </c>
      <c r="H81" s="57"/>
      <c r="I81" s="2"/>
      <c r="J81" s="2"/>
      <c r="K81" s="2"/>
      <c r="L81" s="2"/>
      <c r="M81" s="2"/>
      <c r="N81" s="2"/>
      <c r="O81" s="2"/>
      <c r="P81" s="2"/>
      <c r="Q81" s="2"/>
      <c r="R81" s="2"/>
      <c r="S81" s="2"/>
      <c r="T81" s="2"/>
      <c r="U81" s="2"/>
      <c r="V81" s="2"/>
      <c r="W81" s="2"/>
      <c r="X81" s="2"/>
      <c r="Y81" s="2"/>
      <c r="Z81" s="2"/>
    </row>
    <row r="82" customHeight="1" spans="1:26">
      <c r="A82" s="13" t="s">
        <v>537</v>
      </c>
      <c r="B82" s="13" t="s">
        <v>3992</v>
      </c>
      <c r="C82" s="13" t="s">
        <v>548</v>
      </c>
      <c r="D82" s="14"/>
      <c r="E82" s="57"/>
      <c r="F82" s="13" t="s">
        <v>3993</v>
      </c>
      <c r="G82" s="13" t="s">
        <v>3994</v>
      </c>
      <c r="H82" s="57"/>
      <c r="I82" s="2"/>
      <c r="J82" s="2"/>
      <c r="K82" s="2"/>
      <c r="L82" s="2"/>
      <c r="M82" s="2"/>
      <c r="N82" s="2"/>
      <c r="O82" s="2"/>
      <c r="P82" s="2"/>
      <c r="Q82" s="2"/>
      <c r="R82" s="2"/>
      <c r="S82" s="2"/>
      <c r="T82" s="2"/>
      <c r="U82" s="2"/>
      <c r="V82" s="2"/>
      <c r="W82" s="2"/>
      <c r="X82" s="2"/>
      <c r="Y82" s="2"/>
      <c r="Z82" s="2"/>
    </row>
    <row r="83" customHeight="1" spans="1:26">
      <c r="A83" s="13" t="s">
        <v>542</v>
      </c>
      <c r="B83" s="13" t="s">
        <v>3995</v>
      </c>
      <c r="C83" s="13" t="s">
        <v>510</v>
      </c>
      <c r="D83" s="14"/>
      <c r="E83" s="57"/>
      <c r="F83" s="13" t="s">
        <v>3996</v>
      </c>
      <c r="G83" s="13" t="s">
        <v>3997</v>
      </c>
      <c r="H83" s="57"/>
      <c r="I83" s="2"/>
      <c r="J83" s="2"/>
      <c r="K83" s="2"/>
      <c r="L83" s="2"/>
      <c r="M83" s="2"/>
      <c r="N83" s="2"/>
      <c r="O83" s="2"/>
      <c r="P83" s="2"/>
      <c r="Q83" s="2"/>
      <c r="R83" s="2"/>
      <c r="S83" s="2"/>
      <c r="T83" s="2"/>
      <c r="U83" s="2"/>
      <c r="V83" s="2"/>
      <c r="W83" s="2"/>
      <c r="X83" s="2"/>
      <c r="Y83" s="2"/>
      <c r="Z83" s="2"/>
    </row>
    <row r="84" customHeight="1" spans="1:26">
      <c r="A84" s="13" t="s">
        <v>546</v>
      </c>
      <c r="B84" s="13" t="s">
        <v>3998</v>
      </c>
      <c r="C84" s="13" t="s">
        <v>557</v>
      </c>
      <c r="D84" s="14"/>
      <c r="E84" s="57"/>
      <c r="F84" s="13" t="s">
        <v>3999</v>
      </c>
      <c r="G84" s="13" t="s">
        <v>4000</v>
      </c>
      <c r="H84" s="57"/>
      <c r="I84" s="2"/>
      <c r="J84" s="2"/>
      <c r="K84" s="2"/>
      <c r="L84" s="2"/>
      <c r="M84" s="2"/>
      <c r="N84" s="2"/>
      <c r="O84" s="2"/>
      <c r="P84" s="2"/>
      <c r="Q84" s="2"/>
      <c r="R84" s="2"/>
      <c r="S84" s="2"/>
      <c r="T84" s="2"/>
      <c r="U84" s="2"/>
      <c r="V84" s="2"/>
      <c r="W84" s="2"/>
      <c r="X84" s="2"/>
      <c r="Y84" s="2"/>
      <c r="Z84" s="2"/>
    </row>
    <row r="85" customHeight="1" spans="1:26">
      <c r="A85" s="13" t="s">
        <v>551</v>
      </c>
      <c r="B85" s="13" t="s">
        <v>4001</v>
      </c>
      <c r="C85" s="13" t="s">
        <v>560</v>
      </c>
      <c r="D85" s="14"/>
      <c r="E85" s="57"/>
      <c r="F85" s="13" t="s">
        <v>4002</v>
      </c>
      <c r="G85" s="13" t="s">
        <v>4003</v>
      </c>
      <c r="H85" s="57"/>
      <c r="I85" s="2"/>
      <c r="J85" s="2"/>
      <c r="K85" s="2"/>
      <c r="L85" s="2"/>
      <c r="M85" s="2"/>
      <c r="N85" s="2"/>
      <c r="O85" s="2"/>
      <c r="P85" s="2"/>
      <c r="Q85" s="2"/>
      <c r="R85" s="2"/>
      <c r="S85" s="2"/>
      <c r="T85" s="2"/>
      <c r="U85" s="2"/>
      <c r="V85" s="2"/>
      <c r="W85" s="2"/>
      <c r="X85" s="2"/>
      <c r="Y85" s="2"/>
      <c r="Z85" s="2"/>
    </row>
    <row r="86" customHeight="1" spans="1:26">
      <c r="A86" s="13" t="s">
        <v>551</v>
      </c>
      <c r="B86" s="13" t="s">
        <v>4004</v>
      </c>
      <c r="C86" s="13" t="s">
        <v>560</v>
      </c>
      <c r="D86" s="14"/>
      <c r="E86" s="57"/>
      <c r="F86" s="13" t="s">
        <v>4005</v>
      </c>
      <c r="G86" s="13" t="s">
        <v>4005</v>
      </c>
      <c r="H86" s="57"/>
      <c r="I86" s="2"/>
      <c r="J86" s="2"/>
      <c r="K86" s="2"/>
      <c r="L86" s="2"/>
      <c r="M86" s="2"/>
      <c r="N86" s="2"/>
      <c r="O86" s="2"/>
      <c r="P86" s="2"/>
      <c r="Q86" s="2"/>
      <c r="R86" s="2"/>
      <c r="S86" s="2"/>
      <c r="T86" s="2"/>
      <c r="U86" s="2"/>
      <c r="V86" s="2"/>
      <c r="W86" s="2"/>
      <c r="X86" s="2"/>
      <c r="Y86" s="2"/>
      <c r="Z86" s="2"/>
    </row>
    <row r="87" customHeight="1" spans="1:26">
      <c r="A87" s="13" t="s">
        <v>551</v>
      </c>
      <c r="B87" s="13" t="s">
        <v>4006</v>
      </c>
      <c r="C87" s="13" t="s">
        <v>560</v>
      </c>
      <c r="D87" s="14"/>
      <c r="E87" s="57"/>
      <c r="F87" s="13" t="s">
        <v>4007</v>
      </c>
      <c r="G87" s="13" t="s">
        <v>4008</v>
      </c>
      <c r="H87" s="57"/>
      <c r="I87" s="2"/>
      <c r="J87" s="2"/>
      <c r="K87" s="2"/>
      <c r="L87" s="2"/>
      <c r="M87" s="2"/>
      <c r="N87" s="2"/>
      <c r="O87" s="2"/>
      <c r="P87" s="2"/>
      <c r="Q87" s="2"/>
      <c r="R87" s="2"/>
      <c r="S87" s="2"/>
      <c r="T87" s="2"/>
      <c r="U87" s="2"/>
      <c r="V87" s="2"/>
      <c r="W87" s="2"/>
      <c r="X87" s="2"/>
      <c r="Y87" s="2"/>
      <c r="Z87" s="2"/>
    </row>
    <row r="88" customHeight="1" spans="1:26">
      <c r="A88" s="13" t="s">
        <v>508</v>
      </c>
      <c r="B88" s="13" t="s">
        <v>4009</v>
      </c>
      <c r="C88" s="13" t="s">
        <v>515</v>
      </c>
      <c r="D88" s="14"/>
      <c r="E88" s="57"/>
      <c r="F88" s="13" t="s">
        <v>4010</v>
      </c>
      <c r="G88" s="13" t="s">
        <v>4011</v>
      </c>
      <c r="H88" s="13" t="s">
        <v>2586</v>
      </c>
      <c r="I88" s="2"/>
      <c r="J88" s="2"/>
      <c r="K88" s="2"/>
      <c r="L88" s="2"/>
      <c r="M88" s="2"/>
      <c r="N88" s="2"/>
      <c r="O88" s="2"/>
      <c r="P88" s="2"/>
      <c r="Q88" s="2"/>
      <c r="R88" s="2"/>
      <c r="S88" s="2"/>
      <c r="T88" s="2"/>
      <c r="U88" s="2"/>
      <c r="V88" s="2"/>
      <c r="W88" s="2"/>
      <c r="X88" s="2"/>
      <c r="Y88" s="2"/>
      <c r="Z88" s="2"/>
    </row>
    <row r="89" customHeight="1" spans="1:26">
      <c r="A89" s="13" t="s">
        <v>513</v>
      </c>
      <c r="B89" s="13" t="s">
        <v>4012</v>
      </c>
      <c r="C89" s="13" t="s">
        <v>515</v>
      </c>
      <c r="D89" s="14"/>
      <c r="E89" s="57"/>
      <c r="F89" s="13" t="s">
        <v>4013</v>
      </c>
      <c r="G89" s="13" t="s">
        <v>4014</v>
      </c>
      <c r="H89" s="57"/>
      <c r="I89" s="2"/>
      <c r="J89" s="2"/>
      <c r="K89" s="2"/>
      <c r="L89" s="2"/>
      <c r="M89" s="2"/>
      <c r="N89" s="2"/>
      <c r="O89" s="2"/>
      <c r="P89" s="2"/>
      <c r="Q89" s="2"/>
      <c r="R89" s="2"/>
      <c r="S89" s="2"/>
      <c r="T89" s="2"/>
      <c r="U89" s="2"/>
      <c r="V89" s="2"/>
      <c r="W89" s="2"/>
      <c r="X89" s="2"/>
      <c r="Y89" s="2"/>
      <c r="Z89" s="2"/>
    </row>
    <row r="90" customHeight="1" spans="1:26">
      <c r="A90" s="13" t="s">
        <v>518</v>
      </c>
      <c r="B90" s="13" t="s">
        <v>4015</v>
      </c>
      <c r="C90" s="13" t="s">
        <v>515</v>
      </c>
      <c r="D90" s="14"/>
      <c r="E90" s="57"/>
      <c r="F90" s="13" t="s">
        <v>4016</v>
      </c>
      <c r="G90" s="13" t="s">
        <v>4017</v>
      </c>
      <c r="H90" s="57"/>
      <c r="I90" s="2"/>
      <c r="J90" s="2"/>
      <c r="K90" s="2"/>
      <c r="L90" s="2"/>
      <c r="M90" s="2"/>
      <c r="N90" s="2"/>
      <c r="O90" s="2"/>
      <c r="P90" s="2"/>
      <c r="Q90" s="2"/>
      <c r="R90" s="2"/>
      <c r="S90" s="2"/>
      <c r="T90" s="2"/>
      <c r="U90" s="2"/>
      <c r="V90" s="2"/>
      <c r="W90" s="2"/>
      <c r="X90" s="2"/>
      <c r="Y90" s="2"/>
      <c r="Z90" s="2"/>
    </row>
    <row r="91" customHeight="1" spans="1:26">
      <c r="A91" s="13" t="s">
        <v>520</v>
      </c>
      <c r="B91" s="13" t="s">
        <v>4018</v>
      </c>
      <c r="C91" s="13" t="s">
        <v>515</v>
      </c>
      <c r="D91" s="14"/>
      <c r="E91" s="57"/>
      <c r="F91" s="13" t="s">
        <v>4019</v>
      </c>
      <c r="G91" s="13" t="s">
        <v>4020</v>
      </c>
      <c r="H91" s="57"/>
      <c r="I91" s="2"/>
      <c r="J91" s="2"/>
      <c r="K91" s="2"/>
      <c r="L91" s="2"/>
      <c r="M91" s="2"/>
      <c r="N91" s="2"/>
      <c r="O91" s="2"/>
      <c r="P91" s="2"/>
      <c r="Q91" s="2"/>
      <c r="R91" s="2"/>
      <c r="S91" s="2"/>
      <c r="T91" s="2"/>
      <c r="U91" s="2"/>
      <c r="V91" s="2"/>
      <c r="W91" s="2"/>
      <c r="X91" s="2"/>
      <c r="Y91" s="2"/>
      <c r="Z91" s="2"/>
    </row>
    <row r="92" customHeight="1" spans="1:26">
      <c r="A92" s="64" t="s">
        <v>483</v>
      </c>
      <c r="B92" s="13" t="s">
        <v>4021</v>
      </c>
      <c r="C92" s="13" t="s">
        <v>4022</v>
      </c>
      <c r="D92" s="65">
        <v>77</v>
      </c>
      <c r="E92" s="13" t="s">
        <v>37</v>
      </c>
      <c r="F92" s="13" t="s">
        <v>4023</v>
      </c>
      <c r="G92" s="13" t="s">
        <v>4024</v>
      </c>
      <c r="H92" s="57"/>
      <c r="I92" s="2"/>
      <c r="J92" s="2"/>
      <c r="K92" s="2"/>
      <c r="L92" s="2"/>
      <c r="M92" s="2"/>
      <c r="N92" s="2"/>
      <c r="O92" s="2"/>
      <c r="P92" s="2"/>
      <c r="Q92" s="2"/>
      <c r="R92" s="2"/>
      <c r="S92" s="2"/>
      <c r="T92" s="2"/>
      <c r="U92" s="2"/>
      <c r="V92" s="2"/>
      <c r="W92" s="2"/>
      <c r="X92" s="2"/>
      <c r="Y92" s="2"/>
      <c r="Z92" s="2"/>
    </row>
    <row r="93" customHeight="1" spans="1:26">
      <c r="A93" s="13" t="s">
        <v>285</v>
      </c>
      <c r="B93" s="13" t="s">
        <v>4025</v>
      </c>
      <c r="C93" s="13" t="s">
        <v>286</v>
      </c>
      <c r="D93" s="14"/>
      <c r="E93" s="57"/>
      <c r="F93" s="13" t="s">
        <v>4026</v>
      </c>
      <c r="G93" s="13" t="s">
        <v>4027</v>
      </c>
      <c r="H93" s="57"/>
      <c r="I93" s="2"/>
      <c r="J93" s="2"/>
      <c r="K93" s="2"/>
      <c r="L93" s="2"/>
      <c r="M93" s="2"/>
      <c r="N93" s="2"/>
      <c r="O93" s="2"/>
      <c r="P93" s="2"/>
      <c r="Q93" s="2"/>
      <c r="R93" s="2"/>
      <c r="S93" s="2"/>
      <c r="T93" s="2"/>
      <c r="U93" s="2"/>
      <c r="V93" s="2"/>
      <c r="W93" s="2"/>
      <c r="X93" s="2"/>
      <c r="Y93" s="2"/>
      <c r="Z93" s="2"/>
    </row>
    <row r="94" customHeight="1" spans="1:26">
      <c r="A94" s="13" t="s">
        <v>207</v>
      </c>
      <c r="B94" s="13" t="s">
        <v>4028</v>
      </c>
      <c r="C94" s="13" t="s">
        <v>209</v>
      </c>
      <c r="D94" s="14"/>
      <c r="E94" s="57"/>
      <c r="F94" s="13" t="s">
        <v>4029</v>
      </c>
      <c r="G94" s="13" t="s">
        <v>4030</v>
      </c>
      <c r="H94" s="57"/>
      <c r="I94" s="2"/>
      <c r="J94" s="2"/>
      <c r="K94" s="2"/>
      <c r="L94" s="2"/>
      <c r="M94" s="2"/>
      <c r="N94" s="2"/>
      <c r="O94" s="2"/>
      <c r="P94" s="2"/>
      <c r="Q94" s="2"/>
      <c r="R94" s="2"/>
      <c r="S94" s="2"/>
      <c r="T94" s="2"/>
      <c r="U94" s="2"/>
      <c r="V94" s="2"/>
      <c r="W94" s="2"/>
      <c r="X94" s="2"/>
      <c r="Y94" s="2"/>
      <c r="Z94" s="2"/>
    </row>
    <row r="95" customHeight="1" spans="1:26">
      <c r="A95" s="13" t="s">
        <v>532</v>
      </c>
      <c r="B95" s="13" t="s">
        <v>4031</v>
      </c>
      <c r="C95" s="13" t="s">
        <v>534</v>
      </c>
      <c r="D95" s="14"/>
      <c r="E95" s="57"/>
      <c r="F95" s="13" t="s">
        <v>4032</v>
      </c>
      <c r="G95" s="13" t="s">
        <v>4033</v>
      </c>
      <c r="H95" s="57"/>
      <c r="I95" s="2"/>
      <c r="J95" s="2"/>
      <c r="K95" s="2"/>
      <c r="L95" s="2"/>
      <c r="M95" s="2"/>
      <c r="N95" s="2"/>
      <c r="O95" s="2"/>
      <c r="P95" s="2"/>
      <c r="Q95" s="2"/>
      <c r="R95" s="2"/>
      <c r="S95" s="2"/>
      <c r="T95" s="2"/>
      <c r="U95" s="2"/>
      <c r="V95" s="2"/>
      <c r="W95" s="2"/>
      <c r="X95" s="2"/>
      <c r="Y95" s="2"/>
      <c r="Z95" s="2"/>
    </row>
    <row r="96" customHeight="1" spans="1:26">
      <c r="A96" s="13" t="s">
        <v>4034</v>
      </c>
      <c r="B96" s="13" t="s">
        <v>4035</v>
      </c>
      <c r="C96" s="13" t="s">
        <v>915</v>
      </c>
      <c r="D96" s="14"/>
      <c r="E96" s="57"/>
      <c r="F96" s="13" t="s">
        <v>4036</v>
      </c>
      <c r="G96" s="13" t="s">
        <v>4037</v>
      </c>
      <c r="H96" s="57"/>
      <c r="I96" s="2"/>
      <c r="J96" s="2"/>
      <c r="K96" s="2"/>
      <c r="L96" s="2"/>
      <c r="M96" s="2"/>
      <c r="N96" s="2"/>
      <c r="O96" s="2"/>
      <c r="P96" s="2"/>
      <c r="Q96" s="2"/>
      <c r="R96" s="2"/>
      <c r="S96" s="2"/>
      <c r="T96" s="2"/>
      <c r="U96" s="2"/>
      <c r="V96" s="2"/>
      <c r="W96" s="2"/>
      <c r="X96" s="2"/>
      <c r="Y96" s="2"/>
      <c r="Z96" s="2"/>
    </row>
    <row r="97" customHeight="1" spans="1:26">
      <c r="A97" s="13" t="s">
        <v>297</v>
      </c>
      <c r="B97" s="13" t="s">
        <v>4038</v>
      </c>
      <c r="C97" s="13" t="s">
        <v>1807</v>
      </c>
      <c r="D97" s="14"/>
      <c r="E97" s="57"/>
      <c r="F97" s="13" t="s">
        <v>2200</v>
      </c>
      <c r="G97" s="13" t="s">
        <v>4039</v>
      </c>
      <c r="H97" s="57"/>
      <c r="I97" s="2"/>
      <c r="J97" s="2"/>
      <c r="K97" s="2"/>
      <c r="L97" s="2"/>
      <c r="M97" s="2"/>
      <c r="N97" s="2"/>
      <c r="O97" s="2"/>
      <c r="P97" s="2"/>
      <c r="Q97" s="2"/>
      <c r="R97" s="2"/>
      <c r="S97" s="2"/>
      <c r="T97" s="2"/>
      <c r="U97" s="2"/>
      <c r="V97" s="2"/>
      <c r="W97" s="2"/>
      <c r="X97" s="2"/>
      <c r="Y97" s="2"/>
      <c r="Z97" s="2"/>
    </row>
    <row r="98" customHeight="1" spans="1:26">
      <c r="A98" s="13" t="s">
        <v>18</v>
      </c>
      <c r="B98" s="13" t="s">
        <v>4040</v>
      </c>
      <c r="C98" s="13" t="s">
        <v>20</v>
      </c>
      <c r="D98" s="14"/>
      <c r="E98" s="57"/>
      <c r="F98" s="13" t="s">
        <v>4041</v>
      </c>
      <c r="G98" s="13" t="s">
        <v>4042</v>
      </c>
      <c r="H98" s="57"/>
      <c r="I98" s="2"/>
      <c r="J98" s="2"/>
      <c r="K98" s="2"/>
      <c r="L98" s="2"/>
      <c r="M98" s="2"/>
      <c r="N98" s="2"/>
      <c r="O98" s="2"/>
      <c r="P98" s="2"/>
      <c r="Q98" s="2"/>
      <c r="R98" s="2"/>
      <c r="S98" s="2"/>
      <c r="T98" s="2"/>
      <c r="U98" s="2"/>
      <c r="V98" s="2"/>
      <c r="W98" s="2"/>
      <c r="X98" s="2"/>
      <c r="Y98" s="2"/>
      <c r="Z98" s="2"/>
    </row>
    <row r="99" customHeight="1" spans="1:26">
      <c r="A99" s="64" t="s">
        <v>40</v>
      </c>
      <c r="B99" s="13" t="s">
        <v>41</v>
      </c>
      <c r="C99" s="13" t="s">
        <v>41</v>
      </c>
      <c r="D99" s="65">
        <v>106</v>
      </c>
      <c r="E99" s="13" t="s">
        <v>21</v>
      </c>
      <c r="F99" s="13" t="s">
        <v>42</v>
      </c>
      <c r="G99" s="13" t="s">
        <v>43</v>
      </c>
      <c r="H99" s="57"/>
      <c r="I99" s="2"/>
      <c r="J99" s="2"/>
      <c r="K99" s="2"/>
      <c r="L99" s="2"/>
      <c r="M99" s="2"/>
      <c r="N99" s="2"/>
      <c r="O99" s="2"/>
      <c r="P99" s="2"/>
      <c r="Q99" s="2"/>
      <c r="R99" s="2"/>
      <c r="S99" s="2"/>
      <c r="T99" s="2"/>
      <c r="U99" s="2"/>
      <c r="V99" s="2"/>
      <c r="W99" s="2"/>
      <c r="X99" s="2"/>
      <c r="Y99" s="2"/>
      <c r="Z99" s="2"/>
    </row>
    <row r="100" customHeight="1" spans="1:26">
      <c r="A100" s="64" t="s">
        <v>102</v>
      </c>
      <c r="B100" s="13" t="s">
        <v>4043</v>
      </c>
      <c r="C100" s="13" t="s">
        <v>108</v>
      </c>
      <c r="D100" s="65">
        <v>123</v>
      </c>
      <c r="E100" s="13" t="s">
        <v>21</v>
      </c>
      <c r="F100" s="13" t="s">
        <v>4044</v>
      </c>
      <c r="G100" s="13" t="s">
        <v>4045</v>
      </c>
      <c r="H100" s="57"/>
      <c r="I100" s="2"/>
      <c r="J100" s="2"/>
      <c r="K100" s="2"/>
      <c r="L100" s="2"/>
      <c r="M100" s="2"/>
      <c r="N100" s="2"/>
      <c r="O100" s="2"/>
      <c r="P100" s="2"/>
      <c r="Q100" s="2"/>
      <c r="R100" s="2"/>
      <c r="S100" s="2"/>
      <c r="T100" s="2"/>
      <c r="U100" s="2"/>
      <c r="V100" s="2"/>
      <c r="W100" s="2"/>
      <c r="X100" s="2"/>
      <c r="Y100" s="2"/>
      <c r="Z100" s="2"/>
    </row>
    <row r="101" customHeight="1" spans="1:26">
      <c r="A101" s="13" t="s">
        <v>107</v>
      </c>
      <c r="B101" s="13" t="s">
        <v>931</v>
      </c>
      <c r="C101" s="13" t="s">
        <v>104</v>
      </c>
      <c r="D101" s="57"/>
      <c r="E101" s="57"/>
      <c r="F101" s="13" t="s">
        <v>932</v>
      </c>
      <c r="G101" s="13" t="s">
        <v>4046</v>
      </c>
      <c r="H101" s="57"/>
      <c r="I101" s="2"/>
      <c r="J101" s="2"/>
      <c r="K101" s="2"/>
      <c r="L101" s="2"/>
      <c r="M101" s="2"/>
      <c r="N101" s="2"/>
      <c r="O101" s="2"/>
      <c r="P101" s="2"/>
      <c r="Q101" s="2"/>
      <c r="R101" s="2"/>
      <c r="S101" s="2"/>
      <c r="T101" s="2"/>
      <c r="U101" s="2"/>
      <c r="V101" s="2"/>
      <c r="W101" s="2"/>
      <c r="X101" s="2"/>
      <c r="Y101" s="2"/>
      <c r="Z101" s="2"/>
    </row>
    <row r="102" customHeight="1" spans="1:26">
      <c r="A102" s="13" t="s">
        <v>10</v>
      </c>
      <c r="B102" s="13" t="s">
        <v>4047</v>
      </c>
      <c r="C102" s="13" t="s">
        <v>12</v>
      </c>
      <c r="D102" s="57"/>
      <c r="E102" s="57"/>
      <c r="F102" s="13" t="s">
        <v>4048</v>
      </c>
      <c r="G102" s="13" t="s">
        <v>4049</v>
      </c>
      <c r="H102" s="57"/>
      <c r="I102" s="2"/>
      <c r="J102" s="2"/>
      <c r="K102" s="2"/>
      <c r="L102" s="2"/>
      <c r="M102" s="2"/>
      <c r="N102" s="2"/>
      <c r="O102" s="2"/>
      <c r="P102" s="2"/>
      <c r="Q102" s="2"/>
      <c r="R102" s="2"/>
      <c r="S102" s="2"/>
      <c r="T102" s="2"/>
      <c r="U102" s="2"/>
      <c r="V102" s="2"/>
      <c r="W102" s="2"/>
      <c r="X102" s="2"/>
      <c r="Y102" s="2"/>
      <c r="Z102" s="2"/>
    </row>
    <row r="103" customHeight="1" spans="1:26">
      <c r="A103" s="13" t="s">
        <v>15</v>
      </c>
      <c r="B103" s="13" t="s">
        <v>2071</v>
      </c>
      <c r="C103" s="13" t="s">
        <v>12</v>
      </c>
      <c r="D103" s="57"/>
      <c r="E103" s="57"/>
      <c r="F103" s="13" t="s">
        <v>4050</v>
      </c>
      <c r="G103" s="13" t="s">
        <v>4051</v>
      </c>
      <c r="H103" s="57"/>
      <c r="I103" s="2"/>
      <c r="J103" s="2"/>
      <c r="K103" s="2"/>
      <c r="L103" s="2"/>
      <c r="M103" s="2"/>
      <c r="N103" s="2"/>
      <c r="O103" s="2"/>
      <c r="P103" s="2"/>
      <c r="Q103" s="2"/>
      <c r="R103" s="2"/>
      <c r="S103" s="2"/>
      <c r="T103" s="2"/>
      <c r="U103" s="2"/>
      <c r="V103" s="2"/>
      <c r="W103" s="2"/>
      <c r="X103" s="2"/>
      <c r="Y103" s="2"/>
      <c r="Z103" s="2"/>
    </row>
    <row r="104" customHeight="1" spans="1:26">
      <c r="A104" s="64" t="s">
        <v>522</v>
      </c>
      <c r="B104" s="13" t="s">
        <v>4052</v>
      </c>
      <c r="C104" s="13" t="s">
        <v>524</v>
      </c>
      <c r="D104" s="65">
        <v>90</v>
      </c>
      <c r="E104" s="13" t="s">
        <v>21</v>
      </c>
      <c r="F104" s="13" t="s">
        <v>4053</v>
      </c>
      <c r="G104" s="74" t="s">
        <v>4054</v>
      </c>
      <c r="H104" s="57"/>
      <c r="I104" s="2"/>
      <c r="J104" s="2"/>
      <c r="K104" s="2"/>
      <c r="L104" s="2"/>
      <c r="M104" s="2"/>
      <c r="N104" s="2"/>
      <c r="O104" s="2"/>
      <c r="P104" s="2"/>
      <c r="Q104" s="2"/>
      <c r="R104" s="2"/>
      <c r="S104" s="2"/>
      <c r="T104" s="2"/>
      <c r="U104" s="2"/>
      <c r="V104" s="2"/>
      <c r="W104" s="2"/>
      <c r="X104" s="2"/>
      <c r="Y104" s="2"/>
      <c r="Z104" s="2"/>
    </row>
    <row r="105" customHeight="1" spans="1:26">
      <c r="A105" s="64" t="s">
        <v>59</v>
      </c>
      <c r="B105" s="13" t="s">
        <v>4055</v>
      </c>
      <c r="C105" s="13" t="s">
        <v>61</v>
      </c>
      <c r="D105" s="65">
        <v>13</v>
      </c>
      <c r="E105" s="13" t="s">
        <v>37</v>
      </c>
      <c r="F105" s="13" t="s">
        <v>4056</v>
      </c>
      <c r="G105" s="13" t="s">
        <v>4057</v>
      </c>
      <c r="H105" s="57"/>
      <c r="I105" s="2"/>
      <c r="J105" s="2"/>
      <c r="K105" s="2"/>
      <c r="L105" s="2"/>
      <c r="M105" s="2"/>
      <c r="N105" s="2"/>
      <c r="O105" s="2"/>
      <c r="P105" s="2"/>
      <c r="Q105" s="2"/>
      <c r="R105" s="2"/>
      <c r="S105" s="2"/>
      <c r="T105" s="2"/>
      <c r="U105" s="2"/>
      <c r="V105" s="2"/>
      <c r="W105" s="2"/>
      <c r="X105" s="2"/>
      <c r="Y105" s="2"/>
      <c r="Z105" s="2"/>
    </row>
    <row r="106" customHeight="1" spans="1:26">
      <c r="A106" s="13" t="s">
        <v>49</v>
      </c>
      <c r="B106" s="13" t="s">
        <v>4058</v>
      </c>
      <c r="C106" s="13" t="s">
        <v>4059</v>
      </c>
      <c r="D106" s="57"/>
      <c r="E106" s="57"/>
      <c r="F106" s="13" t="s">
        <v>4060</v>
      </c>
      <c r="G106" s="13" t="s">
        <v>4061</v>
      </c>
      <c r="H106" s="57"/>
      <c r="I106" s="2"/>
      <c r="J106" s="2"/>
      <c r="K106" s="2"/>
      <c r="L106" s="2"/>
      <c r="M106" s="2"/>
      <c r="N106" s="2"/>
      <c r="O106" s="2"/>
      <c r="P106" s="2"/>
      <c r="Q106" s="2"/>
      <c r="R106" s="2"/>
      <c r="S106" s="2"/>
      <c r="T106" s="2"/>
      <c r="U106" s="2"/>
      <c r="V106" s="2"/>
      <c r="W106" s="2"/>
      <c r="X106" s="2"/>
      <c r="Y106" s="2"/>
      <c r="Z106" s="2"/>
    </row>
    <row r="107" customHeight="1" spans="1:26">
      <c r="A107" s="13" t="s">
        <v>54</v>
      </c>
      <c r="B107" s="13" t="s">
        <v>4062</v>
      </c>
      <c r="C107" s="13" t="s">
        <v>56</v>
      </c>
      <c r="D107" s="57"/>
      <c r="E107" s="57"/>
      <c r="F107" s="13" t="s">
        <v>4063</v>
      </c>
      <c r="G107" s="13" t="s">
        <v>4064</v>
      </c>
      <c r="H107" s="57"/>
      <c r="I107" s="2"/>
      <c r="J107" s="2"/>
      <c r="K107" s="2"/>
      <c r="L107" s="2"/>
      <c r="M107" s="2"/>
      <c r="N107" s="2"/>
      <c r="O107" s="2"/>
      <c r="P107" s="2"/>
      <c r="Q107" s="2"/>
      <c r="R107" s="2"/>
      <c r="S107" s="2"/>
      <c r="T107" s="2"/>
      <c r="U107" s="2"/>
      <c r="V107" s="2"/>
      <c r="W107" s="2"/>
      <c r="X107" s="2"/>
      <c r="Y107" s="2"/>
      <c r="Z107" s="2"/>
    </row>
    <row r="108" customHeight="1" spans="1:26">
      <c r="A108" s="13" t="s">
        <v>44</v>
      </c>
      <c r="B108" s="13" t="s">
        <v>893</v>
      </c>
      <c r="C108" s="13" t="s">
        <v>46</v>
      </c>
      <c r="D108" s="57"/>
      <c r="E108" s="57"/>
      <c r="F108" s="13" t="s">
        <v>47</v>
      </c>
      <c r="G108" s="13" t="s">
        <v>4065</v>
      </c>
      <c r="H108" s="57"/>
      <c r="I108" s="2"/>
      <c r="J108" s="2"/>
      <c r="K108" s="2"/>
      <c r="L108" s="2"/>
      <c r="M108" s="2"/>
      <c r="N108" s="2"/>
      <c r="O108" s="2"/>
      <c r="P108" s="2"/>
      <c r="Q108" s="2"/>
      <c r="R108" s="2"/>
      <c r="S108" s="2"/>
      <c r="T108" s="2"/>
      <c r="U108" s="2"/>
      <c r="V108" s="2"/>
      <c r="W108" s="2"/>
      <c r="X108" s="2"/>
      <c r="Y108" s="2"/>
      <c r="Z108" s="2"/>
    </row>
    <row r="109" customHeight="1" spans="1:26">
      <c r="A109" s="13" t="s">
        <v>89</v>
      </c>
      <c r="B109" s="13" t="s">
        <v>4066</v>
      </c>
      <c r="C109" s="13" t="s">
        <v>91</v>
      </c>
      <c r="D109" s="57"/>
      <c r="E109" s="57"/>
      <c r="F109" s="13" t="s">
        <v>4067</v>
      </c>
      <c r="G109" s="13" t="s">
        <v>4068</v>
      </c>
      <c r="H109" s="57"/>
      <c r="I109" s="2"/>
      <c r="J109" s="2"/>
      <c r="K109" s="2"/>
      <c r="L109" s="2"/>
      <c r="M109" s="2"/>
      <c r="N109" s="2"/>
      <c r="O109" s="2"/>
      <c r="P109" s="2"/>
      <c r="Q109" s="2"/>
      <c r="R109" s="2"/>
      <c r="S109" s="2"/>
      <c r="T109" s="2"/>
      <c r="U109" s="2"/>
      <c r="V109" s="2"/>
      <c r="W109" s="2"/>
      <c r="X109" s="2"/>
      <c r="Y109" s="2"/>
      <c r="Z109" s="2"/>
    </row>
    <row r="110" customHeight="1" spans="1:26">
      <c r="A110" s="13" t="s">
        <v>193</v>
      </c>
      <c r="B110" s="13" t="s">
        <v>4069</v>
      </c>
      <c r="C110" s="13" t="s">
        <v>195</v>
      </c>
      <c r="D110" s="57"/>
      <c r="E110" s="57"/>
      <c r="F110" s="13" t="s">
        <v>4070</v>
      </c>
      <c r="G110" s="13" t="s">
        <v>4071</v>
      </c>
      <c r="H110" s="57"/>
      <c r="I110" s="2"/>
      <c r="J110" s="2"/>
      <c r="K110" s="2"/>
      <c r="L110" s="2"/>
      <c r="M110" s="2"/>
      <c r="N110" s="2"/>
      <c r="O110" s="2"/>
      <c r="P110" s="2"/>
      <c r="Q110" s="2"/>
      <c r="R110" s="2"/>
      <c r="S110" s="2"/>
      <c r="T110" s="2"/>
      <c r="U110" s="2"/>
      <c r="V110" s="2"/>
      <c r="W110" s="2"/>
      <c r="X110" s="2"/>
      <c r="Y110" s="2"/>
      <c r="Z110" s="2"/>
    </row>
    <row r="111" customHeight="1" spans="1:26">
      <c r="A111" s="13" t="s">
        <v>498</v>
      </c>
      <c r="B111" s="13" t="s">
        <v>499</v>
      </c>
      <c r="C111" s="13" t="s">
        <v>500</v>
      </c>
      <c r="D111" s="57"/>
      <c r="E111" s="57"/>
      <c r="F111" s="13" t="s">
        <v>501</v>
      </c>
      <c r="G111" s="13" t="s">
        <v>2276</v>
      </c>
      <c r="H111" s="57"/>
      <c r="I111" s="2"/>
      <c r="J111" s="2"/>
      <c r="K111" s="2"/>
      <c r="L111" s="2"/>
      <c r="M111" s="2"/>
      <c r="N111" s="2"/>
      <c r="O111" s="2"/>
      <c r="P111" s="2"/>
      <c r="Q111" s="2"/>
      <c r="R111" s="2"/>
      <c r="S111" s="2"/>
      <c r="T111" s="2"/>
      <c r="U111" s="2"/>
      <c r="V111" s="2"/>
      <c r="W111" s="2"/>
      <c r="X111" s="2"/>
      <c r="Y111" s="2"/>
      <c r="Z111" s="2"/>
    </row>
    <row r="112" customHeight="1" spans="1:26">
      <c r="A112" s="13" t="s">
        <v>217</v>
      </c>
      <c r="B112" s="13" t="s">
        <v>4072</v>
      </c>
      <c r="C112" s="13" t="s">
        <v>219</v>
      </c>
      <c r="D112" s="57"/>
      <c r="E112" s="57"/>
      <c r="F112" s="13" t="s">
        <v>4073</v>
      </c>
      <c r="G112" s="13" t="s">
        <v>4074</v>
      </c>
      <c r="H112" s="57"/>
      <c r="I112" s="2"/>
      <c r="J112" s="2"/>
      <c r="K112" s="2"/>
      <c r="L112" s="2"/>
      <c r="M112" s="2"/>
      <c r="N112" s="2"/>
      <c r="O112" s="2"/>
      <c r="P112" s="2"/>
      <c r="Q112" s="2"/>
      <c r="R112" s="2"/>
      <c r="S112" s="2"/>
      <c r="T112" s="2"/>
      <c r="U112" s="2"/>
      <c r="V112" s="2"/>
      <c r="W112" s="2"/>
      <c r="X112" s="2"/>
      <c r="Y112" s="2"/>
      <c r="Z112" s="2"/>
    </row>
    <row r="113" customHeight="1" spans="1:26">
      <c r="A113" s="13" t="s">
        <v>493</v>
      </c>
      <c r="B113" s="13" t="s">
        <v>4075</v>
      </c>
      <c r="C113" s="13" t="s">
        <v>495</v>
      </c>
      <c r="D113" s="57"/>
      <c r="E113" s="57"/>
      <c r="F113" s="13" t="s">
        <v>4076</v>
      </c>
      <c r="G113" s="13" t="s">
        <v>4077</v>
      </c>
      <c r="H113" s="57"/>
      <c r="I113" s="2"/>
      <c r="J113" s="2"/>
      <c r="K113" s="2"/>
      <c r="L113" s="2"/>
      <c r="M113" s="2"/>
      <c r="N113" s="2"/>
      <c r="O113" s="2"/>
      <c r="P113" s="2"/>
      <c r="Q113" s="2"/>
      <c r="R113" s="2"/>
      <c r="S113" s="2"/>
      <c r="T113" s="2"/>
      <c r="U113" s="2"/>
      <c r="V113" s="2"/>
      <c r="W113" s="2"/>
      <c r="X113" s="2"/>
      <c r="Y113" s="2"/>
      <c r="Z113" s="2"/>
    </row>
    <row r="114" customHeight="1" spans="1:26">
      <c r="A114" s="13" t="s">
        <v>74</v>
      </c>
      <c r="B114" s="13" t="s">
        <v>4078</v>
      </c>
      <c r="C114" s="13" t="s">
        <v>76</v>
      </c>
      <c r="D114" s="57"/>
      <c r="E114" s="57"/>
      <c r="F114" s="13" t="s">
        <v>4079</v>
      </c>
      <c r="G114" s="13" t="s">
        <v>4080</v>
      </c>
      <c r="H114" s="57"/>
      <c r="I114" s="2"/>
      <c r="J114" s="2"/>
      <c r="K114" s="2"/>
      <c r="L114" s="2"/>
      <c r="M114" s="2"/>
      <c r="N114" s="2"/>
      <c r="O114" s="2"/>
      <c r="P114" s="2"/>
      <c r="Q114" s="2"/>
      <c r="R114" s="2"/>
      <c r="S114" s="2"/>
      <c r="T114" s="2"/>
      <c r="U114" s="2"/>
      <c r="V114" s="2"/>
      <c r="W114" s="2"/>
      <c r="X114" s="2"/>
      <c r="Y114" s="2"/>
      <c r="Z114" s="2"/>
    </row>
    <row r="115" customHeight="1" spans="1:26">
      <c r="A115" s="13" t="s">
        <v>149</v>
      </c>
      <c r="B115" s="13" t="s">
        <v>4081</v>
      </c>
      <c r="C115" s="13" t="s">
        <v>151</v>
      </c>
      <c r="D115" s="57"/>
      <c r="E115" s="57"/>
      <c r="F115" s="13" t="s">
        <v>4082</v>
      </c>
      <c r="G115" s="13" t="s">
        <v>4083</v>
      </c>
      <c r="H115" s="57"/>
      <c r="I115" s="2"/>
      <c r="J115" s="2"/>
      <c r="K115" s="2"/>
      <c r="L115" s="2"/>
      <c r="M115" s="2"/>
      <c r="N115" s="2"/>
      <c r="O115" s="2"/>
      <c r="P115" s="2"/>
      <c r="Q115" s="2"/>
      <c r="R115" s="2"/>
      <c r="S115" s="2"/>
      <c r="T115" s="2"/>
      <c r="U115" s="2"/>
      <c r="V115" s="2"/>
      <c r="W115" s="2"/>
      <c r="X115" s="2"/>
      <c r="Y115" s="2"/>
      <c r="Z115" s="2"/>
    </row>
    <row r="116" customHeight="1" spans="1:26">
      <c r="A116" s="13" t="s">
        <v>144</v>
      </c>
      <c r="B116" s="13" t="s">
        <v>4084</v>
      </c>
      <c r="C116" s="13" t="s">
        <v>146</v>
      </c>
      <c r="D116" s="57"/>
      <c r="E116" s="57"/>
      <c r="F116" s="13" t="s">
        <v>4085</v>
      </c>
      <c r="G116" s="13" t="s">
        <v>4086</v>
      </c>
      <c r="H116" s="57"/>
      <c r="I116" s="2"/>
      <c r="J116" s="2"/>
      <c r="K116" s="2"/>
      <c r="L116" s="2"/>
      <c r="M116" s="2"/>
      <c r="N116" s="2"/>
      <c r="O116" s="2"/>
      <c r="P116" s="2"/>
      <c r="Q116" s="2"/>
      <c r="R116" s="2"/>
      <c r="S116" s="2"/>
      <c r="T116" s="2"/>
      <c r="U116" s="2"/>
      <c r="V116" s="2"/>
      <c r="W116" s="2"/>
      <c r="X116" s="2"/>
      <c r="Y116" s="2"/>
      <c r="Z116" s="2"/>
    </row>
    <row r="117" customHeight="1" spans="1:26">
      <c r="A117" s="13" t="s">
        <v>164</v>
      </c>
      <c r="B117" s="13" t="s">
        <v>4087</v>
      </c>
      <c r="C117" s="13" t="s">
        <v>4088</v>
      </c>
      <c r="D117" s="57"/>
      <c r="E117" s="57"/>
      <c r="F117" s="13" t="s">
        <v>4089</v>
      </c>
      <c r="G117" s="13" t="s">
        <v>4090</v>
      </c>
      <c r="H117" s="57"/>
      <c r="I117" s="2"/>
      <c r="J117" s="2"/>
      <c r="K117" s="2"/>
      <c r="L117" s="2"/>
      <c r="M117" s="2"/>
      <c r="N117" s="2"/>
      <c r="O117" s="2"/>
      <c r="P117" s="2"/>
      <c r="Q117" s="2"/>
      <c r="R117" s="2"/>
      <c r="S117" s="2"/>
      <c r="T117" s="2"/>
      <c r="U117" s="2"/>
      <c r="V117" s="2"/>
      <c r="W117" s="2"/>
      <c r="X117" s="2"/>
      <c r="Y117" s="2"/>
      <c r="Z117" s="2"/>
    </row>
    <row r="118" customHeight="1" spans="1:26">
      <c r="A118" s="13" t="s">
        <v>159</v>
      </c>
      <c r="B118" s="13" t="s">
        <v>4091</v>
      </c>
      <c r="C118" s="13" t="s">
        <v>161</v>
      </c>
      <c r="D118" s="57"/>
      <c r="E118" s="57"/>
      <c r="F118" s="13" t="s">
        <v>4092</v>
      </c>
      <c r="G118" s="13" t="s">
        <v>4093</v>
      </c>
      <c r="H118" s="57"/>
      <c r="I118" s="2"/>
      <c r="J118" s="2"/>
      <c r="K118" s="2"/>
      <c r="L118" s="2"/>
      <c r="M118" s="2"/>
      <c r="N118" s="2"/>
      <c r="O118" s="2"/>
      <c r="P118" s="2"/>
      <c r="Q118" s="2"/>
      <c r="R118" s="2"/>
      <c r="S118" s="2"/>
      <c r="T118" s="2"/>
      <c r="U118" s="2"/>
      <c r="V118" s="2"/>
      <c r="W118" s="2"/>
      <c r="X118" s="2"/>
      <c r="Y118" s="2"/>
      <c r="Z118" s="2"/>
    </row>
    <row r="119" customHeight="1" spans="1:26">
      <c r="A119" s="13" t="s">
        <v>110</v>
      </c>
      <c r="B119" s="13" t="s">
        <v>4094</v>
      </c>
      <c r="C119" s="13" t="s">
        <v>112</v>
      </c>
      <c r="D119" s="57"/>
      <c r="E119" s="57"/>
      <c r="F119" s="13" t="s">
        <v>4095</v>
      </c>
      <c r="G119" s="13" t="s">
        <v>4095</v>
      </c>
      <c r="H119" s="57"/>
      <c r="I119" s="2"/>
      <c r="J119" s="2"/>
      <c r="K119" s="2"/>
      <c r="L119" s="2"/>
      <c r="M119" s="2"/>
      <c r="N119" s="2"/>
      <c r="O119" s="2"/>
      <c r="P119" s="2"/>
      <c r="Q119" s="2"/>
      <c r="R119" s="2"/>
      <c r="S119" s="2"/>
      <c r="T119" s="2"/>
      <c r="U119" s="2"/>
      <c r="V119" s="2"/>
      <c r="W119" s="2"/>
      <c r="X119" s="2"/>
      <c r="Y119" s="2"/>
      <c r="Z119" s="2"/>
    </row>
    <row r="120" customHeight="1" spans="1:26">
      <c r="A120" s="13" t="s">
        <v>302</v>
      </c>
      <c r="B120" s="13" t="s">
        <v>4096</v>
      </c>
      <c r="C120" s="13" t="s">
        <v>304</v>
      </c>
      <c r="D120" s="57"/>
      <c r="E120" s="57"/>
      <c r="F120" s="13" t="s">
        <v>4097</v>
      </c>
      <c r="G120" s="13" t="s">
        <v>4097</v>
      </c>
      <c r="H120" s="57"/>
      <c r="I120" s="2"/>
      <c r="J120" s="2"/>
      <c r="K120" s="2"/>
      <c r="L120" s="2"/>
      <c r="M120" s="2"/>
      <c r="N120" s="2"/>
      <c r="O120" s="2"/>
      <c r="P120" s="2"/>
      <c r="Q120" s="2"/>
      <c r="R120" s="2"/>
      <c r="S120" s="2"/>
      <c r="T120" s="2"/>
      <c r="U120" s="2"/>
      <c r="V120" s="2"/>
      <c r="W120" s="2"/>
      <c r="X120" s="2"/>
      <c r="Y120" s="2"/>
      <c r="Z120" s="2"/>
    </row>
    <row r="121" customHeight="1" spans="1:26">
      <c r="A121" s="13" t="s">
        <v>527</v>
      </c>
      <c r="B121" s="13" t="s">
        <v>4098</v>
      </c>
      <c r="C121" s="13" t="s">
        <v>529</v>
      </c>
      <c r="D121" s="57"/>
      <c r="E121" s="57"/>
      <c r="F121" s="13" t="s">
        <v>4099</v>
      </c>
      <c r="G121" s="13" t="s">
        <v>4100</v>
      </c>
      <c r="H121" s="57"/>
      <c r="I121" s="2"/>
      <c r="J121" s="2"/>
      <c r="K121" s="2"/>
      <c r="L121" s="2"/>
      <c r="M121" s="2"/>
      <c r="N121" s="2"/>
      <c r="O121" s="2"/>
      <c r="P121" s="2"/>
      <c r="Q121" s="2"/>
      <c r="R121" s="2"/>
      <c r="S121" s="2"/>
      <c r="T121" s="2"/>
      <c r="U121" s="2"/>
      <c r="V121" s="2"/>
      <c r="W121" s="2"/>
      <c r="X121" s="2"/>
      <c r="Y121" s="2"/>
      <c r="Z121" s="2"/>
    </row>
    <row r="122" customHeight="1" spans="1:26">
      <c r="A122" s="64" t="s">
        <v>288</v>
      </c>
      <c r="B122" s="13" t="s">
        <v>4101</v>
      </c>
      <c r="C122" s="13" t="s">
        <v>290</v>
      </c>
      <c r="D122" s="65">
        <v>300</v>
      </c>
      <c r="E122" s="13" t="s">
        <v>37</v>
      </c>
      <c r="F122" s="68" t="str">
        <f>HYPERLINK("http://financematters.co/wp-content/uploads/2015/05/RBS-logo-logotype.png","https://www.op.fi/op/op-ryhma/media/aineistopalvelu/kuvapankki/logot?id=86304&amp;srcpl=8")</f>
        <v>https://www.op.fi/op/op-ryhma/media/aineistopalvelu/kuvapankki/logot?id=86304&amp;srcpl=8</v>
      </c>
      <c r="G122" s="13" t="s">
        <v>4102</v>
      </c>
      <c r="H122" s="57"/>
      <c r="I122" s="2"/>
      <c r="J122" s="2"/>
      <c r="K122" s="2"/>
      <c r="L122" s="2"/>
      <c r="M122" s="2"/>
      <c r="N122" s="2"/>
      <c r="O122" s="2"/>
      <c r="P122" s="2"/>
      <c r="Q122" s="2"/>
      <c r="R122" s="2"/>
      <c r="S122" s="2"/>
      <c r="T122" s="2"/>
      <c r="U122" s="2"/>
      <c r="V122" s="2"/>
      <c r="W122" s="2"/>
      <c r="X122" s="2"/>
      <c r="Y122" s="2"/>
      <c r="Z122" s="2"/>
    </row>
    <row r="123" customHeight="1" spans="1:26">
      <c r="A123" s="64" t="s">
        <v>293</v>
      </c>
      <c r="B123" s="13" t="s">
        <v>4103</v>
      </c>
      <c r="C123" s="13" t="s">
        <v>290</v>
      </c>
      <c r="D123" s="65">
        <v>300</v>
      </c>
      <c r="E123" s="13" t="s">
        <v>37</v>
      </c>
      <c r="F123" s="68" t="str">
        <f>HYPERLINK("http://financematters.co/wp-content/uploads/2015/05/RBS-logo-logotype.png","https://en.wikipedia.org/wiki/File:Nordea.svg")</f>
        <v>https://en.wikipedia.org/wiki/File:Nordea.svg</v>
      </c>
      <c r="G123" s="13" t="s">
        <v>4104</v>
      </c>
      <c r="H123" s="57"/>
      <c r="I123" s="2"/>
      <c r="J123" s="2"/>
      <c r="K123" s="2"/>
      <c r="L123" s="2"/>
      <c r="M123" s="2"/>
      <c r="N123" s="2"/>
      <c r="O123" s="2"/>
      <c r="P123" s="2"/>
      <c r="Q123" s="2"/>
      <c r="R123" s="2"/>
      <c r="S123" s="2"/>
      <c r="T123" s="2"/>
      <c r="U123" s="2"/>
      <c r="V123" s="2"/>
      <c r="W123" s="2"/>
      <c r="X123" s="2"/>
      <c r="Y123" s="2"/>
      <c r="Z123" s="2"/>
    </row>
    <row r="124" customHeight="1" spans="1:26">
      <c r="A124" s="64" t="s">
        <v>4105</v>
      </c>
      <c r="B124" s="13" t="s">
        <v>4106</v>
      </c>
      <c r="C124" s="13" t="s">
        <v>290</v>
      </c>
      <c r="D124" s="65">
        <v>35</v>
      </c>
      <c r="E124" s="13" t="s">
        <v>37</v>
      </c>
      <c r="F124" s="13" t="s">
        <v>4107</v>
      </c>
      <c r="G124" s="13" t="s">
        <v>4108</v>
      </c>
      <c r="H124" s="57"/>
      <c r="I124" s="2"/>
      <c r="J124" s="2"/>
      <c r="K124" s="2"/>
      <c r="L124" s="2"/>
      <c r="M124" s="2"/>
      <c r="N124" s="2"/>
      <c r="O124" s="2"/>
      <c r="P124" s="2"/>
      <c r="Q124" s="2"/>
      <c r="R124" s="2"/>
      <c r="S124" s="2"/>
      <c r="T124" s="2"/>
      <c r="U124" s="2"/>
      <c r="V124" s="2"/>
      <c r="W124" s="2"/>
      <c r="X124" s="2"/>
      <c r="Y124" s="2"/>
      <c r="Z124" s="2"/>
    </row>
    <row r="125" customHeight="1" spans="1:26">
      <c r="A125" s="64" t="s">
        <v>188</v>
      </c>
      <c r="B125" s="13" t="s">
        <v>4101</v>
      </c>
      <c r="C125" s="13" t="s">
        <v>4109</v>
      </c>
      <c r="D125" s="65">
        <v>650</v>
      </c>
      <c r="E125" s="13" t="s">
        <v>37</v>
      </c>
      <c r="F125" s="68" t="str">
        <f>HYPERLINK("http://financematters.co/wp-content/uploads/2015/05/RBS-logo-logotype.png","https://www.op.fi/op/op-ryhma/media/aineistopalvelu/kuvapankki/logot?id=86304&amp;srcpl=8")</f>
        <v>https://www.op.fi/op/op-ryhma/media/aineistopalvelu/kuvapankki/logot?id=86304&amp;srcpl=8</v>
      </c>
      <c r="G125" s="13" t="s">
        <v>4102</v>
      </c>
      <c r="H125" s="57"/>
      <c r="I125" s="2"/>
      <c r="J125" s="2"/>
      <c r="K125" s="2"/>
      <c r="L125" s="2"/>
      <c r="M125" s="2"/>
      <c r="N125" s="2"/>
      <c r="O125" s="2"/>
      <c r="P125" s="2"/>
      <c r="Q125" s="2"/>
      <c r="R125" s="2"/>
      <c r="S125" s="2"/>
      <c r="T125" s="2"/>
      <c r="U125" s="2"/>
      <c r="V125" s="2"/>
      <c r="W125" s="2"/>
      <c r="X125" s="2"/>
      <c r="Y125" s="2"/>
      <c r="Z125" s="2"/>
    </row>
    <row r="126" customHeight="1" spans="1:26">
      <c r="A126" s="64" t="s">
        <v>4110</v>
      </c>
      <c r="B126" s="13" t="s">
        <v>4103</v>
      </c>
      <c r="C126" s="13" t="s">
        <v>4109</v>
      </c>
      <c r="D126" s="65">
        <v>650</v>
      </c>
      <c r="E126" s="13" t="s">
        <v>37</v>
      </c>
      <c r="F126" s="13" t="s">
        <v>4111</v>
      </c>
      <c r="G126" s="13" t="s">
        <v>4104</v>
      </c>
      <c r="H126" s="57"/>
      <c r="I126" s="2"/>
      <c r="J126" s="2"/>
      <c r="K126" s="2"/>
      <c r="L126" s="2"/>
      <c r="M126" s="2"/>
      <c r="N126" s="2"/>
      <c r="O126" s="2"/>
      <c r="P126" s="2"/>
      <c r="Q126" s="2"/>
      <c r="R126" s="2"/>
      <c r="S126" s="2"/>
      <c r="T126" s="2"/>
      <c r="U126" s="2"/>
      <c r="V126" s="2"/>
      <c r="W126" s="2"/>
      <c r="X126" s="2"/>
      <c r="Y126" s="2"/>
      <c r="Z126" s="2"/>
    </row>
    <row r="127" customHeight="1" spans="1:26">
      <c r="A127" s="64" t="s">
        <v>154</v>
      </c>
      <c r="B127" s="13" t="s">
        <v>4101</v>
      </c>
      <c r="C127" s="13" t="s">
        <v>156</v>
      </c>
      <c r="D127" s="65">
        <v>30</v>
      </c>
      <c r="E127" s="13" t="s">
        <v>37</v>
      </c>
      <c r="F127" s="13" t="s">
        <v>4112</v>
      </c>
      <c r="G127" s="13" t="s">
        <v>4102</v>
      </c>
      <c r="H127" s="57"/>
      <c r="I127" s="2"/>
      <c r="J127" s="2"/>
      <c r="K127" s="2"/>
      <c r="L127" s="2"/>
      <c r="M127" s="2"/>
      <c r="N127" s="2"/>
      <c r="O127" s="2"/>
      <c r="P127" s="2"/>
      <c r="Q127" s="2"/>
      <c r="R127" s="2"/>
      <c r="S127" s="2"/>
      <c r="T127" s="2"/>
      <c r="U127" s="2"/>
      <c r="V127" s="2"/>
      <c r="W127" s="2"/>
      <c r="X127" s="2"/>
      <c r="Y127" s="2"/>
      <c r="Z127" s="2"/>
    </row>
    <row r="128" customHeight="1" spans="1:26">
      <c r="A128" s="64" t="s">
        <v>4113</v>
      </c>
      <c r="B128" s="13" t="s">
        <v>4114</v>
      </c>
      <c r="C128" s="13" t="s">
        <v>156</v>
      </c>
      <c r="D128" s="65">
        <v>30</v>
      </c>
      <c r="E128" s="13" t="s">
        <v>37</v>
      </c>
      <c r="F128" s="13" t="s">
        <v>4115</v>
      </c>
      <c r="G128" s="13" t="s">
        <v>4116</v>
      </c>
      <c r="H128" s="57"/>
      <c r="I128" s="2"/>
      <c r="J128" s="2"/>
      <c r="K128" s="2"/>
      <c r="L128" s="2"/>
      <c r="M128" s="2"/>
      <c r="N128" s="2"/>
      <c r="O128" s="2"/>
      <c r="P128" s="2"/>
      <c r="Q128" s="2"/>
      <c r="R128" s="2"/>
      <c r="S128" s="2"/>
      <c r="T128" s="2"/>
      <c r="U128" s="2"/>
      <c r="V128" s="2"/>
      <c r="W128" s="2"/>
      <c r="X128" s="2"/>
      <c r="Y128" s="2"/>
      <c r="Z128" s="2"/>
    </row>
    <row r="129" ht="27.75" customHeight="1" spans="1:26">
      <c r="A129" s="13" t="s">
        <v>2637</v>
      </c>
      <c r="B129" s="164" t="s">
        <v>4117</v>
      </c>
      <c r="C129" s="13" t="s">
        <v>4118</v>
      </c>
      <c r="D129" s="57"/>
      <c r="E129" s="57"/>
      <c r="F129" s="13" t="s">
        <v>4112</v>
      </c>
      <c r="G129" s="13" t="s">
        <v>4102</v>
      </c>
      <c r="H129" s="57"/>
      <c r="I129" s="2"/>
      <c r="J129" s="2"/>
      <c r="K129" s="2"/>
      <c r="L129" s="2"/>
      <c r="M129" s="2"/>
      <c r="N129" s="2"/>
      <c r="O129" s="2"/>
      <c r="P129" s="2"/>
      <c r="Q129" s="2"/>
      <c r="R129" s="2"/>
      <c r="S129" s="2"/>
      <c r="T129" s="2"/>
      <c r="U129" s="2"/>
      <c r="V129" s="2"/>
      <c r="W129" s="2"/>
      <c r="X129" s="2"/>
      <c r="Y129" s="2"/>
      <c r="Z129" s="2"/>
    </row>
    <row r="130" ht="42" customHeight="1" spans="1:26">
      <c r="A130" s="13" t="s">
        <v>2639</v>
      </c>
      <c r="B130" s="164" t="s">
        <v>4119</v>
      </c>
      <c r="C130" s="13" t="s">
        <v>4118</v>
      </c>
      <c r="D130" s="57"/>
      <c r="E130" s="57"/>
      <c r="F130" s="13" t="s">
        <v>4112</v>
      </c>
      <c r="G130" s="13" t="s">
        <v>4102</v>
      </c>
      <c r="H130" s="57"/>
      <c r="I130" s="2"/>
      <c r="J130" s="2"/>
      <c r="K130" s="2"/>
      <c r="L130" s="2"/>
      <c r="M130" s="2"/>
      <c r="N130" s="2"/>
      <c r="O130" s="2"/>
      <c r="P130" s="2"/>
      <c r="Q130" s="2"/>
      <c r="R130" s="2"/>
      <c r="S130" s="2"/>
      <c r="T130" s="2"/>
      <c r="U130" s="2"/>
      <c r="V130" s="2"/>
      <c r="W130" s="2"/>
      <c r="X130" s="2"/>
      <c r="Y130" s="2"/>
      <c r="Z130" s="2"/>
    </row>
    <row r="131" ht="27.75" customHeight="1" spans="1:26">
      <c r="A131" s="13" t="s">
        <v>2641</v>
      </c>
      <c r="B131" s="164" t="s">
        <v>4120</v>
      </c>
      <c r="C131" s="13" t="s">
        <v>4118</v>
      </c>
      <c r="D131" s="57"/>
      <c r="E131" s="57"/>
      <c r="F131" s="13" t="s">
        <v>4112</v>
      </c>
      <c r="G131" s="13" t="s">
        <v>4102</v>
      </c>
      <c r="H131" s="57"/>
      <c r="I131" s="2"/>
      <c r="J131" s="2"/>
      <c r="K131" s="2"/>
      <c r="L131" s="2"/>
      <c r="M131" s="2"/>
      <c r="N131" s="2"/>
      <c r="O131" s="2"/>
      <c r="P131" s="2"/>
      <c r="Q131" s="2"/>
      <c r="R131" s="2"/>
      <c r="S131" s="2"/>
      <c r="T131" s="2"/>
      <c r="U131" s="2"/>
      <c r="V131" s="2"/>
      <c r="W131" s="2"/>
      <c r="X131" s="2"/>
      <c r="Y131" s="2"/>
      <c r="Z131" s="2"/>
    </row>
    <row r="132" ht="27.75" customHeight="1" spans="1:26">
      <c r="A132" s="13" t="s">
        <v>2643</v>
      </c>
      <c r="B132" s="164" t="s">
        <v>4121</v>
      </c>
      <c r="C132" s="13" t="s">
        <v>4118</v>
      </c>
      <c r="D132" s="57"/>
      <c r="E132" s="57"/>
      <c r="F132" s="13" t="s">
        <v>4112</v>
      </c>
      <c r="G132" s="13" t="s">
        <v>4102</v>
      </c>
      <c r="H132" s="57"/>
      <c r="I132" s="2"/>
      <c r="J132" s="2"/>
      <c r="K132" s="2"/>
      <c r="L132" s="2"/>
      <c r="M132" s="2"/>
      <c r="N132" s="2"/>
      <c r="O132" s="2"/>
      <c r="P132" s="2"/>
      <c r="Q132" s="2"/>
      <c r="R132" s="2"/>
      <c r="S132" s="2"/>
      <c r="T132" s="2"/>
      <c r="U132" s="2"/>
      <c r="V132" s="2"/>
      <c r="W132" s="2"/>
      <c r="X132" s="2"/>
      <c r="Y132" s="2"/>
      <c r="Z132" s="2"/>
    </row>
    <row r="133" ht="27.75" customHeight="1" spans="1:26">
      <c r="A133" s="13" t="s">
        <v>2645</v>
      </c>
      <c r="B133" s="164" t="s">
        <v>4122</v>
      </c>
      <c r="C133" s="13" t="s">
        <v>4118</v>
      </c>
      <c r="D133" s="57"/>
      <c r="E133" s="57"/>
      <c r="F133" s="13" t="s">
        <v>4112</v>
      </c>
      <c r="G133" s="13" t="s">
        <v>4102</v>
      </c>
      <c r="H133" s="57"/>
      <c r="I133" s="2"/>
      <c r="J133" s="2"/>
      <c r="K133" s="2"/>
      <c r="L133" s="2"/>
      <c r="M133" s="2"/>
      <c r="N133" s="2"/>
      <c r="O133" s="2"/>
      <c r="P133" s="2"/>
      <c r="Q133" s="2"/>
      <c r="R133" s="2"/>
      <c r="S133" s="2"/>
      <c r="T133" s="2"/>
      <c r="U133" s="2"/>
      <c r="V133" s="2"/>
      <c r="W133" s="2"/>
      <c r="X133" s="2"/>
      <c r="Y133" s="2"/>
      <c r="Z133" s="2"/>
    </row>
    <row r="134" customHeight="1" spans="1:26">
      <c r="A134" s="13" t="s">
        <v>2647</v>
      </c>
      <c r="B134" s="13" t="s">
        <v>4123</v>
      </c>
      <c r="C134" s="13" t="s">
        <v>1179</v>
      </c>
      <c r="D134" s="57"/>
      <c r="E134" s="57"/>
      <c r="F134" s="13" t="s">
        <v>4124</v>
      </c>
      <c r="G134" s="13" t="s">
        <v>4125</v>
      </c>
      <c r="H134" s="57"/>
      <c r="I134" s="2"/>
      <c r="J134" s="2"/>
      <c r="K134" s="2"/>
      <c r="L134" s="2"/>
      <c r="M134" s="2"/>
      <c r="N134" s="2"/>
      <c r="O134" s="2"/>
      <c r="P134" s="2"/>
      <c r="Q134" s="2"/>
      <c r="R134" s="2"/>
      <c r="S134" s="2"/>
      <c r="T134" s="2"/>
      <c r="U134" s="2"/>
      <c r="V134" s="2"/>
      <c r="W134" s="2"/>
      <c r="X134" s="2"/>
      <c r="Y134" s="2"/>
      <c r="Z134" s="2"/>
    </row>
    <row r="135" customHeight="1" spans="1:26">
      <c r="A135" s="13" t="s">
        <v>2649</v>
      </c>
      <c r="B135" s="13" t="s">
        <v>4126</v>
      </c>
      <c r="C135" s="13" t="s">
        <v>1179</v>
      </c>
      <c r="D135" s="57"/>
      <c r="E135" s="57"/>
      <c r="F135" s="13" t="s">
        <v>4124</v>
      </c>
      <c r="G135" s="13" t="s">
        <v>4125</v>
      </c>
      <c r="H135" s="57"/>
      <c r="I135" s="2"/>
      <c r="J135" s="2"/>
      <c r="K135" s="2"/>
      <c r="L135" s="2"/>
      <c r="M135" s="2"/>
      <c r="N135" s="2"/>
      <c r="O135" s="2"/>
      <c r="P135" s="2"/>
      <c r="Q135" s="2"/>
      <c r="R135" s="2"/>
      <c r="S135" s="2"/>
      <c r="T135" s="2"/>
      <c r="U135" s="2"/>
      <c r="V135" s="2"/>
      <c r="W135" s="2"/>
      <c r="X135" s="2"/>
      <c r="Y135" s="2"/>
      <c r="Z135" s="2"/>
    </row>
    <row r="136" customHeight="1" spans="1:26">
      <c r="A136" s="13" t="s">
        <v>2651</v>
      </c>
      <c r="B136" s="13" t="s">
        <v>4127</v>
      </c>
      <c r="C136" s="13" t="s">
        <v>1179</v>
      </c>
      <c r="D136" s="57"/>
      <c r="E136" s="57"/>
      <c r="F136" s="13" t="s">
        <v>4124</v>
      </c>
      <c r="G136" s="13" t="s">
        <v>4125</v>
      </c>
      <c r="H136" s="57"/>
      <c r="I136" s="2"/>
      <c r="J136" s="2"/>
      <c r="K136" s="2"/>
      <c r="L136" s="2"/>
      <c r="M136" s="2"/>
      <c r="N136" s="2"/>
      <c r="O136" s="2"/>
      <c r="P136" s="2"/>
      <c r="Q136" s="2"/>
      <c r="R136" s="2"/>
      <c r="S136" s="2"/>
      <c r="T136" s="2"/>
      <c r="U136" s="2"/>
      <c r="V136" s="2"/>
      <c r="W136" s="2"/>
      <c r="X136" s="2"/>
      <c r="Y136" s="2"/>
      <c r="Z136" s="2"/>
    </row>
    <row r="137" customHeight="1" spans="1:26">
      <c r="A137" s="13" t="s">
        <v>2653</v>
      </c>
      <c r="B137" s="13" t="s">
        <v>4128</v>
      </c>
      <c r="C137" s="13" t="s">
        <v>1179</v>
      </c>
      <c r="D137" s="57"/>
      <c r="E137" s="57"/>
      <c r="F137" s="13" t="s">
        <v>4124</v>
      </c>
      <c r="G137" s="13" t="s">
        <v>4125</v>
      </c>
      <c r="H137" s="57"/>
      <c r="I137" s="2"/>
      <c r="J137" s="2"/>
      <c r="K137" s="2"/>
      <c r="L137" s="2"/>
      <c r="M137" s="2"/>
      <c r="N137" s="2"/>
      <c r="O137" s="2"/>
      <c r="P137" s="2"/>
      <c r="Q137" s="2"/>
      <c r="R137" s="2"/>
      <c r="S137" s="2"/>
      <c r="T137" s="2"/>
      <c r="U137" s="2"/>
      <c r="V137" s="2"/>
      <c r="W137" s="2"/>
      <c r="X137" s="2"/>
      <c r="Y137" s="2"/>
      <c r="Z137" s="2"/>
    </row>
    <row r="138" customHeight="1" spans="1:26">
      <c r="A138" s="13" t="s">
        <v>2655</v>
      </c>
      <c r="B138" s="13" t="s">
        <v>4129</v>
      </c>
      <c r="C138" s="13" t="s">
        <v>1179</v>
      </c>
      <c r="D138" s="57"/>
      <c r="E138" s="57"/>
      <c r="F138" s="13" t="s">
        <v>4124</v>
      </c>
      <c r="G138" s="13" t="s">
        <v>4125</v>
      </c>
      <c r="H138" s="57"/>
      <c r="I138" s="2"/>
      <c r="J138" s="2"/>
      <c r="K138" s="2"/>
      <c r="L138" s="2"/>
      <c r="M138" s="2"/>
      <c r="N138" s="2"/>
      <c r="O138" s="2"/>
      <c r="P138" s="2"/>
      <c r="Q138" s="2"/>
      <c r="R138" s="2"/>
      <c r="S138" s="2"/>
      <c r="T138" s="2"/>
      <c r="U138" s="2"/>
      <c r="V138" s="2"/>
      <c r="W138" s="2"/>
      <c r="X138" s="2"/>
      <c r="Y138" s="2"/>
      <c r="Z138" s="2"/>
    </row>
    <row r="139" customHeight="1" spans="1:26">
      <c r="A139" s="13" t="s">
        <v>2657</v>
      </c>
      <c r="B139" s="13" t="s">
        <v>4130</v>
      </c>
      <c r="C139" s="13" t="s">
        <v>1179</v>
      </c>
      <c r="D139" s="57"/>
      <c r="E139" s="57"/>
      <c r="F139" s="13" t="s">
        <v>4124</v>
      </c>
      <c r="G139" s="13" t="s">
        <v>4125</v>
      </c>
      <c r="H139" s="57"/>
      <c r="I139" s="2"/>
      <c r="J139" s="2"/>
      <c r="K139" s="2"/>
      <c r="L139" s="2"/>
      <c r="M139" s="2"/>
      <c r="N139" s="2"/>
      <c r="O139" s="2"/>
      <c r="P139" s="2"/>
      <c r="Q139" s="2"/>
      <c r="R139" s="2"/>
      <c r="S139" s="2"/>
      <c r="T139" s="2"/>
      <c r="U139" s="2"/>
      <c r="V139" s="2"/>
      <c r="W139" s="2"/>
      <c r="X139" s="2"/>
      <c r="Y139" s="2"/>
      <c r="Z139" s="2"/>
    </row>
    <row r="140" customHeight="1" spans="1:26">
      <c r="A140" s="13" t="s">
        <v>2659</v>
      </c>
      <c r="B140" s="13" t="s">
        <v>4131</v>
      </c>
      <c r="C140" s="13" t="s">
        <v>1179</v>
      </c>
      <c r="D140" s="57"/>
      <c r="E140" s="57"/>
      <c r="F140" s="13" t="s">
        <v>4124</v>
      </c>
      <c r="G140" s="13" t="s">
        <v>4125</v>
      </c>
      <c r="H140" s="57"/>
      <c r="I140" s="2"/>
      <c r="J140" s="2"/>
      <c r="K140" s="2"/>
      <c r="L140" s="2"/>
      <c r="M140" s="2"/>
      <c r="N140" s="2"/>
      <c r="O140" s="2"/>
      <c r="P140" s="2"/>
      <c r="Q140" s="2"/>
      <c r="R140" s="2"/>
      <c r="S140" s="2"/>
      <c r="T140" s="2"/>
      <c r="U140" s="2"/>
      <c r="V140" s="2"/>
      <c r="W140" s="2"/>
      <c r="X140" s="2"/>
      <c r="Y140" s="2"/>
      <c r="Z140" s="2"/>
    </row>
    <row r="141" customHeight="1" spans="1:26">
      <c r="A141" s="13" t="s">
        <v>2661</v>
      </c>
      <c r="B141" s="13" t="s">
        <v>4132</v>
      </c>
      <c r="C141" s="13" t="s">
        <v>1179</v>
      </c>
      <c r="D141" s="57"/>
      <c r="E141" s="57"/>
      <c r="F141" s="13" t="s">
        <v>4124</v>
      </c>
      <c r="G141" s="13" t="s">
        <v>4125</v>
      </c>
      <c r="H141" s="57"/>
      <c r="I141" s="2"/>
      <c r="J141" s="2"/>
      <c r="K141" s="2"/>
      <c r="L141" s="2"/>
      <c r="M141" s="2"/>
      <c r="N141" s="2"/>
      <c r="O141" s="2"/>
      <c r="P141" s="2"/>
      <c r="Q141" s="2"/>
      <c r="R141" s="2"/>
      <c r="S141" s="2"/>
      <c r="T141" s="2"/>
      <c r="U141" s="2"/>
      <c r="V141" s="2"/>
      <c r="W141" s="2"/>
      <c r="X141" s="2"/>
      <c r="Y141" s="2"/>
      <c r="Z141" s="2"/>
    </row>
    <row r="142" customHeight="1" spans="1:26">
      <c r="A142" s="13" t="s">
        <v>2663</v>
      </c>
      <c r="B142" s="13" t="s">
        <v>4133</v>
      </c>
      <c r="C142" s="13" t="s">
        <v>1179</v>
      </c>
      <c r="D142" s="57"/>
      <c r="E142" s="57"/>
      <c r="F142" s="13" t="s">
        <v>4124</v>
      </c>
      <c r="G142" s="13" t="s">
        <v>4125</v>
      </c>
      <c r="H142" s="57"/>
      <c r="I142" s="2"/>
      <c r="J142" s="2"/>
      <c r="K142" s="2"/>
      <c r="L142" s="2"/>
      <c r="M142" s="2"/>
      <c r="N142" s="2"/>
      <c r="O142" s="2"/>
      <c r="P142" s="2"/>
      <c r="Q142" s="2"/>
      <c r="R142" s="2"/>
      <c r="S142" s="2"/>
      <c r="T142" s="2"/>
      <c r="U142" s="2"/>
      <c r="V142" s="2"/>
      <c r="W142" s="2"/>
      <c r="X142" s="2"/>
      <c r="Y142" s="2"/>
      <c r="Z142" s="2"/>
    </row>
    <row r="143" customHeight="1" spans="1:26">
      <c r="A143" s="13" t="s">
        <v>2665</v>
      </c>
      <c r="B143" s="13" t="s">
        <v>4134</v>
      </c>
      <c r="C143" s="13" t="s">
        <v>1179</v>
      </c>
      <c r="D143" s="57"/>
      <c r="E143" s="57"/>
      <c r="F143" s="13" t="s">
        <v>4124</v>
      </c>
      <c r="G143" s="13" t="s">
        <v>4125</v>
      </c>
      <c r="H143" s="57"/>
      <c r="I143" s="2"/>
      <c r="J143" s="2"/>
      <c r="K143" s="2"/>
      <c r="L143" s="2"/>
      <c r="M143" s="2"/>
      <c r="N143" s="2"/>
      <c r="O143" s="2"/>
      <c r="P143" s="2"/>
      <c r="Q143" s="2"/>
      <c r="R143" s="2"/>
      <c r="S143" s="2"/>
      <c r="T143" s="2"/>
      <c r="U143" s="2"/>
      <c r="V143" s="2"/>
      <c r="W143" s="2"/>
      <c r="X143" s="2"/>
      <c r="Y143" s="2"/>
      <c r="Z143" s="2"/>
    </row>
    <row r="144" customHeight="1" spans="1:26">
      <c r="A144" s="13" t="s">
        <v>2667</v>
      </c>
      <c r="B144" s="13" t="s">
        <v>4135</v>
      </c>
      <c r="C144" s="13" t="s">
        <v>1179</v>
      </c>
      <c r="D144" s="57"/>
      <c r="E144" s="57"/>
      <c r="F144" s="13" t="s">
        <v>4124</v>
      </c>
      <c r="G144" s="13" t="s">
        <v>4125</v>
      </c>
      <c r="H144" s="57"/>
      <c r="I144" s="2"/>
      <c r="J144" s="2"/>
      <c r="K144" s="2"/>
      <c r="L144" s="2"/>
      <c r="M144" s="2"/>
      <c r="N144" s="2"/>
      <c r="O144" s="2"/>
      <c r="P144" s="2"/>
      <c r="Q144" s="2"/>
      <c r="R144" s="2"/>
      <c r="S144" s="2"/>
      <c r="T144" s="2"/>
      <c r="U144" s="2"/>
      <c r="V144" s="2"/>
      <c r="W144" s="2"/>
      <c r="X144" s="2"/>
      <c r="Y144" s="2"/>
      <c r="Z144" s="2"/>
    </row>
    <row r="145" customHeight="1" spans="1:26">
      <c r="A145" s="13" t="s">
        <v>2669</v>
      </c>
      <c r="B145" s="13" t="s">
        <v>4136</v>
      </c>
      <c r="C145" s="13" t="s">
        <v>1179</v>
      </c>
      <c r="D145" s="57"/>
      <c r="E145" s="57"/>
      <c r="F145" s="13" t="s">
        <v>4124</v>
      </c>
      <c r="G145" s="13" t="s">
        <v>4125</v>
      </c>
      <c r="H145" s="57"/>
      <c r="I145" s="2"/>
      <c r="J145" s="2"/>
      <c r="K145" s="2"/>
      <c r="L145" s="2"/>
      <c r="M145" s="2"/>
      <c r="N145" s="2"/>
      <c r="O145" s="2"/>
      <c r="P145" s="2"/>
      <c r="Q145" s="2"/>
      <c r="R145" s="2"/>
      <c r="S145" s="2"/>
      <c r="T145" s="2"/>
      <c r="U145" s="2"/>
      <c r="V145" s="2"/>
      <c r="W145" s="2"/>
      <c r="X145" s="2"/>
      <c r="Y145" s="2"/>
      <c r="Z145" s="2"/>
    </row>
    <row r="146" customHeight="1" spans="1:26">
      <c r="A146" s="13" t="s">
        <v>2671</v>
      </c>
      <c r="B146" s="13" t="s">
        <v>4137</v>
      </c>
      <c r="C146" s="13" t="s">
        <v>1179</v>
      </c>
      <c r="D146" s="57"/>
      <c r="E146" s="57"/>
      <c r="F146" s="13" t="s">
        <v>4124</v>
      </c>
      <c r="G146" s="13" t="s">
        <v>4125</v>
      </c>
      <c r="H146" s="57"/>
      <c r="I146" s="2"/>
      <c r="J146" s="2"/>
      <c r="K146" s="2"/>
      <c r="L146" s="2"/>
      <c r="M146" s="2"/>
      <c r="N146" s="2"/>
      <c r="O146" s="2"/>
      <c r="P146" s="2"/>
      <c r="Q146" s="2"/>
      <c r="R146" s="2"/>
      <c r="S146" s="2"/>
      <c r="T146" s="2"/>
      <c r="U146" s="2"/>
      <c r="V146" s="2"/>
      <c r="W146" s="2"/>
      <c r="X146" s="2"/>
      <c r="Y146" s="2"/>
      <c r="Z146" s="2"/>
    </row>
    <row r="147" customHeight="1" spans="1:26">
      <c r="A147" s="13" t="s">
        <v>2673</v>
      </c>
      <c r="B147" s="13" t="s">
        <v>4138</v>
      </c>
      <c r="C147" s="13" t="s">
        <v>1179</v>
      </c>
      <c r="D147" s="57"/>
      <c r="E147" s="57"/>
      <c r="F147" s="13" t="s">
        <v>4124</v>
      </c>
      <c r="G147" s="13" t="s">
        <v>4125</v>
      </c>
      <c r="H147" s="57"/>
      <c r="I147" s="2"/>
      <c r="J147" s="2"/>
      <c r="K147" s="2"/>
      <c r="L147" s="2"/>
      <c r="M147" s="2"/>
      <c r="N147" s="2"/>
      <c r="O147" s="2"/>
      <c r="P147" s="2"/>
      <c r="Q147" s="2"/>
      <c r="R147" s="2"/>
      <c r="S147" s="2"/>
      <c r="T147" s="2"/>
      <c r="U147" s="2"/>
      <c r="V147" s="2"/>
      <c r="W147" s="2"/>
      <c r="X147" s="2"/>
      <c r="Y147" s="2"/>
      <c r="Z147" s="2"/>
    </row>
    <row r="148" customHeight="1" spans="1:26">
      <c r="A148" s="13" t="s">
        <v>2675</v>
      </c>
      <c r="B148" s="13" t="s">
        <v>4139</v>
      </c>
      <c r="C148" s="13" t="s">
        <v>1179</v>
      </c>
      <c r="D148" s="57"/>
      <c r="E148" s="57"/>
      <c r="F148" s="13" t="s">
        <v>4124</v>
      </c>
      <c r="G148" s="13" t="s">
        <v>4125</v>
      </c>
      <c r="H148" s="57"/>
      <c r="I148" s="2"/>
      <c r="J148" s="2"/>
      <c r="K148" s="2"/>
      <c r="L148" s="2"/>
      <c r="M148" s="2"/>
      <c r="N148" s="2"/>
      <c r="O148" s="2"/>
      <c r="P148" s="2"/>
      <c r="Q148" s="2"/>
      <c r="R148" s="2"/>
      <c r="S148" s="2"/>
      <c r="T148" s="2"/>
      <c r="U148" s="2"/>
      <c r="V148" s="2"/>
      <c r="W148" s="2"/>
      <c r="X148" s="2"/>
      <c r="Y148" s="2"/>
      <c r="Z148" s="2"/>
    </row>
    <row r="149" customHeight="1" spans="1:26">
      <c r="A149" s="13" t="s">
        <v>2677</v>
      </c>
      <c r="B149" s="13" t="s">
        <v>4140</v>
      </c>
      <c r="C149" s="13" t="s">
        <v>1179</v>
      </c>
      <c r="D149" s="57"/>
      <c r="E149" s="57"/>
      <c r="F149" s="13" t="s">
        <v>4124</v>
      </c>
      <c r="G149" s="13" t="s">
        <v>4125</v>
      </c>
      <c r="H149" s="57"/>
      <c r="I149" s="2"/>
      <c r="J149" s="2"/>
      <c r="K149" s="2"/>
      <c r="L149" s="2"/>
      <c r="M149" s="2"/>
      <c r="N149" s="2"/>
      <c r="O149" s="2"/>
      <c r="P149" s="2"/>
      <c r="Q149" s="2"/>
      <c r="R149" s="2"/>
      <c r="S149" s="2"/>
      <c r="T149" s="2"/>
      <c r="U149" s="2"/>
      <c r="V149" s="2"/>
      <c r="W149" s="2"/>
      <c r="X149" s="2"/>
      <c r="Y149" s="2"/>
      <c r="Z149" s="2"/>
    </row>
    <row r="150" customHeight="1" spans="1:26">
      <c r="A150" s="13" t="s">
        <v>2679</v>
      </c>
      <c r="B150" s="13" t="s">
        <v>4141</v>
      </c>
      <c r="C150" s="13" t="s">
        <v>1179</v>
      </c>
      <c r="D150" s="57"/>
      <c r="E150" s="57"/>
      <c r="F150" s="13" t="s">
        <v>4124</v>
      </c>
      <c r="G150" s="13" t="s">
        <v>4125</v>
      </c>
      <c r="H150" s="57"/>
      <c r="I150" s="2"/>
      <c r="J150" s="2"/>
      <c r="K150" s="2"/>
      <c r="L150" s="2"/>
      <c r="M150" s="2"/>
      <c r="N150" s="2"/>
      <c r="O150" s="2"/>
      <c r="P150" s="2"/>
      <c r="Q150" s="2"/>
      <c r="R150" s="2"/>
      <c r="S150" s="2"/>
      <c r="T150" s="2"/>
      <c r="U150" s="2"/>
      <c r="V150" s="2"/>
      <c r="W150" s="2"/>
      <c r="X150" s="2"/>
      <c r="Y150" s="2"/>
      <c r="Z150" s="2"/>
    </row>
    <row r="151" customHeight="1" spans="1:26">
      <c r="A151" s="13" t="s">
        <v>2681</v>
      </c>
      <c r="B151" s="13" t="s">
        <v>4142</v>
      </c>
      <c r="C151" s="13" t="s">
        <v>1179</v>
      </c>
      <c r="D151" s="57"/>
      <c r="E151" s="57"/>
      <c r="F151" s="13" t="s">
        <v>4124</v>
      </c>
      <c r="G151" s="13" t="s">
        <v>4125</v>
      </c>
      <c r="H151" s="57"/>
      <c r="I151" s="2"/>
      <c r="J151" s="2"/>
      <c r="K151" s="2"/>
      <c r="L151" s="2"/>
      <c r="M151" s="2"/>
      <c r="N151" s="2"/>
      <c r="O151" s="2"/>
      <c r="P151" s="2"/>
      <c r="Q151" s="2"/>
      <c r="R151" s="2"/>
      <c r="S151" s="2"/>
      <c r="T151" s="2"/>
      <c r="U151" s="2"/>
      <c r="V151" s="2"/>
      <c r="W151" s="2"/>
      <c r="X151" s="2"/>
      <c r="Y151" s="2"/>
      <c r="Z151" s="2"/>
    </row>
    <row r="152" customHeight="1" spans="1:26">
      <c r="A152" s="13" t="s">
        <v>2683</v>
      </c>
      <c r="B152" s="13" t="s">
        <v>4143</v>
      </c>
      <c r="C152" s="13" t="s">
        <v>1179</v>
      </c>
      <c r="D152" s="57"/>
      <c r="E152" s="57"/>
      <c r="F152" s="13" t="s">
        <v>4124</v>
      </c>
      <c r="G152" s="13" t="s">
        <v>4125</v>
      </c>
      <c r="H152" s="57"/>
      <c r="I152" s="2"/>
      <c r="J152" s="2"/>
      <c r="K152" s="2"/>
      <c r="L152" s="2"/>
      <c r="M152" s="2"/>
      <c r="N152" s="2"/>
      <c r="O152" s="2"/>
      <c r="P152" s="2"/>
      <c r="Q152" s="2"/>
      <c r="R152" s="2"/>
      <c r="S152" s="2"/>
      <c r="T152" s="2"/>
      <c r="U152" s="2"/>
      <c r="V152" s="2"/>
      <c r="W152" s="2"/>
      <c r="X152" s="2"/>
      <c r="Y152" s="2"/>
      <c r="Z152" s="2"/>
    </row>
    <row r="153" customHeight="1" spans="1:26">
      <c r="A153" s="13" t="s">
        <v>2685</v>
      </c>
      <c r="B153" s="13" t="s">
        <v>4144</v>
      </c>
      <c r="C153" s="13" t="s">
        <v>1179</v>
      </c>
      <c r="D153" s="57"/>
      <c r="E153" s="57"/>
      <c r="F153" s="13" t="s">
        <v>4124</v>
      </c>
      <c r="G153" s="13" t="s">
        <v>4125</v>
      </c>
      <c r="H153" s="57"/>
      <c r="I153" s="2"/>
      <c r="J153" s="2"/>
      <c r="K153" s="2"/>
      <c r="L153" s="2"/>
      <c r="M153" s="2"/>
      <c r="N153" s="2"/>
      <c r="O153" s="2"/>
      <c r="P153" s="2"/>
      <c r="Q153" s="2"/>
      <c r="R153" s="2"/>
      <c r="S153" s="2"/>
      <c r="T153" s="2"/>
      <c r="U153" s="2"/>
      <c r="V153" s="2"/>
      <c r="W153" s="2"/>
      <c r="X153" s="2"/>
      <c r="Y153" s="2"/>
      <c r="Z153" s="2"/>
    </row>
    <row r="154" customHeight="1" spans="1:26">
      <c r="A154" s="13" t="s">
        <v>2687</v>
      </c>
      <c r="B154" s="13" t="s">
        <v>4145</v>
      </c>
      <c r="C154" s="13" t="s">
        <v>1179</v>
      </c>
      <c r="D154" s="57"/>
      <c r="E154" s="57"/>
      <c r="F154" s="13" t="s">
        <v>4124</v>
      </c>
      <c r="G154" s="13" t="s">
        <v>4125</v>
      </c>
      <c r="H154" s="57"/>
      <c r="I154" s="2"/>
      <c r="J154" s="2"/>
      <c r="K154" s="2"/>
      <c r="L154" s="2"/>
      <c r="M154" s="2"/>
      <c r="N154" s="2"/>
      <c r="O154" s="2"/>
      <c r="P154" s="2"/>
      <c r="Q154" s="2"/>
      <c r="R154" s="2"/>
      <c r="S154" s="2"/>
      <c r="T154" s="2"/>
      <c r="U154" s="2"/>
      <c r="V154" s="2"/>
      <c r="W154" s="2"/>
      <c r="X154" s="2"/>
      <c r="Y154" s="2"/>
      <c r="Z154" s="2"/>
    </row>
    <row r="155" customHeight="1" spans="1:26">
      <c r="A155" s="13" t="s">
        <v>2689</v>
      </c>
      <c r="B155" s="13" t="s">
        <v>4146</v>
      </c>
      <c r="C155" s="13" t="s">
        <v>1179</v>
      </c>
      <c r="D155" s="57"/>
      <c r="E155" s="57"/>
      <c r="F155" s="13" t="s">
        <v>4124</v>
      </c>
      <c r="G155" s="13" t="s">
        <v>4125</v>
      </c>
      <c r="H155" s="57"/>
      <c r="I155" s="2"/>
      <c r="J155" s="2"/>
      <c r="K155" s="2"/>
      <c r="L155" s="2"/>
      <c r="M155" s="2"/>
      <c r="N155" s="2"/>
      <c r="O155" s="2"/>
      <c r="P155" s="2"/>
      <c r="Q155" s="2"/>
      <c r="R155" s="2"/>
      <c r="S155" s="2"/>
      <c r="T155" s="2"/>
      <c r="U155" s="2"/>
      <c r="V155" s="2"/>
      <c r="W155" s="2"/>
      <c r="X155" s="2"/>
      <c r="Y155" s="2"/>
      <c r="Z155" s="2"/>
    </row>
    <row r="156" customHeight="1" spans="1:26">
      <c r="A156" s="13" t="s">
        <v>2691</v>
      </c>
      <c r="B156" s="13" t="s">
        <v>4147</v>
      </c>
      <c r="C156" s="13" t="s">
        <v>1179</v>
      </c>
      <c r="D156" s="57"/>
      <c r="E156" s="57"/>
      <c r="F156" s="13" t="s">
        <v>4124</v>
      </c>
      <c r="G156" s="13" t="s">
        <v>4125</v>
      </c>
      <c r="H156" s="57"/>
      <c r="I156" s="2"/>
      <c r="J156" s="2"/>
      <c r="K156" s="2"/>
      <c r="L156" s="2"/>
      <c r="M156" s="2"/>
      <c r="N156" s="2"/>
      <c r="O156" s="2"/>
      <c r="P156" s="2"/>
      <c r="Q156" s="2"/>
      <c r="R156" s="2"/>
      <c r="S156" s="2"/>
      <c r="T156" s="2"/>
      <c r="U156" s="2"/>
      <c r="V156" s="2"/>
      <c r="W156" s="2"/>
      <c r="X156" s="2"/>
      <c r="Y156" s="2"/>
      <c r="Z156" s="2"/>
    </row>
    <row r="157" customHeight="1" spans="1:26">
      <c r="A157" s="13" t="s">
        <v>2693</v>
      </c>
      <c r="B157" s="13" t="s">
        <v>4148</v>
      </c>
      <c r="C157" s="13" t="s">
        <v>1179</v>
      </c>
      <c r="D157" s="57"/>
      <c r="E157" s="57"/>
      <c r="F157" s="13" t="s">
        <v>4124</v>
      </c>
      <c r="G157" s="13" t="s">
        <v>4125</v>
      </c>
      <c r="H157" s="57"/>
      <c r="I157" s="2"/>
      <c r="J157" s="2"/>
      <c r="K157" s="2"/>
      <c r="L157" s="2"/>
      <c r="M157" s="2"/>
      <c r="N157" s="2"/>
      <c r="O157" s="2"/>
      <c r="P157" s="2"/>
      <c r="Q157" s="2"/>
      <c r="R157" s="2"/>
      <c r="S157" s="2"/>
      <c r="T157" s="2"/>
      <c r="U157" s="2"/>
      <c r="V157" s="2"/>
      <c r="W157" s="2"/>
      <c r="X157" s="2"/>
      <c r="Y157" s="2"/>
      <c r="Z157" s="2"/>
    </row>
    <row r="158" customHeight="1" spans="1:26">
      <c r="A158" s="13" t="s">
        <v>2695</v>
      </c>
      <c r="B158" s="13" t="s">
        <v>4149</v>
      </c>
      <c r="C158" s="13" t="s">
        <v>1179</v>
      </c>
      <c r="D158" s="57"/>
      <c r="E158" s="57"/>
      <c r="F158" s="13" t="s">
        <v>4124</v>
      </c>
      <c r="G158" s="13" t="s">
        <v>4125</v>
      </c>
      <c r="H158" s="57"/>
      <c r="I158" s="2"/>
      <c r="J158" s="2"/>
      <c r="K158" s="2"/>
      <c r="L158" s="2"/>
      <c r="M158" s="2"/>
      <c r="N158" s="2"/>
      <c r="O158" s="2"/>
      <c r="P158" s="2"/>
      <c r="Q158" s="2"/>
      <c r="R158" s="2"/>
      <c r="S158" s="2"/>
      <c r="T158" s="2"/>
      <c r="U158" s="2"/>
      <c r="V158" s="2"/>
      <c r="W158" s="2"/>
      <c r="X158" s="2"/>
      <c r="Y158" s="2"/>
      <c r="Z158" s="2"/>
    </row>
    <row r="159" customHeight="1" spans="1:26">
      <c r="A159" s="13" t="s">
        <v>2697</v>
      </c>
      <c r="B159" s="13" t="s">
        <v>4150</v>
      </c>
      <c r="C159" s="13" t="s">
        <v>1179</v>
      </c>
      <c r="D159" s="57"/>
      <c r="E159" s="57"/>
      <c r="F159" s="13" t="s">
        <v>4124</v>
      </c>
      <c r="G159" s="13" t="s">
        <v>4125</v>
      </c>
      <c r="H159" s="57"/>
      <c r="I159" s="2"/>
      <c r="J159" s="2"/>
      <c r="K159" s="2"/>
      <c r="L159" s="2"/>
      <c r="M159" s="2"/>
      <c r="N159" s="2"/>
      <c r="O159" s="2"/>
      <c r="P159" s="2"/>
      <c r="Q159" s="2"/>
      <c r="R159" s="2"/>
      <c r="S159" s="2"/>
      <c r="T159" s="2"/>
      <c r="U159" s="2"/>
      <c r="V159" s="2"/>
      <c r="W159" s="2"/>
      <c r="X159" s="2"/>
      <c r="Y159" s="2"/>
      <c r="Z159" s="2"/>
    </row>
    <row r="160" ht="13.5" customHeight="1"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0" width="8.16071428571429" customWidth="1"/>
    <col min="11" max="26" width="11.1607142857143" customWidth="1"/>
  </cols>
  <sheetData>
    <row r="1" customHeight="1" spans="1:26">
      <c r="A1" s="57"/>
      <c r="B1" s="57"/>
      <c r="C1" s="57"/>
      <c r="D1" s="57"/>
      <c r="E1" s="57"/>
      <c r="F1" s="2"/>
      <c r="G1" s="2"/>
      <c r="H1" s="2"/>
      <c r="I1" s="2"/>
      <c r="J1" s="2"/>
      <c r="K1" s="2"/>
      <c r="L1" s="2"/>
      <c r="M1" s="2"/>
      <c r="N1" s="2"/>
      <c r="O1" s="2"/>
      <c r="P1" s="2"/>
      <c r="Q1" s="2"/>
      <c r="R1" s="2"/>
      <c r="S1" s="2"/>
      <c r="T1" s="2"/>
      <c r="U1" s="2"/>
      <c r="V1" s="2"/>
      <c r="W1" s="2"/>
      <c r="X1" s="2"/>
      <c r="Y1" s="2"/>
      <c r="Z1" s="2"/>
    </row>
    <row r="2" customHeight="1" spans="1:26">
      <c r="A2" s="57"/>
      <c r="B2" s="57"/>
      <c r="C2" s="57"/>
      <c r="D2" s="57"/>
      <c r="E2" s="57"/>
      <c r="F2" s="2"/>
      <c r="G2" s="2"/>
      <c r="H2" s="2"/>
      <c r="I2" s="2"/>
      <c r="J2" s="2"/>
      <c r="K2" s="2"/>
      <c r="L2" s="2"/>
      <c r="M2" s="2"/>
      <c r="N2" s="2"/>
      <c r="O2" s="2"/>
      <c r="P2" s="2"/>
      <c r="Q2" s="2"/>
      <c r="R2" s="2"/>
      <c r="S2" s="2"/>
      <c r="T2" s="2"/>
      <c r="U2" s="2"/>
      <c r="V2" s="2"/>
      <c r="W2" s="2"/>
      <c r="X2" s="2"/>
      <c r="Y2" s="2"/>
      <c r="Z2" s="2"/>
    </row>
    <row r="3" customHeight="1" spans="1:26">
      <c r="A3" s="57"/>
      <c r="B3" s="57"/>
      <c r="C3" s="57"/>
      <c r="D3" s="57"/>
      <c r="E3" s="57"/>
      <c r="F3" s="2"/>
      <c r="G3" s="2"/>
      <c r="H3" s="2"/>
      <c r="I3" s="2"/>
      <c r="J3" s="2"/>
      <c r="K3" s="2"/>
      <c r="L3" s="2"/>
      <c r="M3" s="2"/>
      <c r="N3" s="2"/>
      <c r="O3" s="2"/>
      <c r="P3" s="2"/>
      <c r="Q3" s="2"/>
      <c r="R3" s="2"/>
      <c r="S3" s="2"/>
      <c r="T3" s="2"/>
      <c r="U3" s="2"/>
      <c r="V3" s="2"/>
      <c r="W3" s="2"/>
      <c r="X3" s="2"/>
      <c r="Y3" s="2"/>
      <c r="Z3" s="2"/>
    </row>
    <row r="4" customHeight="1" spans="1:26">
      <c r="A4" s="57"/>
      <c r="B4" s="57"/>
      <c r="C4" s="57"/>
      <c r="D4" s="57"/>
      <c r="E4" s="57"/>
      <c r="F4" s="2"/>
      <c r="G4" s="2"/>
      <c r="H4" s="2"/>
      <c r="I4" s="2"/>
      <c r="J4" s="2"/>
      <c r="K4" s="2"/>
      <c r="L4" s="2"/>
      <c r="M4" s="2"/>
      <c r="N4" s="2"/>
      <c r="O4" s="2"/>
      <c r="P4" s="2"/>
      <c r="Q4" s="2"/>
      <c r="R4" s="2"/>
      <c r="S4" s="2"/>
      <c r="T4" s="2"/>
      <c r="U4" s="2"/>
      <c r="V4" s="2"/>
      <c r="W4" s="2"/>
      <c r="X4" s="2"/>
      <c r="Y4" s="2"/>
      <c r="Z4" s="2"/>
    </row>
    <row r="5" customHeight="1" spans="1:26">
      <c r="A5" s="57"/>
      <c r="B5" s="57"/>
      <c r="C5" s="57"/>
      <c r="D5" s="57"/>
      <c r="E5" s="57"/>
      <c r="F5" s="2"/>
      <c r="G5" s="2"/>
      <c r="H5" s="2"/>
      <c r="I5" s="2"/>
      <c r="J5" s="2"/>
      <c r="K5" s="2"/>
      <c r="L5" s="2"/>
      <c r="M5" s="2"/>
      <c r="N5" s="2"/>
      <c r="O5" s="2"/>
      <c r="P5" s="2"/>
      <c r="Q5" s="2"/>
      <c r="R5" s="2"/>
      <c r="S5" s="2"/>
      <c r="T5" s="2"/>
      <c r="U5" s="2"/>
      <c r="V5" s="2"/>
      <c r="W5" s="2"/>
      <c r="X5" s="2"/>
      <c r="Y5" s="2"/>
      <c r="Z5" s="2"/>
    </row>
    <row r="6" customHeight="1" spans="1:26">
      <c r="A6" s="57"/>
      <c r="B6" s="57"/>
      <c r="C6" s="57"/>
      <c r="D6" s="57"/>
      <c r="E6" s="57"/>
      <c r="F6" s="2"/>
      <c r="G6" s="2"/>
      <c r="H6" s="2"/>
      <c r="I6" s="2"/>
      <c r="J6" s="2"/>
      <c r="K6" s="2"/>
      <c r="L6" s="2"/>
      <c r="M6" s="2"/>
      <c r="N6" s="2"/>
      <c r="O6" s="2"/>
      <c r="P6" s="2"/>
      <c r="Q6" s="2"/>
      <c r="R6" s="2"/>
      <c r="S6" s="2"/>
      <c r="T6" s="2"/>
      <c r="U6" s="2"/>
      <c r="V6" s="2"/>
      <c r="W6" s="2"/>
      <c r="X6" s="2"/>
      <c r="Y6" s="2"/>
      <c r="Z6" s="2"/>
    </row>
    <row r="7" customHeight="1" spans="1:26">
      <c r="A7" s="57"/>
      <c r="B7" s="57"/>
      <c r="C7" s="57"/>
      <c r="D7" s="57"/>
      <c r="E7" s="57"/>
      <c r="F7" s="2"/>
      <c r="G7" s="2"/>
      <c r="H7" s="2"/>
      <c r="I7" s="2"/>
      <c r="J7" s="2"/>
      <c r="K7" s="2"/>
      <c r="L7" s="2"/>
      <c r="M7" s="2"/>
      <c r="N7" s="2"/>
      <c r="O7" s="2"/>
      <c r="P7" s="2"/>
      <c r="Q7" s="2"/>
      <c r="R7" s="2"/>
      <c r="S7" s="2"/>
      <c r="T7" s="2"/>
      <c r="U7" s="2"/>
      <c r="V7" s="2"/>
      <c r="W7" s="2"/>
      <c r="X7" s="2"/>
      <c r="Y7" s="2"/>
      <c r="Z7" s="2"/>
    </row>
    <row r="8" customHeight="1" spans="1:26">
      <c r="A8" s="57"/>
      <c r="B8" s="57"/>
      <c r="C8" s="57"/>
      <c r="D8" s="57"/>
      <c r="E8" s="57"/>
      <c r="F8" s="2"/>
      <c r="G8" s="2"/>
      <c r="H8" s="2"/>
      <c r="I8" s="2"/>
      <c r="J8" s="2"/>
      <c r="K8" s="2"/>
      <c r="L8" s="2"/>
      <c r="M8" s="2"/>
      <c r="N8" s="2"/>
      <c r="O8" s="2"/>
      <c r="P8" s="2"/>
      <c r="Q8" s="2"/>
      <c r="R8" s="2"/>
      <c r="S8" s="2"/>
      <c r="T8" s="2"/>
      <c r="U8" s="2"/>
      <c r="V8" s="2"/>
      <c r="W8" s="2"/>
      <c r="X8" s="2"/>
      <c r="Y8" s="2"/>
      <c r="Z8" s="2"/>
    </row>
    <row r="9" customHeight="1" spans="1:26">
      <c r="A9" s="57"/>
      <c r="B9" s="57"/>
      <c r="C9" s="57"/>
      <c r="D9" s="57"/>
      <c r="E9" s="57"/>
      <c r="F9" s="2"/>
      <c r="G9" s="2"/>
      <c r="H9" s="2"/>
      <c r="I9" s="2"/>
      <c r="J9" s="2"/>
      <c r="K9" s="2"/>
      <c r="L9" s="2"/>
      <c r="M9" s="2"/>
      <c r="N9" s="2"/>
      <c r="O9" s="2"/>
      <c r="P9" s="2"/>
      <c r="Q9" s="2"/>
      <c r="R9" s="2"/>
      <c r="S9" s="2"/>
      <c r="T9" s="2"/>
      <c r="U9" s="2"/>
      <c r="V9" s="2"/>
      <c r="W9" s="2"/>
      <c r="X9" s="2"/>
      <c r="Y9" s="2"/>
      <c r="Z9" s="2"/>
    </row>
    <row r="10" customHeight="1" spans="1:26">
      <c r="A10" s="57"/>
      <c r="B10" s="57"/>
      <c r="C10" s="57"/>
      <c r="D10" s="57"/>
      <c r="E10" s="57"/>
      <c r="F10" s="2"/>
      <c r="G10" s="2"/>
      <c r="H10" s="2"/>
      <c r="I10" s="2"/>
      <c r="J10" s="2"/>
      <c r="K10" s="2"/>
      <c r="L10" s="2"/>
      <c r="M10" s="2"/>
      <c r="N10" s="2"/>
      <c r="O10" s="2"/>
      <c r="P10" s="2"/>
      <c r="Q10" s="2"/>
      <c r="R10" s="2"/>
      <c r="S10" s="2"/>
      <c r="T10" s="2"/>
      <c r="U10" s="2"/>
      <c r="V10" s="2"/>
      <c r="W10" s="2"/>
      <c r="X10" s="2"/>
      <c r="Y10" s="2"/>
      <c r="Z10" s="2"/>
    </row>
    <row r="11" ht="13.5" customHeight="1" spans="1:26">
      <c r="A11" s="2"/>
      <c r="B11" s="2"/>
      <c r="C11" s="2"/>
      <c r="D11" s="2"/>
      <c r="E11" s="2"/>
      <c r="F11" s="2"/>
      <c r="G11" s="2"/>
      <c r="H11" s="2"/>
      <c r="I11" s="2"/>
      <c r="J11" s="2"/>
      <c r="K11" s="2"/>
      <c r="L11" s="2"/>
      <c r="M11" s="2"/>
      <c r="N11" s="2"/>
      <c r="O11" s="2"/>
      <c r="P11" s="2"/>
      <c r="Q11" s="2"/>
      <c r="R11" s="2"/>
      <c r="S11" s="2"/>
      <c r="T11" s="2"/>
      <c r="U11" s="2"/>
      <c r="V11" s="2"/>
      <c r="W11" s="2"/>
      <c r="X11" s="2"/>
      <c r="Y11" s="2"/>
      <c r="Z11" s="2"/>
    </row>
    <row r="12" ht="13.5" customHeight="1" spans="1:26">
      <c r="A12" s="2"/>
      <c r="B12" s="2"/>
      <c r="C12" s="2"/>
      <c r="D12" s="2"/>
      <c r="E12" s="2"/>
      <c r="F12" s="2"/>
      <c r="G12" s="2"/>
      <c r="H12" s="2"/>
      <c r="I12" s="2"/>
      <c r="J12" s="2"/>
      <c r="K12" s="2"/>
      <c r="L12" s="2"/>
      <c r="M12" s="2"/>
      <c r="N12" s="2"/>
      <c r="O12" s="2"/>
      <c r="P12" s="2"/>
      <c r="Q12" s="2"/>
      <c r="R12" s="2"/>
      <c r="S12" s="2"/>
      <c r="T12" s="2"/>
      <c r="U12" s="2"/>
      <c r="V12" s="2"/>
      <c r="W12" s="2"/>
      <c r="X12" s="2"/>
      <c r="Y12" s="2"/>
      <c r="Z12" s="2"/>
    </row>
    <row r="13" ht="13.5" customHeight="1" spans="1:26">
      <c r="A13" s="2"/>
      <c r="B13" s="2"/>
      <c r="C13" s="2"/>
      <c r="D13" s="2"/>
      <c r="E13" s="2"/>
      <c r="F13" s="2"/>
      <c r="G13" s="2"/>
      <c r="H13" s="2"/>
      <c r="I13" s="2"/>
      <c r="J13" s="2"/>
      <c r="K13" s="2"/>
      <c r="L13" s="2"/>
      <c r="M13" s="2"/>
      <c r="N13" s="2"/>
      <c r="O13" s="2"/>
      <c r="P13" s="2"/>
      <c r="Q13" s="2"/>
      <c r="R13" s="2"/>
      <c r="S13" s="2"/>
      <c r="T13" s="2"/>
      <c r="U13" s="2"/>
      <c r="V13" s="2"/>
      <c r="W13" s="2"/>
      <c r="X13" s="2"/>
      <c r="Y13" s="2"/>
      <c r="Z13" s="2"/>
    </row>
    <row r="14" ht="13.5" customHeight="1" spans="1:26">
      <c r="A14" s="2"/>
      <c r="B14" s="2"/>
      <c r="C14" s="2"/>
      <c r="D14" s="2"/>
      <c r="E14" s="2"/>
      <c r="F14" s="2"/>
      <c r="G14" s="2"/>
      <c r="H14" s="2"/>
      <c r="I14" s="2"/>
      <c r="J14" s="2"/>
      <c r="K14" s="2"/>
      <c r="L14" s="2"/>
      <c r="M14" s="2"/>
      <c r="N14" s="2"/>
      <c r="O14" s="2"/>
      <c r="P14" s="2"/>
      <c r="Q14" s="2"/>
      <c r="R14" s="2"/>
      <c r="S14" s="2"/>
      <c r="T14" s="2"/>
      <c r="U14" s="2"/>
      <c r="V14" s="2"/>
      <c r="W14" s="2"/>
      <c r="X14" s="2"/>
      <c r="Y14" s="2"/>
      <c r="Z14" s="2"/>
    </row>
    <row r="15" ht="13.5" customHeight="1"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ht="13.5" customHeight="1" spans="1:26">
      <c r="A16" s="2"/>
      <c r="B16" s="2"/>
      <c r="C16" s="2"/>
      <c r="D16" s="2"/>
      <c r="E16" s="2"/>
      <c r="F16" s="2"/>
      <c r="G16" s="2"/>
      <c r="H16" s="2"/>
      <c r="I16" s="2"/>
      <c r="J16" s="2"/>
      <c r="K16" s="2"/>
      <c r="L16" s="2"/>
      <c r="M16" s="2"/>
      <c r="N16" s="2"/>
      <c r="O16" s="2"/>
      <c r="P16" s="2"/>
      <c r="Q16" s="2"/>
      <c r="R16" s="2"/>
      <c r="S16" s="2"/>
      <c r="T16" s="2"/>
      <c r="U16" s="2"/>
      <c r="V16" s="2"/>
      <c r="W16" s="2"/>
      <c r="X16" s="2"/>
      <c r="Y16" s="2"/>
      <c r="Z16" s="2"/>
    </row>
    <row r="17" ht="13.5" customHeight="1" spans="1:26">
      <c r="A17" s="2"/>
      <c r="B17" s="2"/>
      <c r="C17" s="2"/>
      <c r="D17" s="2"/>
      <c r="E17" s="2"/>
      <c r="F17" s="2"/>
      <c r="G17" s="2"/>
      <c r="H17" s="2"/>
      <c r="I17" s="2"/>
      <c r="J17" s="2"/>
      <c r="K17" s="2"/>
      <c r="L17" s="2"/>
      <c r="M17" s="2"/>
      <c r="N17" s="2"/>
      <c r="O17" s="2"/>
      <c r="P17" s="2"/>
      <c r="Q17" s="2"/>
      <c r="R17" s="2"/>
      <c r="S17" s="2"/>
      <c r="T17" s="2"/>
      <c r="U17" s="2"/>
      <c r="V17" s="2"/>
      <c r="W17" s="2"/>
      <c r="X17" s="2"/>
      <c r="Y17" s="2"/>
      <c r="Z17" s="2"/>
    </row>
    <row r="18" ht="13.5" customHeight="1"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ht="13.5" customHeight="1" spans="1:26">
      <c r="A19" s="2"/>
      <c r="B19" s="2"/>
      <c r="C19" s="2"/>
      <c r="D19" s="2"/>
      <c r="E19" s="2"/>
      <c r="F19" s="2"/>
      <c r="G19" s="2"/>
      <c r="H19" s="2"/>
      <c r="I19" s="2"/>
      <c r="J19" s="2"/>
      <c r="K19" s="2"/>
      <c r="L19" s="2"/>
      <c r="M19" s="2"/>
      <c r="N19" s="2"/>
      <c r="O19" s="2"/>
      <c r="P19" s="2"/>
      <c r="Q19" s="2"/>
      <c r="R19" s="2"/>
      <c r="S19" s="2"/>
      <c r="T19" s="2"/>
      <c r="U19" s="2"/>
      <c r="V19" s="2"/>
      <c r="W19" s="2"/>
      <c r="X19" s="2"/>
      <c r="Y19" s="2"/>
      <c r="Z19" s="2"/>
    </row>
    <row r="20" ht="13.5" customHeight="1"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ht="13.5" customHeight="1" spans="1:26">
      <c r="A21" s="2"/>
      <c r="B21" s="2"/>
      <c r="C21" s="2"/>
      <c r="D21" s="2"/>
      <c r="E21" s="2"/>
      <c r="F21" s="2"/>
      <c r="G21" s="2"/>
      <c r="H21" s="2"/>
      <c r="I21" s="2"/>
      <c r="J21" s="2"/>
      <c r="K21" s="2"/>
      <c r="L21" s="2"/>
      <c r="M21" s="2"/>
      <c r="N21" s="2"/>
      <c r="O21" s="2"/>
      <c r="P21" s="2"/>
      <c r="Q21" s="2"/>
      <c r="R21" s="2"/>
      <c r="S21" s="2"/>
      <c r="T21" s="2"/>
      <c r="U21" s="2"/>
      <c r="V21" s="2"/>
      <c r="W21" s="2"/>
      <c r="X21" s="2"/>
      <c r="Y21" s="2"/>
      <c r="Z21" s="2"/>
    </row>
    <row r="22" ht="14.8" spans="1:26">
      <c r="A22" s="2"/>
      <c r="B22" s="2"/>
      <c r="C22" s="2"/>
      <c r="D22" s="2"/>
      <c r="E22" s="2"/>
      <c r="F22" s="2"/>
      <c r="G22" s="2"/>
      <c r="H22" s="2"/>
      <c r="I22" s="2"/>
      <c r="J22" s="2"/>
      <c r="K22" s="2"/>
      <c r="L22" s="2"/>
      <c r="M22" s="2"/>
      <c r="N22" s="2"/>
      <c r="O22" s="2"/>
      <c r="P22" s="2"/>
      <c r="Q22" s="2"/>
      <c r="R22" s="2"/>
      <c r="S22" s="2"/>
      <c r="T22" s="2"/>
      <c r="U22" s="2"/>
      <c r="V22" s="2"/>
      <c r="W22" s="2"/>
      <c r="X22" s="2"/>
      <c r="Y22" s="2"/>
      <c r="Z22" s="2"/>
    </row>
    <row r="23" ht="14.8" spans="1:26">
      <c r="A23" s="2"/>
      <c r="B23" s="2"/>
      <c r="C23" s="2"/>
      <c r="D23" s="2"/>
      <c r="E23" s="2"/>
      <c r="F23" s="2"/>
      <c r="G23" s="2"/>
      <c r="H23" s="2"/>
      <c r="I23" s="2"/>
      <c r="J23" s="2"/>
      <c r="K23" s="2"/>
      <c r="L23" s="2"/>
      <c r="M23" s="2"/>
      <c r="N23" s="2"/>
      <c r="O23" s="2"/>
      <c r="P23" s="2"/>
      <c r="Q23" s="2"/>
      <c r="R23" s="2"/>
      <c r="S23" s="2"/>
      <c r="T23" s="2"/>
      <c r="U23" s="2"/>
      <c r="V23" s="2"/>
      <c r="W23" s="2"/>
      <c r="X23" s="2"/>
      <c r="Y23" s="2"/>
      <c r="Z23" s="2"/>
    </row>
    <row r="24" ht="14.8" spans="1:26">
      <c r="A24" s="2"/>
      <c r="B24" s="2"/>
      <c r="C24" s="2"/>
      <c r="D24" s="2"/>
      <c r="E24" s="2"/>
      <c r="F24" s="2"/>
      <c r="G24" s="2"/>
      <c r="H24" s="2"/>
      <c r="I24" s="2"/>
      <c r="J24" s="2"/>
      <c r="K24" s="2"/>
      <c r="L24" s="2"/>
      <c r="M24" s="2"/>
      <c r="N24" s="2"/>
      <c r="O24" s="2"/>
      <c r="P24" s="2"/>
      <c r="Q24" s="2"/>
      <c r="R24" s="2"/>
      <c r="S24" s="2"/>
      <c r="T24" s="2"/>
      <c r="U24" s="2"/>
      <c r="V24" s="2"/>
      <c r="W24" s="2"/>
      <c r="X24" s="2"/>
      <c r="Y24" s="2"/>
      <c r="Z24" s="2"/>
    </row>
    <row r="25" ht="14.8" spans="1:26">
      <c r="A25" s="2"/>
      <c r="B25" s="2"/>
      <c r="C25" s="2"/>
      <c r="D25" s="2"/>
      <c r="E25" s="2"/>
      <c r="F25" s="2"/>
      <c r="G25" s="2"/>
      <c r="H25" s="2"/>
      <c r="I25" s="2"/>
      <c r="J25" s="2"/>
      <c r="K25" s="2"/>
      <c r="L25" s="2"/>
      <c r="M25" s="2"/>
      <c r="N25" s="2"/>
      <c r="O25" s="2"/>
      <c r="P25" s="2"/>
      <c r="Q25" s="2"/>
      <c r="R25" s="2"/>
      <c r="S25" s="2"/>
      <c r="T25" s="2"/>
      <c r="U25" s="2"/>
      <c r="V25" s="2"/>
      <c r="W25" s="2"/>
      <c r="X25" s="2"/>
      <c r="Y25" s="2"/>
      <c r="Z25" s="2"/>
    </row>
    <row r="26" ht="14.8" spans="1:26">
      <c r="A26" s="2"/>
      <c r="B26" s="2"/>
      <c r="C26" s="2"/>
      <c r="D26" s="2"/>
      <c r="E26" s="2"/>
      <c r="F26" s="2"/>
      <c r="G26" s="2"/>
      <c r="H26" s="2"/>
      <c r="I26" s="2"/>
      <c r="J26" s="2"/>
      <c r="K26" s="2"/>
      <c r="L26" s="2"/>
      <c r="M26" s="2"/>
      <c r="N26" s="2"/>
      <c r="O26" s="2"/>
      <c r="P26" s="2"/>
      <c r="Q26" s="2"/>
      <c r="R26" s="2"/>
      <c r="S26" s="2"/>
      <c r="T26" s="2"/>
      <c r="U26" s="2"/>
      <c r="V26" s="2"/>
      <c r="W26" s="2"/>
      <c r="X26" s="2"/>
      <c r="Y26" s="2"/>
      <c r="Z26" s="2"/>
    </row>
    <row r="27" ht="14.8" spans="1:26">
      <c r="A27" s="2"/>
      <c r="B27" s="2"/>
      <c r="C27" s="2"/>
      <c r="D27" s="2"/>
      <c r="E27" s="2"/>
      <c r="F27" s="2"/>
      <c r="G27" s="2"/>
      <c r="H27" s="2"/>
      <c r="I27" s="2"/>
      <c r="J27" s="2"/>
      <c r="K27" s="2"/>
      <c r="L27" s="2"/>
      <c r="M27" s="2"/>
      <c r="N27" s="2"/>
      <c r="O27" s="2"/>
      <c r="P27" s="2"/>
      <c r="Q27" s="2"/>
      <c r="R27" s="2"/>
      <c r="S27" s="2"/>
      <c r="T27" s="2"/>
      <c r="U27" s="2"/>
      <c r="V27" s="2"/>
      <c r="W27" s="2"/>
      <c r="X27" s="2"/>
      <c r="Y27" s="2"/>
      <c r="Z27" s="2"/>
    </row>
    <row r="28" ht="14.8" spans="1:26">
      <c r="A28" s="2"/>
      <c r="B28" s="2"/>
      <c r="C28" s="2"/>
      <c r="D28" s="2"/>
      <c r="E28" s="2"/>
      <c r="F28" s="2"/>
      <c r="G28" s="2"/>
      <c r="H28" s="2"/>
      <c r="I28" s="2"/>
      <c r="J28" s="2"/>
      <c r="K28" s="2"/>
      <c r="L28" s="2"/>
      <c r="M28" s="2"/>
      <c r="N28" s="2"/>
      <c r="O28" s="2"/>
      <c r="P28" s="2"/>
      <c r="Q28" s="2"/>
      <c r="R28" s="2"/>
      <c r="S28" s="2"/>
      <c r="T28" s="2"/>
      <c r="U28" s="2"/>
      <c r="V28" s="2"/>
      <c r="W28" s="2"/>
      <c r="X28" s="2"/>
      <c r="Y28" s="2"/>
      <c r="Z28" s="2"/>
    </row>
    <row r="29" ht="14.8" spans="1:26">
      <c r="A29" s="2"/>
      <c r="B29" s="2"/>
      <c r="C29" s="2"/>
      <c r="D29" s="2"/>
      <c r="E29" s="2"/>
      <c r="F29" s="2"/>
      <c r="G29" s="2"/>
      <c r="H29" s="2"/>
      <c r="I29" s="2"/>
      <c r="J29" s="2"/>
      <c r="K29" s="2"/>
      <c r="L29" s="2"/>
      <c r="M29" s="2"/>
      <c r="N29" s="2"/>
      <c r="O29" s="2"/>
      <c r="P29" s="2"/>
      <c r="Q29" s="2"/>
      <c r="R29" s="2"/>
      <c r="S29" s="2"/>
      <c r="T29" s="2"/>
      <c r="U29" s="2"/>
      <c r="V29" s="2"/>
      <c r="W29" s="2"/>
      <c r="X29" s="2"/>
      <c r="Y29" s="2"/>
      <c r="Z29" s="2"/>
    </row>
    <row r="30" ht="14.8" spans="1:26">
      <c r="A30" s="2"/>
      <c r="B30" s="2"/>
      <c r="C30" s="2"/>
      <c r="D30" s="2"/>
      <c r="E30" s="2"/>
      <c r="F30" s="2"/>
      <c r="G30" s="2"/>
      <c r="H30" s="2"/>
      <c r="I30" s="2"/>
      <c r="J30" s="2"/>
      <c r="K30" s="2"/>
      <c r="L30" s="2"/>
      <c r="M30" s="2"/>
      <c r="N30" s="2"/>
      <c r="O30" s="2"/>
      <c r="P30" s="2"/>
      <c r="Q30" s="2"/>
      <c r="R30" s="2"/>
      <c r="S30" s="2"/>
      <c r="T30" s="2"/>
      <c r="U30" s="2"/>
      <c r="V30" s="2"/>
      <c r="W30" s="2"/>
      <c r="X30" s="2"/>
      <c r="Y30" s="2"/>
      <c r="Z30" s="2"/>
    </row>
    <row r="31" ht="14.8" spans="1:26">
      <c r="A31" s="2"/>
      <c r="B31" s="2"/>
      <c r="C31" s="2"/>
      <c r="D31" s="2"/>
      <c r="E31" s="2"/>
      <c r="F31" s="2"/>
      <c r="G31" s="2"/>
      <c r="H31" s="2"/>
      <c r="I31" s="2"/>
      <c r="J31" s="2"/>
      <c r="K31" s="2"/>
      <c r="L31" s="2"/>
      <c r="M31" s="2"/>
      <c r="N31" s="2"/>
      <c r="O31" s="2"/>
      <c r="P31" s="2"/>
      <c r="Q31" s="2"/>
      <c r="R31" s="2"/>
      <c r="S31" s="2"/>
      <c r="T31" s="2"/>
      <c r="U31" s="2"/>
      <c r="V31" s="2"/>
      <c r="W31" s="2"/>
      <c r="X31" s="2"/>
      <c r="Y31" s="2"/>
      <c r="Z31" s="2"/>
    </row>
    <row r="32" ht="14.8" spans="1:26">
      <c r="A32" s="2"/>
      <c r="B32" s="2"/>
      <c r="C32" s="2"/>
      <c r="D32" s="2"/>
      <c r="E32" s="2"/>
      <c r="F32" s="2"/>
      <c r="G32" s="2"/>
      <c r="H32" s="2"/>
      <c r="I32" s="2"/>
      <c r="J32" s="2"/>
      <c r="K32" s="2"/>
      <c r="L32" s="2"/>
      <c r="M32" s="2"/>
      <c r="N32" s="2"/>
      <c r="O32" s="2"/>
      <c r="P32" s="2"/>
      <c r="Q32" s="2"/>
      <c r="R32" s="2"/>
      <c r="S32" s="2"/>
      <c r="T32" s="2"/>
      <c r="U32" s="2"/>
      <c r="V32" s="2"/>
      <c r="W32" s="2"/>
      <c r="X32" s="2"/>
      <c r="Y32" s="2"/>
      <c r="Z32" s="2"/>
    </row>
    <row r="33" ht="14.8" spans="1:26">
      <c r="A33" s="2"/>
      <c r="B33" s="2"/>
      <c r="C33" s="2"/>
      <c r="D33" s="2"/>
      <c r="E33" s="2"/>
      <c r="F33" s="2"/>
      <c r="G33" s="2"/>
      <c r="H33" s="2"/>
      <c r="I33" s="2"/>
      <c r="J33" s="2"/>
      <c r="K33" s="2"/>
      <c r="L33" s="2"/>
      <c r="M33" s="2"/>
      <c r="N33" s="2"/>
      <c r="O33" s="2"/>
      <c r="P33" s="2"/>
      <c r="Q33" s="2"/>
      <c r="R33" s="2"/>
      <c r="S33" s="2"/>
      <c r="T33" s="2"/>
      <c r="U33" s="2"/>
      <c r="V33" s="2"/>
      <c r="W33" s="2"/>
      <c r="X33" s="2"/>
      <c r="Y33" s="2"/>
      <c r="Z33" s="2"/>
    </row>
    <row r="34" ht="14.8" spans="1:26">
      <c r="A34" s="2"/>
      <c r="B34" s="2"/>
      <c r="C34" s="2"/>
      <c r="D34" s="2"/>
      <c r="E34" s="2"/>
      <c r="F34" s="2"/>
      <c r="G34" s="2"/>
      <c r="H34" s="2"/>
      <c r="I34" s="2"/>
      <c r="J34" s="2"/>
      <c r="K34" s="2"/>
      <c r="L34" s="2"/>
      <c r="M34" s="2"/>
      <c r="N34" s="2"/>
      <c r="O34" s="2"/>
      <c r="P34" s="2"/>
      <c r="Q34" s="2"/>
      <c r="R34" s="2"/>
      <c r="S34" s="2"/>
      <c r="T34" s="2"/>
      <c r="U34" s="2"/>
      <c r="V34" s="2"/>
      <c r="W34" s="2"/>
      <c r="X34" s="2"/>
      <c r="Y34" s="2"/>
      <c r="Z34" s="2"/>
    </row>
    <row r="35" ht="14.8" spans="1:26">
      <c r="A35" s="2"/>
      <c r="B35" s="2"/>
      <c r="C35" s="2"/>
      <c r="D35" s="2"/>
      <c r="E35" s="2"/>
      <c r="F35" s="2"/>
      <c r="G35" s="2"/>
      <c r="H35" s="2"/>
      <c r="I35" s="2"/>
      <c r="J35" s="2"/>
      <c r="K35" s="2"/>
      <c r="L35" s="2"/>
      <c r="M35" s="2"/>
      <c r="N35" s="2"/>
      <c r="O35" s="2"/>
      <c r="P35" s="2"/>
      <c r="Q35" s="2"/>
      <c r="R35" s="2"/>
      <c r="S35" s="2"/>
      <c r="T35" s="2"/>
      <c r="U35" s="2"/>
      <c r="V35" s="2"/>
      <c r="W35" s="2"/>
      <c r="X35" s="2"/>
      <c r="Y35" s="2"/>
      <c r="Z35" s="2"/>
    </row>
    <row r="36" ht="14.8" spans="1:26">
      <c r="A36" s="2"/>
      <c r="B36" s="2"/>
      <c r="C36" s="2"/>
      <c r="D36" s="2"/>
      <c r="E36" s="2"/>
      <c r="F36" s="2"/>
      <c r="G36" s="2"/>
      <c r="H36" s="2"/>
      <c r="I36" s="2"/>
      <c r="J36" s="2"/>
      <c r="K36" s="2"/>
      <c r="L36" s="2"/>
      <c r="M36" s="2"/>
      <c r="N36" s="2"/>
      <c r="O36" s="2"/>
      <c r="P36" s="2"/>
      <c r="Q36" s="2"/>
      <c r="R36" s="2"/>
      <c r="S36" s="2"/>
      <c r="T36" s="2"/>
      <c r="U36" s="2"/>
      <c r="V36" s="2"/>
      <c r="W36" s="2"/>
      <c r="X36" s="2"/>
      <c r="Y36" s="2"/>
      <c r="Z36" s="2"/>
    </row>
    <row r="37" ht="14.8"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ht="14.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ht="14.8" spans="1:26">
      <c r="A39" s="2"/>
      <c r="B39" s="2"/>
      <c r="C39" s="2"/>
      <c r="D39" s="2"/>
      <c r="E39" s="2"/>
      <c r="F39" s="2"/>
      <c r="G39" s="2"/>
      <c r="H39" s="2"/>
      <c r="I39" s="2"/>
      <c r="J39" s="2"/>
      <c r="K39" s="2"/>
      <c r="L39" s="2"/>
      <c r="M39" s="2"/>
      <c r="N39" s="2"/>
      <c r="O39" s="2"/>
      <c r="P39" s="2"/>
      <c r="Q39" s="2"/>
      <c r="R39" s="2"/>
      <c r="S39" s="2"/>
      <c r="T39" s="2"/>
      <c r="U39" s="2"/>
      <c r="V39" s="2"/>
      <c r="W39" s="2"/>
      <c r="X39" s="2"/>
      <c r="Y39" s="2"/>
      <c r="Z39" s="2"/>
    </row>
    <row r="40" ht="14.8" spans="1:26">
      <c r="A40" s="2"/>
      <c r="B40" s="2"/>
      <c r="C40" s="2"/>
      <c r="D40" s="2"/>
      <c r="E40" s="2"/>
      <c r="F40" s="2"/>
      <c r="G40" s="2"/>
      <c r="H40" s="2"/>
      <c r="I40" s="2"/>
      <c r="J40" s="2"/>
      <c r="K40" s="2"/>
      <c r="L40" s="2"/>
      <c r="M40" s="2"/>
      <c r="N40" s="2"/>
      <c r="O40" s="2"/>
      <c r="P40" s="2"/>
      <c r="Q40" s="2"/>
      <c r="R40" s="2"/>
      <c r="S40" s="2"/>
      <c r="T40" s="2"/>
      <c r="U40" s="2"/>
      <c r="V40" s="2"/>
      <c r="W40" s="2"/>
      <c r="X40" s="2"/>
      <c r="Y40" s="2"/>
      <c r="Z40" s="2"/>
    </row>
    <row r="41" ht="14.8" spans="1:26">
      <c r="A41" s="2"/>
      <c r="B41" s="2"/>
      <c r="C41" s="2"/>
      <c r="D41" s="2"/>
      <c r="E41" s="2"/>
      <c r="F41" s="2"/>
      <c r="G41" s="2"/>
      <c r="H41" s="2"/>
      <c r="I41" s="2"/>
      <c r="J41" s="2"/>
      <c r="K41" s="2"/>
      <c r="L41" s="2"/>
      <c r="M41" s="2"/>
      <c r="N41" s="2"/>
      <c r="O41" s="2"/>
      <c r="P41" s="2"/>
      <c r="Q41" s="2"/>
      <c r="R41" s="2"/>
      <c r="S41" s="2"/>
      <c r="T41" s="2"/>
      <c r="U41" s="2"/>
      <c r="V41" s="2"/>
      <c r="W41" s="2"/>
      <c r="X41" s="2"/>
      <c r="Y41" s="2"/>
      <c r="Z41" s="2"/>
    </row>
    <row r="42" ht="14.8" spans="1:26">
      <c r="A42" s="2"/>
      <c r="B42" s="2"/>
      <c r="C42" s="2"/>
      <c r="D42" s="2"/>
      <c r="E42" s="2"/>
      <c r="F42" s="2"/>
      <c r="G42" s="2"/>
      <c r="H42" s="2"/>
      <c r="I42" s="2"/>
      <c r="J42" s="2"/>
      <c r="K42" s="2"/>
      <c r="L42" s="2"/>
      <c r="M42" s="2"/>
      <c r="N42" s="2"/>
      <c r="O42" s="2"/>
      <c r="P42" s="2"/>
      <c r="Q42" s="2"/>
      <c r="R42" s="2"/>
      <c r="S42" s="2"/>
      <c r="T42" s="2"/>
      <c r="U42" s="2"/>
      <c r="V42" s="2"/>
      <c r="W42" s="2"/>
      <c r="X42" s="2"/>
      <c r="Y42" s="2"/>
      <c r="Z42" s="2"/>
    </row>
    <row r="43" ht="14.8" spans="1:26">
      <c r="A43" s="2"/>
      <c r="B43" s="2"/>
      <c r="C43" s="2"/>
      <c r="D43" s="2"/>
      <c r="E43" s="2"/>
      <c r="F43" s="2"/>
      <c r="G43" s="2"/>
      <c r="H43" s="2"/>
      <c r="I43" s="2"/>
      <c r="J43" s="2"/>
      <c r="K43" s="2"/>
      <c r="L43" s="2"/>
      <c r="M43" s="2"/>
      <c r="N43" s="2"/>
      <c r="O43" s="2"/>
      <c r="P43" s="2"/>
      <c r="Q43" s="2"/>
      <c r="R43" s="2"/>
      <c r="S43" s="2"/>
      <c r="T43" s="2"/>
      <c r="U43" s="2"/>
      <c r="V43" s="2"/>
      <c r="W43" s="2"/>
      <c r="X43" s="2"/>
      <c r="Y43" s="2"/>
      <c r="Z43" s="2"/>
    </row>
    <row r="44" ht="14.8"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ht="14.8"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ht="14.8"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ht="14.8" spans="1:26">
      <c r="A47" s="2"/>
      <c r="B47" s="2"/>
      <c r="C47" s="2"/>
      <c r="D47" s="2"/>
      <c r="E47" s="2"/>
      <c r="F47" s="2"/>
      <c r="G47" s="2"/>
      <c r="H47" s="2"/>
      <c r="I47" s="2"/>
      <c r="J47" s="2"/>
      <c r="K47" s="2"/>
      <c r="L47" s="2"/>
      <c r="M47" s="2"/>
      <c r="N47" s="2"/>
      <c r="O47" s="2"/>
      <c r="P47" s="2"/>
      <c r="Q47" s="2"/>
      <c r="R47" s="2"/>
      <c r="S47" s="2"/>
      <c r="T47" s="2"/>
      <c r="U47" s="2"/>
      <c r="V47" s="2"/>
      <c r="W47" s="2"/>
      <c r="X47" s="2"/>
      <c r="Y47" s="2"/>
      <c r="Z47" s="2"/>
    </row>
    <row r="48" ht="14.8"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ht="14.8"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ht="14.8"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ht="14.8"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ht="14.8"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ht="14.8"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ht="14.8"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ht="14.8"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ht="14.8"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ht="14.8"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ht="14.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ht="14.8"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ht="14.8"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ht="14.8"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ht="14.8"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ht="14.8"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ht="14.8"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ht="14.8"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ht="14.8"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ht="14.8"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ht="14.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ht="14.8"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ht="14.8"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ht="14.8"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ht="14.8"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ht="14.8"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ht="14.8"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ht="14.8"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ht="14.8"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ht="14.8"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ht="14.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ht="14.8"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ht="14.8"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ht="14.8"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ht="14.8"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ht="14.8"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ht="14.8"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ht="14.8"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ht="14.8"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ht="14.8"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ht="14.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ht="14.8"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ht="14.8"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ht="14.8"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ht="14.8"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ht="14.8"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ht="14.8"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ht="14.8"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ht="14.8"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ht="14.8"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ht="14.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ht="14.8"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ht="14.8"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8"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8"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8"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8"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8"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8"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8"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8"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8"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8"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8"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8"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8"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8"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8"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8"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8"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8"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8"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8"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8"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8"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8"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8"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8"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8"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8"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customHeight="1" spans="1:26">
      <c r="A1" s="56" t="s">
        <v>0</v>
      </c>
      <c r="B1" s="57"/>
      <c r="C1" s="57"/>
      <c r="D1" s="57"/>
      <c r="E1" s="57"/>
      <c r="F1" s="57"/>
      <c r="G1" s="57"/>
      <c r="H1" s="57"/>
      <c r="I1" s="57"/>
      <c r="J1" s="2"/>
      <c r="K1" s="2"/>
      <c r="L1" s="2"/>
      <c r="M1" s="2"/>
      <c r="N1" s="2"/>
      <c r="O1" s="2"/>
      <c r="P1" s="2"/>
      <c r="Q1" s="2"/>
      <c r="R1" s="2"/>
      <c r="S1" s="2"/>
      <c r="T1" s="2"/>
      <c r="U1" s="2"/>
      <c r="V1" s="2"/>
      <c r="W1" s="2"/>
      <c r="X1" s="2"/>
      <c r="Y1" s="2"/>
      <c r="Z1" s="2"/>
    </row>
    <row r="2" customHeight="1" spans="1:26">
      <c r="A2" s="58" t="s">
        <v>4151</v>
      </c>
      <c r="B2" s="49"/>
      <c r="C2" s="49"/>
      <c r="D2" s="59" t="s">
        <v>2</v>
      </c>
      <c r="E2" s="49"/>
      <c r="F2" s="49"/>
      <c r="G2" s="49"/>
      <c r="H2" s="57"/>
      <c r="I2" s="57"/>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161"/>
      <c r="I3" s="57"/>
      <c r="J3" s="2"/>
      <c r="K3" s="2"/>
      <c r="L3" s="2"/>
      <c r="M3" s="2"/>
      <c r="N3" s="2"/>
      <c r="O3" s="2"/>
      <c r="P3" s="2"/>
      <c r="Q3" s="2"/>
      <c r="R3" s="2"/>
      <c r="S3" s="2"/>
      <c r="T3" s="2"/>
      <c r="U3" s="2"/>
      <c r="V3" s="2"/>
      <c r="W3" s="2"/>
      <c r="X3" s="2"/>
      <c r="Y3" s="2"/>
      <c r="Z3" s="2"/>
    </row>
    <row r="4" customHeight="1" spans="1:26">
      <c r="A4" s="70" t="s">
        <v>10</v>
      </c>
      <c r="B4" s="63" t="s">
        <v>4152</v>
      </c>
      <c r="C4" s="63" t="s">
        <v>12</v>
      </c>
      <c r="D4" s="98"/>
      <c r="E4" s="98"/>
      <c r="F4" s="63" t="s">
        <v>4153</v>
      </c>
      <c r="G4" s="63" t="s">
        <v>4154</v>
      </c>
      <c r="H4" s="57"/>
      <c r="I4" s="57"/>
      <c r="J4" s="2"/>
      <c r="K4" s="2"/>
      <c r="L4" s="2"/>
      <c r="M4" s="2"/>
      <c r="N4" s="2"/>
      <c r="O4" s="2"/>
      <c r="P4" s="2"/>
      <c r="Q4" s="2"/>
      <c r="R4" s="2"/>
      <c r="S4" s="2"/>
      <c r="T4" s="2"/>
      <c r="U4" s="2"/>
      <c r="V4" s="2"/>
      <c r="W4" s="2"/>
      <c r="X4" s="2"/>
      <c r="Y4" s="2"/>
      <c r="Z4" s="2"/>
    </row>
    <row r="5" customHeight="1" spans="1:26">
      <c r="A5" s="52" t="s">
        <v>15</v>
      </c>
      <c r="B5" s="62" t="s">
        <v>16</v>
      </c>
      <c r="C5" s="13" t="s">
        <v>12</v>
      </c>
      <c r="D5" s="57"/>
      <c r="E5" s="57"/>
      <c r="F5" s="13" t="s">
        <v>17</v>
      </c>
      <c r="G5" s="13" t="s">
        <v>879</v>
      </c>
      <c r="H5" s="57"/>
      <c r="I5" s="57"/>
      <c r="J5" s="2"/>
      <c r="K5" s="2"/>
      <c r="L5" s="2"/>
      <c r="M5" s="2"/>
      <c r="N5" s="2"/>
      <c r="O5" s="2"/>
      <c r="P5" s="2"/>
      <c r="Q5" s="2"/>
      <c r="R5" s="2"/>
      <c r="S5" s="2"/>
      <c r="T5" s="2"/>
      <c r="U5" s="2"/>
      <c r="V5" s="2"/>
      <c r="W5" s="2"/>
      <c r="X5" s="2"/>
      <c r="Y5" s="2"/>
      <c r="Z5" s="2"/>
    </row>
    <row r="6" customHeight="1" spans="1:26">
      <c r="A6" s="63" t="s">
        <v>18</v>
      </c>
      <c r="B6" s="13" t="s">
        <v>4155</v>
      </c>
      <c r="C6" s="13" t="s">
        <v>20</v>
      </c>
      <c r="D6" s="14">
        <v>340</v>
      </c>
      <c r="E6" s="13" t="s">
        <v>21</v>
      </c>
      <c r="F6" s="13" t="s">
        <v>4156</v>
      </c>
      <c r="G6" s="13" t="s">
        <v>4157</v>
      </c>
      <c r="H6" s="57"/>
      <c r="I6" s="57"/>
      <c r="J6" s="2"/>
      <c r="K6" s="2"/>
      <c r="L6" s="2"/>
      <c r="M6" s="2"/>
      <c r="N6" s="2"/>
      <c r="O6" s="2"/>
      <c r="P6" s="2"/>
      <c r="Q6" s="2"/>
      <c r="R6" s="2"/>
      <c r="S6" s="2"/>
      <c r="T6" s="2"/>
      <c r="U6" s="2"/>
      <c r="V6" s="2"/>
      <c r="W6" s="2"/>
      <c r="X6" s="2"/>
      <c r="Y6" s="2"/>
      <c r="Z6" s="2"/>
    </row>
    <row r="7" customHeight="1" spans="1:26">
      <c r="A7" s="13" t="s">
        <v>24</v>
      </c>
      <c r="B7" s="13" t="s">
        <v>4158</v>
      </c>
      <c r="C7" s="13" t="s">
        <v>2512</v>
      </c>
      <c r="D7" s="14">
        <v>85</v>
      </c>
      <c r="E7" s="13" t="s">
        <v>21</v>
      </c>
      <c r="F7" s="13" t="s">
        <v>4159</v>
      </c>
      <c r="G7" s="13" t="s">
        <v>4160</v>
      </c>
      <c r="H7" s="57"/>
      <c r="I7" s="57"/>
      <c r="J7" s="2"/>
      <c r="K7" s="2"/>
      <c r="L7" s="2"/>
      <c r="M7" s="2"/>
      <c r="N7" s="2"/>
      <c r="O7" s="2"/>
      <c r="P7" s="2"/>
      <c r="Q7" s="2"/>
      <c r="R7" s="2"/>
      <c r="S7" s="2"/>
      <c r="T7" s="2"/>
      <c r="U7" s="2"/>
      <c r="V7" s="2"/>
      <c r="W7" s="2"/>
      <c r="X7" s="2"/>
      <c r="Y7" s="2"/>
      <c r="Z7" s="2"/>
    </row>
    <row r="8" customHeight="1" spans="1:26">
      <c r="A8" s="64" t="s">
        <v>29</v>
      </c>
      <c r="B8" s="13" t="s">
        <v>4161</v>
      </c>
      <c r="C8" s="13" t="s">
        <v>31</v>
      </c>
      <c r="D8" s="65">
        <v>30</v>
      </c>
      <c r="E8" s="13" t="s">
        <v>32</v>
      </c>
      <c r="F8" s="13" t="s">
        <v>4162</v>
      </c>
      <c r="G8" s="13" t="s">
        <v>4163</v>
      </c>
      <c r="H8" s="57"/>
      <c r="I8" s="57"/>
      <c r="J8" s="2"/>
      <c r="K8" s="2"/>
      <c r="L8" s="2"/>
      <c r="M8" s="2"/>
      <c r="N8" s="2"/>
      <c r="O8" s="2"/>
      <c r="P8" s="2"/>
      <c r="Q8" s="2"/>
      <c r="R8" s="2"/>
      <c r="S8" s="2"/>
      <c r="T8" s="2"/>
      <c r="U8" s="2"/>
      <c r="V8" s="2"/>
      <c r="W8" s="2"/>
      <c r="X8" s="2"/>
      <c r="Y8" s="2"/>
      <c r="Z8" s="2"/>
    </row>
    <row r="9" customHeight="1" spans="1:26">
      <c r="A9" s="64" t="s">
        <v>35</v>
      </c>
      <c r="B9" s="13" t="s">
        <v>484</v>
      </c>
      <c r="C9" s="13" t="s">
        <v>31</v>
      </c>
      <c r="D9" s="65">
        <v>30</v>
      </c>
      <c r="E9" s="13" t="s">
        <v>37</v>
      </c>
      <c r="F9" s="13" t="s">
        <v>4164</v>
      </c>
      <c r="G9" s="13" t="s">
        <v>4165</v>
      </c>
      <c r="H9" s="57"/>
      <c r="I9" s="57"/>
      <c r="J9" s="2"/>
      <c r="K9" s="2"/>
      <c r="L9" s="2"/>
      <c r="M9" s="2"/>
      <c r="N9" s="2"/>
      <c r="O9" s="2"/>
      <c r="P9" s="2"/>
      <c r="Q9" s="2"/>
      <c r="R9" s="2"/>
      <c r="S9" s="2"/>
      <c r="T9" s="2"/>
      <c r="U9" s="2"/>
      <c r="V9" s="2"/>
      <c r="W9" s="2"/>
      <c r="X9" s="2"/>
      <c r="Y9" s="2"/>
      <c r="Z9" s="2"/>
    </row>
    <row r="10" customHeight="1" spans="1:26">
      <c r="A10" s="64" t="s">
        <v>40</v>
      </c>
      <c r="B10" s="13" t="s">
        <v>4166</v>
      </c>
      <c r="C10" s="13" t="s">
        <v>4167</v>
      </c>
      <c r="D10" s="65">
        <v>106</v>
      </c>
      <c r="E10" s="13" t="s">
        <v>21</v>
      </c>
      <c r="F10" s="13" t="s">
        <v>4168</v>
      </c>
      <c r="G10" s="13" t="s">
        <v>4169</v>
      </c>
      <c r="H10" s="57"/>
      <c r="I10" s="57"/>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13" t="s">
        <v>4170</v>
      </c>
      <c r="H11" s="57"/>
      <c r="I11" s="57"/>
      <c r="J11" s="2"/>
      <c r="K11" s="2"/>
      <c r="L11" s="2"/>
      <c r="M11" s="2"/>
      <c r="N11" s="2"/>
      <c r="O11" s="2"/>
      <c r="P11" s="2"/>
      <c r="Q11" s="2"/>
      <c r="R11" s="2"/>
      <c r="S11" s="2"/>
      <c r="T11" s="2"/>
      <c r="U11" s="2"/>
      <c r="V11" s="2"/>
      <c r="W11" s="2"/>
      <c r="X11" s="2"/>
      <c r="Y11" s="2"/>
      <c r="Z11" s="2"/>
    </row>
    <row r="12" customHeight="1" spans="1:26">
      <c r="A12" s="13" t="s">
        <v>49</v>
      </c>
      <c r="B12" s="13" t="s">
        <v>4171</v>
      </c>
      <c r="C12" s="13" t="s">
        <v>896</v>
      </c>
      <c r="D12" s="57"/>
      <c r="E12" s="57"/>
      <c r="F12" s="13" t="s">
        <v>4172</v>
      </c>
      <c r="G12" s="13" t="s">
        <v>4173</v>
      </c>
      <c r="H12" s="57"/>
      <c r="I12" s="57"/>
      <c r="J12" s="2"/>
      <c r="K12" s="2"/>
      <c r="L12" s="2"/>
      <c r="M12" s="2"/>
      <c r="N12" s="2"/>
      <c r="O12" s="2"/>
      <c r="P12" s="2"/>
      <c r="Q12" s="2"/>
      <c r="R12" s="2"/>
      <c r="S12" s="2"/>
      <c r="T12" s="2"/>
      <c r="U12" s="2"/>
      <c r="V12" s="2"/>
      <c r="W12" s="2"/>
      <c r="X12" s="2"/>
      <c r="Y12" s="2"/>
      <c r="Z12" s="2"/>
    </row>
    <row r="13" customHeight="1" spans="1:26">
      <c r="A13" s="13" t="s">
        <v>54</v>
      </c>
      <c r="B13" s="13" t="s">
        <v>4174</v>
      </c>
      <c r="C13" s="13" t="s">
        <v>56</v>
      </c>
      <c r="D13" s="57"/>
      <c r="E13" s="57"/>
      <c r="F13" s="13" t="s">
        <v>4175</v>
      </c>
      <c r="G13" s="13" t="s">
        <v>4176</v>
      </c>
      <c r="H13" s="57"/>
      <c r="I13" s="57"/>
      <c r="J13" s="2"/>
      <c r="K13" s="2"/>
      <c r="L13" s="2"/>
      <c r="M13" s="2"/>
      <c r="N13" s="2"/>
      <c r="O13" s="2"/>
      <c r="P13" s="2"/>
      <c r="Q13" s="2"/>
      <c r="R13" s="2"/>
      <c r="S13" s="2"/>
      <c r="T13" s="2"/>
      <c r="U13" s="2"/>
      <c r="V13" s="2"/>
      <c r="W13" s="2"/>
      <c r="X13" s="2"/>
      <c r="Y13" s="2"/>
      <c r="Z13" s="2"/>
    </row>
    <row r="14" customHeight="1" spans="1:26">
      <c r="A14" s="64" t="s">
        <v>59</v>
      </c>
      <c r="B14" s="13" t="s">
        <v>4177</v>
      </c>
      <c r="C14" s="13" t="s">
        <v>61</v>
      </c>
      <c r="D14" s="65">
        <v>13</v>
      </c>
      <c r="E14" s="13" t="s">
        <v>37</v>
      </c>
      <c r="F14" s="13" t="s">
        <v>4178</v>
      </c>
      <c r="G14" s="13" t="s">
        <v>4179</v>
      </c>
      <c r="H14" s="57"/>
      <c r="I14" s="57"/>
      <c r="J14" s="2"/>
      <c r="K14" s="2"/>
      <c r="L14" s="2"/>
      <c r="M14" s="2"/>
      <c r="N14" s="2"/>
      <c r="O14" s="2"/>
      <c r="P14" s="2"/>
      <c r="Q14" s="2"/>
      <c r="R14" s="2"/>
      <c r="S14" s="2"/>
      <c r="T14" s="2"/>
      <c r="U14" s="2"/>
      <c r="V14" s="2"/>
      <c r="W14" s="2"/>
      <c r="X14" s="2"/>
      <c r="Y14" s="2"/>
      <c r="Z14" s="2"/>
    </row>
    <row r="15" customHeight="1" spans="1:26">
      <c r="A15" s="64" t="s">
        <v>64</v>
      </c>
      <c r="B15" s="13" t="s">
        <v>4180</v>
      </c>
      <c r="C15" s="13" t="s">
        <v>66</v>
      </c>
      <c r="D15" s="65">
        <v>13</v>
      </c>
      <c r="E15" s="13" t="s">
        <v>32</v>
      </c>
      <c r="F15" s="13" t="s">
        <v>4181</v>
      </c>
      <c r="G15" s="13" t="s">
        <v>4182</v>
      </c>
      <c r="H15" s="57"/>
      <c r="I15" s="57"/>
      <c r="J15" s="2"/>
      <c r="K15" s="2"/>
      <c r="L15" s="2"/>
      <c r="M15" s="2"/>
      <c r="N15" s="2"/>
      <c r="O15" s="2"/>
      <c r="P15" s="2"/>
      <c r="Q15" s="2"/>
      <c r="R15" s="2"/>
      <c r="S15" s="2"/>
      <c r="T15" s="2"/>
      <c r="U15" s="2"/>
      <c r="V15" s="2"/>
      <c r="W15" s="2"/>
      <c r="X15" s="2"/>
      <c r="Y15" s="2"/>
      <c r="Z15" s="2"/>
    </row>
    <row r="16" customHeight="1" spans="1:26">
      <c r="A16" s="64" t="s">
        <v>69</v>
      </c>
      <c r="B16" s="13" t="s">
        <v>4183</v>
      </c>
      <c r="C16" s="13" t="s">
        <v>66</v>
      </c>
      <c r="D16" s="65">
        <v>12</v>
      </c>
      <c r="E16" s="13" t="s">
        <v>71</v>
      </c>
      <c r="F16" s="13" t="s">
        <v>4184</v>
      </c>
      <c r="G16" s="13" t="s">
        <v>4185</v>
      </c>
      <c r="H16" s="57"/>
      <c r="I16" s="57"/>
      <c r="J16" s="2"/>
      <c r="K16" s="2"/>
      <c r="L16" s="2"/>
      <c r="M16" s="2"/>
      <c r="N16" s="2"/>
      <c r="O16" s="2"/>
      <c r="P16" s="2"/>
      <c r="Q16" s="2"/>
      <c r="R16" s="2"/>
      <c r="S16" s="2"/>
      <c r="T16" s="2"/>
      <c r="U16" s="2"/>
      <c r="V16" s="2"/>
      <c r="W16" s="2"/>
      <c r="X16" s="2"/>
      <c r="Y16" s="2"/>
      <c r="Z16" s="2"/>
    </row>
    <row r="17" customHeight="1" spans="1:26">
      <c r="A17" s="13" t="s">
        <v>74</v>
      </c>
      <c r="B17" s="13" t="s">
        <v>4186</v>
      </c>
      <c r="C17" s="13" t="s">
        <v>76</v>
      </c>
      <c r="D17" s="57"/>
      <c r="E17" s="57"/>
      <c r="F17" s="13" t="s">
        <v>4187</v>
      </c>
      <c r="G17" s="13" t="s">
        <v>4188</v>
      </c>
      <c r="H17" s="57"/>
      <c r="I17" s="57"/>
      <c r="J17" s="2"/>
      <c r="K17" s="2"/>
      <c r="L17" s="2"/>
      <c r="M17" s="2"/>
      <c r="N17" s="2"/>
      <c r="O17" s="2"/>
      <c r="P17" s="2"/>
      <c r="Q17" s="2"/>
      <c r="R17" s="2"/>
      <c r="S17" s="2"/>
      <c r="T17" s="2"/>
      <c r="U17" s="2"/>
      <c r="V17" s="2"/>
      <c r="W17" s="2"/>
      <c r="X17" s="2"/>
      <c r="Y17" s="2"/>
      <c r="Z17" s="2"/>
    </row>
    <row r="18" customHeight="1" spans="1:26">
      <c r="A18" s="64" t="s">
        <v>79</v>
      </c>
      <c r="B18" s="13" t="s">
        <v>4189</v>
      </c>
      <c r="C18" s="13" t="s">
        <v>915</v>
      </c>
      <c r="D18" s="65">
        <v>30</v>
      </c>
      <c r="E18" s="13" t="s">
        <v>37</v>
      </c>
      <c r="F18" s="13" t="s">
        <v>4190</v>
      </c>
      <c r="G18" s="13" t="s">
        <v>4191</v>
      </c>
      <c r="H18" s="57"/>
      <c r="I18" s="57"/>
      <c r="J18" s="2"/>
      <c r="K18" s="2"/>
      <c r="L18" s="2"/>
      <c r="M18" s="2"/>
      <c r="N18" s="2"/>
      <c r="O18" s="2"/>
      <c r="P18" s="2"/>
      <c r="Q18" s="2"/>
      <c r="R18" s="2"/>
      <c r="S18" s="2"/>
      <c r="T18" s="2"/>
      <c r="U18" s="2"/>
      <c r="V18" s="2"/>
      <c r="W18" s="2"/>
      <c r="X18" s="2"/>
      <c r="Y18" s="2"/>
      <c r="Z18" s="2"/>
    </row>
    <row r="19" customHeight="1" spans="1:26">
      <c r="A19" s="13" t="s">
        <v>84</v>
      </c>
      <c r="B19" s="13" t="s">
        <v>4192</v>
      </c>
      <c r="C19" s="13" t="s">
        <v>86</v>
      </c>
      <c r="D19" s="14">
        <v>134</v>
      </c>
      <c r="E19" s="13" t="s">
        <v>21</v>
      </c>
      <c r="F19" s="13" t="s">
        <v>4193</v>
      </c>
      <c r="G19" s="13" t="s">
        <v>4194</v>
      </c>
      <c r="H19" s="57"/>
      <c r="I19" s="57"/>
      <c r="J19" s="2"/>
      <c r="K19" s="2"/>
      <c r="L19" s="2"/>
      <c r="M19" s="2"/>
      <c r="N19" s="2"/>
      <c r="O19" s="2"/>
      <c r="P19" s="2"/>
      <c r="Q19" s="2"/>
      <c r="R19" s="2"/>
      <c r="S19" s="2"/>
      <c r="T19" s="2"/>
      <c r="U19" s="2"/>
      <c r="V19" s="2"/>
      <c r="W19" s="2"/>
      <c r="X19" s="2"/>
      <c r="Y19" s="2"/>
      <c r="Z19" s="2"/>
    </row>
    <row r="20" customHeight="1" spans="1:26">
      <c r="A20" s="13" t="s">
        <v>89</v>
      </c>
      <c r="B20" s="13" t="s">
        <v>4195</v>
      </c>
      <c r="C20" s="13" t="s">
        <v>91</v>
      </c>
      <c r="D20" s="57"/>
      <c r="E20" s="57"/>
      <c r="F20" s="13" t="s">
        <v>4196</v>
      </c>
      <c r="G20" s="13" t="s">
        <v>4197</v>
      </c>
      <c r="H20" s="57"/>
      <c r="I20" s="57"/>
      <c r="J20" s="2"/>
      <c r="K20" s="2"/>
      <c r="L20" s="2"/>
      <c r="M20" s="2"/>
      <c r="N20" s="2"/>
      <c r="O20" s="2"/>
      <c r="P20" s="2"/>
      <c r="Q20" s="2"/>
      <c r="R20" s="2"/>
      <c r="S20" s="2"/>
      <c r="T20" s="2"/>
      <c r="U20" s="2"/>
      <c r="V20" s="2"/>
      <c r="W20" s="2"/>
      <c r="X20" s="2"/>
      <c r="Y20" s="2"/>
      <c r="Z20" s="2"/>
    </row>
    <row r="21" customHeight="1" spans="1:26">
      <c r="A21" s="64" t="s">
        <v>94</v>
      </c>
      <c r="B21" s="13" t="s">
        <v>4198</v>
      </c>
      <c r="C21" s="13" t="s">
        <v>925</v>
      </c>
      <c r="D21" s="65">
        <v>60</v>
      </c>
      <c r="E21" s="13" t="s">
        <v>71</v>
      </c>
      <c r="F21" s="13" t="s">
        <v>4199</v>
      </c>
      <c r="G21" s="13" t="s">
        <v>4200</v>
      </c>
      <c r="H21" s="57"/>
      <c r="I21" s="57"/>
      <c r="J21" s="2"/>
      <c r="K21" s="2"/>
      <c r="L21" s="2"/>
      <c r="M21" s="2"/>
      <c r="N21" s="2"/>
      <c r="O21" s="2"/>
      <c r="P21" s="2"/>
      <c r="Q21" s="2"/>
      <c r="R21" s="2"/>
      <c r="S21" s="2"/>
      <c r="T21" s="2"/>
      <c r="U21" s="2"/>
      <c r="V21" s="2"/>
      <c r="W21" s="2"/>
      <c r="X21" s="2"/>
      <c r="Y21" s="2"/>
      <c r="Z21" s="2"/>
    </row>
    <row r="22" customHeight="1" spans="1:26">
      <c r="A22" s="64" t="s">
        <v>99</v>
      </c>
      <c r="B22" s="13" t="s">
        <v>928</v>
      </c>
      <c r="C22" s="13" t="s">
        <v>925</v>
      </c>
      <c r="D22" s="65">
        <v>70</v>
      </c>
      <c r="E22" s="13" t="s">
        <v>32</v>
      </c>
      <c r="F22" s="13" t="s">
        <v>929</v>
      </c>
      <c r="G22" s="13" t="s">
        <v>4201</v>
      </c>
      <c r="H22" s="57"/>
      <c r="I22" s="57"/>
      <c r="J22" s="2"/>
      <c r="K22" s="2"/>
      <c r="L22" s="2"/>
      <c r="M22" s="2"/>
      <c r="N22" s="2"/>
      <c r="O22" s="2"/>
      <c r="P22" s="2"/>
      <c r="Q22" s="2"/>
      <c r="R22" s="2"/>
      <c r="S22" s="2"/>
      <c r="T22" s="2"/>
      <c r="U22" s="2"/>
      <c r="V22" s="2"/>
      <c r="W22" s="2"/>
      <c r="X22" s="2"/>
      <c r="Y22" s="2"/>
      <c r="Z22" s="2"/>
    </row>
    <row r="23" customHeight="1" spans="1:26">
      <c r="A23" s="64" t="s">
        <v>102</v>
      </c>
      <c r="B23" s="13" t="s">
        <v>16</v>
      </c>
      <c r="C23" s="13" t="s">
        <v>108</v>
      </c>
      <c r="D23" s="65">
        <v>123</v>
      </c>
      <c r="E23" s="13" t="s">
        <v>21</v>
      </c>
      <c r="F23" s="13" t="s">
        <v>109</v>
      </c>
      <c r="G23" s="13" t="s">
        <v>4202</v>
      </c>
      <c r="H23" s="57"/>
      <c r="I23" s="57"/>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4203</v>
      </c>
      <c r="H24" s="57"/>
      <c r="I24" s="57"/>
      <c r="J24" s="2"/>
      <c r="K24" s="2"/>
      <c r="L24" s="2"/>
      <c r="M24" s="2"/>
      <c r="N24" s="2"/>
      <c r="O24" s="2"/>
      <c r="P24" s="2"/>
      <c r="Q24" s="2"/>
      <c r="R24" s="2"/>
      <c r="S24" s="2"/>
      <c r="T24" s="2"/>
      <c r="U24" s="2"/>
      <c r="V24" s="2"/>
      <c r="W24" s="2"/>
      <c r="X24" s="2"/>
      <c r="Y24" s="2"/>
      <c r="Z24" s="2"/>
    </row>
    <row r="25" customHeight="1" spans="1:26">
      <c r="A25" s="13" t="s">
        <v>110</v>
      </c>
      <c r="B25" s="13" t="s">
        <v>4204</v>
      </c>
      <c r="C25" s="13" t="s">
        <v>112</v>
      </c>
      <c r="D25" s="57"/>
      <c r="E25" s="57"/>
      <c r="F25" s="13" t="s">
        <v>4205</v>
      </c>
      <c r="G25" s="13" t="s">
        <v>4206</v>
      </c>
      <c r="H25" s="57"/>
      <c r="I25" s="57"/>
      <c r="J25" s="2"/>
      <c r="K25" s="2"/>
      <c r="L25" s="2"/>
      <c r="M25" s="2"/>
      <c r="N25" s="2"/>
      <c r="O25" s="2"/>
      <c r="P25" s="2"/>
      <c r="Q25" s="2"/>
      <c r="R25" s="2"/>
      <c r="S25" s="2"/>
      <c r="T25" s="2"/>
      <c r="U25" s="2"/>
      <c r="V25" s="2"/>
      <c r="W25" s="2"/>
      <c r="X25" s="2"/>
      <c r="Y25" s="2"/>
      <c r="Z25" s="2"/>
    </row>
    <row r="26" customHeight="1" spans="1:26">
      <c r="A26" s="13" t="s">
        <v>115</v>
      </c>
      <c r="B26" s="13" t="s">
        <v>4207</v>
      </c>
      <c r="C26" s="13" t="s">
        <v>117</v>
      </c>
      <c r="D26" s="65">
        <v>90</v>
      </c>
      <c r="E26" s="13" t="s">
        <v>32</v>
      </c>
      <c r="F26" s="13" t="s">
        <v>4208</v>
      </c>
      <c r="G26" s="13" t="s">
        <v>4209</v>
      </c>
      <c r="H26" s="57"/>
      <c r="I26" s="57"/>
      <c r="J26" s="2"/>
      <c r="K26" s="2"/>
      <c r="L26" s="2"/>
      <c r="M26" s="2"/>
      <c r="N26" s="2"/>
      <c r="O26" s="2"/>
      <c r="P26" s="2"/>
      <c r="Q26" s="2"/>
      <c r="R26" s="2"/>
      <c r="S26" s="2"/>
      <c r="T26" s="2"/>
      <c r="U26" s="2"/>
      <c r="V26" s="2"/>
      <c r="W26" s="2"/>
      <c r="X26" s="2"/>
      <c r="Y26" s="2"/>
      <c r="Z26" s="2"/>
    </row>
    <row r="27" customHeight="1" spans="1:26">
      <c r="A27" s="64" t="s">
        <v>120</v>
      </c>
      <c r="B27" s="13" t="s">
        <v>4210</v>
      </c>
      <c r="C27" s="13" t="s">
        <v>117</v>
      </c>
      <c r="D27" s="65">
        <v>60</v>
      </c>
      <c r="E27" s="13" t="s">
        <v>37</v>
      </c>
      <c r="F27" s="13" t="s">
        <v>4211</v>
      </c>
      <c r="G27" s="13" t="s">
        <v>4212</v>
      </c>
      <c r="H27" s="57"/>
      <c r="I27" s="57"/>
      <c r="J27" s="2"/>
      <c r="K27" s="2"/>
      <c r="L27" s="2"/>
      <c r="M27" s="2"/>
      <c r="N27" s="2"/>
      <c r="O27" s="2"/>
      <c r="P27" s="2"/>
      <c r="Q27" s="2"/>
      <c r="R27" s="2"/>
      <c r="S27" s="2"/>
      <c r="T27" s="2"/>
      <c r="U27" s="2"/>
      <c r="V27" s="2"/>
      <c r="W27" s="2"/>
      <c r="X27" s="2"/>
      <c r="Y27" s="2"/>
      <c r="Z27" s="2"/>
    </row>
    <row r="28" customHeight="1" spans="1:26">
      <c r="A28" s="13" t="s">
        <v>123</v>
      </c>
      <c r="B28" s="13" t="s">
        <v>942</v>
      </c>
      <c r="C28" s="13" t="s">
        <v>117</v>
      </c>
      <c r="D28" s="65">
        <v>80</v>
      </c>
      <c r="E28" s="13" t="s">
        <v>245</v>
      </c>
      <c r="F28" s="13" t="s">
        <v>943</v>
      </c>
      <c r="G28" s="13" t="s">
        <v>4211</v>
      </c>
      <c r="H28" s="57"/>
      <c r="I28" s="57"/>
      <c r="J28" s="2"/>
      <c r="K28" s="2"/>
      <c r="L28" s="2"/>
      <c r="M28" s="2"/>
      <c r="N28" s="2"/>
      <c r="O28" s="2"/>
      <c r="P28" s="2"/>
      <c r="Q28" s="2"/>
      <c r="R28" s="2"/>
      <c r="S28" s="2"/>
      <c r="T28" s="2"/>
      <c r="U28" s="2"/>
      <c r="V28" s="2"/>
      <c r="W28" s="2"/>
      <c r="X28" s="2"/>
      <c r="Y28" s="2"/>
      <c r="Z28" s="2"/>
    </row>
    <row r="29" customHeight="1" spans="1:26">
      <c r="A29" s="64" t="s">
        <v>127</v>
      </c>
      <c r="B29" s="13" t="s">
        <v>4213</v>
      </c>
      <c r="C29" s="13" t="s">
        <v>117</v>
      </c>
      <c r="D29" s="65">
        <v>50</v>
      </c>
      <c r="E29" s="13" t="s">
        <v>37</v>
      </c>
      <c r="F29" s="13" t="s">
        <v>4214</v>
      </c>
      <c r="G29" s="13" t="s">
        <v>4215</v>
      </c>
      <c r="H29" s="57"/>
      <c r="I29" s="57"/>
      <c r="J29" s="2"/>
      <c r="K29" s="2"/>
      <c r="L29" s="2"/>
      <c r="M29" s="2"/>
      <c r="N29" s="2"/>
      <c r="O29" s="2"/>
      <c r="P29" s="2"/>
      <c r="Q29" s="2"/>
      <c r="R29" s="2"/>
      <c r="S29" s="2"/>
      <c r="T29" s="2"/>
      <c r="U29" s="2"/>
      <c r="V29" s="2"/>
      <c r="W29" s="2"/>
      <c r="X29" s="2"/>
      <c r="Y29" s="2"/>
      <c r="Z29" s="2"/>
    </row>
    <row r="30" customHeight="1" spans="1:26">
      <c r="A30" s="64" t="s">
        <v>131</v>
      </c>
      <c r="B30" s="13" t="s">
        <v>4216</v>
      </c>
      <c r="C30" s="13" t="s">
        <v>117</v>
      </c>
      <c r="D30" s="65">
        <v>50</v>
      </c>
      <c r="E30" s="13" t="s">
        <v>32</v>
      </c>
      <c r="F30" s="13" t="s">
        <v>4217</v>
      </c>
      <c r="G30" s="13" t="s">
        <v>4218</v>
      </c>
      <c r="H30" s="57"/>
      <c r="I30" s="57"/>
      <c r="J30" s="2"/>
      <c r="K30" s="2"/>
      <c r="L30" s="2"/>
      <c r="M30" s="2"/>
      <c r="N30" s="2"/>
      <c r="O30" s="2"/>
      <c r="P30" s="2"/>
      <c r="Q30" s="2"/>
      <c r="R30" s="2"/>
      <c r="S30" s="2"/>
      <c r="T30" s="2"/>
      <c r="U30" s="2"/>
      <c r="V30" s="2"/>
      <c r="W30" s="2"/>
      <c r="X30" s="2"/>
      <c r="Y30" s="2"/>
      <c r="Z30" s="2"/>
    </row>
    <row r="31" customHeight="1" spans="1:26">
      <c r="A31" s="64" t="s">
        <v>135</v>
      </c>
      <c r="B31" s="13" t="s">
        <v>4219</v>
      </c>
      <c r="C31" s="13" t="s">
        <v>117</v>
      </c>
      <c r="D31" s="65">
        <v>30</v>
      </c>
      <c r="E31" s="13" t="s">
        <v>32</v>
      </c>
      <c r="F31" s="13" t="s">
        <v>4220</v>
      </c>
      <c r="G31" s="13" t="s">
        <v>4221</v>
      </c>
      <c r="H31" s="57"/>
      <c r="I31" s="57"/>
      <c r="J31" s="2"/>
      <c r="K31" s="2"/>
      <c r="L31" s="2"/>
      <c r="M31" s="2"/>
      <c r="N31" s="2"/>
      <c r="O31" s="2"/>
      <c r="P31" s="2"/>
      <c r="Q31" s="2"/>
      <c r="R31" s="2"/>
      <c r="S31" s="2"/>
      <c r="T31" s="2"/>
      <c r="U31" s="2"/>
      <c r="V31" s="2"/>
      <c r="W31" s="2"/>
      <c r="X31" s="2"/>
      <c r="Y31" s="2"/>
      <c r="Z31" s="2"/>
    </row>
    <row r="32" customHeight="1" spans="1:26">
      <c r="A32" s="13" t="s">
        <v>139</v>
      </c>
      <c r="B32" s="13" t="s">
        <v>4222</v>
      </c>
      <c r="C32" s="13" t="s">
        <v>141</v>
      </c>
      <c r="D32" s="14">
        <v>55</v>
      </c>
      <c r="E32" s="13" t="s">
        <v>37</v>
      </c>
      <c r="F32" s="13" t="s">
        <v>4223</v>
      </c>
      <c r="G32" s="13" t="s">
        <v>4224</v>
      </c>
      <c r="H32" s="57"/>
      <c r="I32" s="57"/>
      <c r="J32" s="2"/>
      <c r="K32" s="2"/>
      <c r="L32" s="2"/>
      <c r="M32" s="2"/>
      <c r="N32" s="2"/>
      <c r="O32" s="2"/>
      <c r="P32" s="2"/>
      <c r="Q32" s="2"/>
      <c r="R32" s="2"/>
      <c r="S32" s="2"/>
      <c r="T32" s="2"/>
      <c r="U32" s="2"/>
      <c r="V32" s="2"/>
      <c r="W32" s="2"/>
      <c r="X32" s="2"/>
      <c r="Y32" s="2"/>
      <c r="Z32" s="2"/>
    </row>
    <row r="33" customHeight="1" spans="1:26">
      <c r="A33" s="13" t="s">
        <v>144</v>
      </c>
      <c r="B33" s="13" t="s">
        <v>4225</v>
      </c>
      <c r="C33" s="13" t="s">
        <v>146</v>
      </c>
      <c r="D33" s="57"/>
      <c r="E33" s="57"/>
      <c r="F33" s="13" t="s">
        <v>4226</v>
      </c>
      <c r="G33" s="13" t="s">
        <v>4227</v>
      </c>
      <c r="H33" s="57"/>
      <c r="I33" s="57"/>
      <c r="J33" s="2"/>
      <c r="K33" s="2"/>
      <c r="L33" s="2"/>
      <c r="M33" s="2"/>
      <c r="N33" s="2"/>
      <c r="O33" s="2"/>
      <c r="P33" s="2"/>
      <c r="Q33" s="2"/>
      <c r="R33" s="2"/>
      <c r="S33" s="2"/>
      <c r="T33" s="2"/>
      <c r="U33" s="2"/>
      <c r="V33" s="2"/>
      <c r="W33" s="2"/>
      <c r="X33" s="2"/>
      <c r="Y33" s="2"/>
      <c r="Z33" s="2"/>
    </row>
    <row r="34" customHeight="1" spans="1:26">
      <c r="A34" s="13" t="s">
        <v>149</v>
      </c>
      <c r="B34" s="13" t="s">
        <v>4228</v>
      </c>
      <c r="C34" s="13" t="s">
        <v>151</v>
      </c>
      <c r="D34" s="57"/>
      <c r="E34" s="57"/>
      <c r="F34" s="13" t="s">
        <v>4229</v>
      </c>
      <c r="G34" s="13" t="s">
        <v>4230</v>
      </c>
      <c r="H34" s="57"/>
      <c r="I34" s="57"/>
      <c r="J34" s="2"/>
      <c r="K34" s="2"/>
      <c r="L34" s="2"/>
      <c r="M34" s="2"/>
      <c r="N34" s="2"/>
      <c r="O34" s="2"/>
      <c r="P34" s="2"/>
      <c r="Q34" s="2"/>
      <c r="R34" s="2"/>
      <c r="S34" s="2"/>
      <c r="T34" s="2"/>
      <c r="U34" s="2"/>
      <c r="V34" s="2"/>
      <c r="W34" s="2"/>
      <c r="X34" s="2"/>
      <c r="Y34" s="2"/>
      <c r="Z34" s="2"/>
    </row>
    <row r="35" customHeight="1" spans="1:26">
      <c r="A35" s="64" t="s">
        <v>154</v>
      </c>
      <c r="B35" s="13" t="s">
        <v>4231</v>
      </c>
      <c r="C35" s="13" t="s">
        <v>156</v>
      </c>
      <c r="D35" s="65">
        <v>30</v>
      </c>
      <c r="E35" s="13" t="s">
        <v>37</v>
      </c>
      <c r="F35" s="13" t="s">
        <v>4232</v>
      </c>
      <c r="G35" s="13" t="s">
        <v>4233</v>
      </c>
      <c r="H35" s="57"/>
      <c r="I35" s="57"/>
      <c r="J35" s="2"/>
      <c r="K35" s="2"/>
      <c r="L35" s="2"/>
      <c r="M35" s="2"/>
      <c r="N35" s="2"/>
      <c r="O35" s="2"/>
      <c r="P35" s="2"/>
      <c r="Q35" s="2"/>
      <c r="R35" s="2"/>
      <c r="S35" s="2"/>
      <c r="T35" s="2"/>
      <c r="U35" s="2"/>
      <c r="V35" s="2"/>
      <c r="W35" s="2"/>
      <c r="X35" s="2"/>
      <c r="Y35" s="2"/>
      <c r="Z35" s="2"/>
    </row>
    <row r="36" customHeight="1" spans="1:26">
      <c r="A36" s="13" t="s">
        <v>159</v>
      </c>
      <c r="B36" s="13" t="s">
        <v>4234</v>
      </c>
      <c r="C36" s="13" t="s">
        <v>161</v>
      </c>
      <c r="D36" s="57"/>
      <c r="E36" s="57"/>
      <c r="F36" s="13" t="s">
        <v>4235</v>
      </c>
      <c r="G36" s="13" t="s">
        <v>4236</v>
      </c>
      <c r="H36" s="57"/>
      <c r="I36" s="57"/>
      <c r="J36" s="2"/>
      <c r="K36" s="2"/>
      <c r="L36" s="2"/>
      <c r="M36" s="2"/>
      <c r="N36" s="2"/>
      <c r="O36" s="2"/>
      <c r="P36" s="2"/>
      <c r="Q36" s="2"/>
      <c r="R36" s="2"/>
      <c r="S36" s="2"/>
      <c r="T36" s="2"/>
      <c r="U36" s="2"/>
      <c r="V36" s="2"/>
      <c r="W36" s="2"/>
      <c r="X36" s="2"/>
      <c r="Y36" s="2"/>
      <c r="Z36" s="2"/>
    </row>
    <row r="37" customHeight="1" spans="1:26">
      <c r="A37" s="13" t="s">
        <v>164</v>
      </c>
      <c r="B37" s="13" t="s">
        <v>4237</v>
      </c>
      <c r="C37" s="13" t="s">
        <v>166</v>
      </c>
      <c r="D37" s="57"/>
      <c r="E37" s="57"/>
      <c r="F37" s="13" t="s">
        <v>4238</v>
      </c>
      <c r="G37" s="13" t="s">
        <v>4239</v>
      </c>
      <c r="H37" s="57"/>
      <c r="I37" s="57"/>
      <c r="J37" s="2"/>
      <c r="K37" s="2"/>
      <c r="L37" s="2"/>
      <c r="M37" s="2"/>
      <c r="N37" s="2"/>
      <c r="O37" s="2"/>
      <c r="P37" s="2"/>
      <c r="Q37" s="2"/>
      <c r="R37" s="2"/>
      <c r="S37" s="2"/>
      <c r="T37" s="2"/>
      <c r="U37" s="2"/>
      <c r="V37" s="2"/>
      <c r="W37" s="2"/>
      <c r="X37" s="2"/>
      <c r="Y37" s="2"/>
      <c r="Z37" s="2"/>
    </row>
    <row r="38" customHeight="1" spans="1:26">
      <c r="A38" s="64" t="s">
        <v>169</v>
      </c>
      <c r="B38" s="13" t="s">
        <v>4240</v>
      </c>
      <c r="C38" s="13" t="s">
        <v>171</v>
      </c>
      <c r="D38" s="65">
        <v>46</v>
      </c>
      <c r="E38" s="13" t="s">
        <v>37</v>
      </c>
      <c r="F38" s="13" t="s">
        <v>4241</v>
      </c>
      <c r="G38" s="13" t="s">
        <v>4242</v>
      </c>
      <c r="H38" s="57"/>
      <c r="I38" s="57"/>
      <c r="J38" s="2"/>
      <c r="K38" s="2"/>
      <c r="L38" s="2"/>
      <c r="M38" s="2"/>
      <c r="N38" s="2"/>
      <c r="O38" s="2"/>
      <c r="P38" s="2"/>
      <c r="Q38" s="2"/>
      <c r="R38" s="2"/>
      <c r="S38" s="2"/>
      <c r="T38" s="2"/>
      <c r="U38" s="2"/>
      <c r="V38" s="2"/>
      <c r="W38" s="2"/>
      <c r="X38" s="2"/>
      <c r="Y38" s="2"/>
      <c r="Z38" s="2"/>
    </row>
    <row r="39" customHeight="1" spans="1:26">
      <c r="A39" s="64" t="s">
        <v>174</v>
      </c>
      <c r="B39" s="13" t="s">
        <v>4243</v>
      </c>
      <c r="C39" s="13" t="s">
        <v>171</v>
      </c>
      <c r="D39" s="65">
        <v>30</v>
      </c>
      <c r="E39" s="13" t="s">
        <v>37</v>
      </c>
      <c r="F39" s="13" t="s">
        <v>4244</v>
      </c>
      <c r="G39" s="13" t="s">
        <v>4245</v>
      </c>
      <c r="H39" s="57"/>
      <c r="I39" s="57"/>
      <c r="J39" s="2"/>
      <c r="K39" s="2"/>
      <c r="L39" s="2"/>
      <c r="M39" s="2"/>
      <c r="N39" s="2"/>
      <c r="O39" s="2"/>
      <c r="P39" s="2"/>
      <c r="Q39" s="2"/>
      <c r="R39" s="2"/>
      <c r="S39" s="2"/>
      <c r="T39" s="2"/>
      <c r="U39" s="2"/>
      <c r="V39" s="2"/>
      <c r="W39" s="2"/>
      <c r="X39" s="2"/>
      <c r="Y39" s="2"/>
      <c r="Z39" s="2"/>
    </row>
    <row r="40" customHeight="1" spans="1:26">
      <c r="A40" s="64" t="s">
        <v>178</v>
      </c>
      <c r="B40" s="13" t="s">
        <v>4246</v>
      </c>
      <c r="C40" s="13" t="s">
        <v>4247</v>
      </c>
      <c r="D40" s="65">
        <v>45</v>
      </c>
      <c r="E40" s="13" t="s">
        <v>37</v>
      </c>
      <c r="F40" s="13" t="s">
        <v>4248</v>
      </c>
      <c r="G40" s="13" t="s">
        <v>4249</v>
      </c>
      <c r="H40" s="57"/>
      <c r="I40" s="57"/>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57"/>
      <c r="I41" s="57"/>
      <c r="J41" s="2"/>
      <c r="K41" s="2"/>
      <c r="L41" s="2"/>
      <c r="M41" s="2"/>
      <c r="N41" s="2"/>
      <c r="O41" s="2"/>
      <c r="P41" s="2"/>
      <c r="Q41" s="2"/>
      <c r="R41" s="2"/>
      <c r="S41" s="2"/>
      <c r="T41" s="2"/>
      <c r="U41" s="2"/>
      <c r="V41" s="2"/>
      <c r="W41" s="2"/>
      <c r="X41" s="2"/>
      <c r="Y41" s="2"/>
      <c r="Z41" s="2"/>
    </row>
    <row r="42" customHeight="1" spans="1:26">
      <c r="A42" s="64" t="s">
        <v>188</v>
      </c>
      <c r="B42" s="13" t="s">
        <v>189</v>
      </c>
      <c r="C42" s="13" t="s">
        <v>190</v>
      </c>
      <c r="D42" s="65">
        <v>650</v>
      </c>
      <c r="E42" s="13" t="s">
        <v>37</v>
      </c>
      <c r="F42" s="13" t="s">
        <v>191</v>
      </c>
      <c r="G42" s="13" t="s">
        <v>4250</v>
      </c>
      <c r="H42" s="57"/>
      <c r="I42" s="57"/>
      <c r="J42" s="2"/>
      <c r="K42" s="2"/>
      <c r="L42" s="2"/>
      <c r="M42" s="2"/>
      <c r="N42" s="2"/>
      <c r="O42" s="2"/>
      <c r="P42" s="2"/>
      <c r="Q42" s="2"/>
      <c r="R42" s="2"/>
      <c r="S42" s="2"/>
      <c r="T42" s="2"/>
      <c r="U42" s="2"/>
      <c r="V42" s="2"/>
      <c r="W42" s="2"/>
      <c r="X42" s="2"/>
      <c r="Y42" s="2"/>
      <c r="Z42" s="2"/>
    </row>
    <row r="43" customHeight="1" spans="1:26">
      <c r="A43" s="13" t="s">
        <v>193</v>
      </c>
      <c r="B43" s="13" t="s">
        <v>4251</v>
      </c>
      <c r="C43" s="13" t="s">
        <v>195</v>
      </c>
      <c r="D43" s="57"/>
      <c r="E43" s="57"/>
      <c r="F43" s="13" t="s">
        <v>4252</v>
      </c>
      <c r="G43" s="13" t="s">
        <v>4253</v>
      </c>
      <c r="H43" s="57"/>
      <c r="I43" s="57"/>
      <c r="J43" s="2"/>
      <c r="K43" s="2"/>
      <c r="L43" s="2"/>
      <c r="M43" s="2"/>
      <c r="N43" s="2"/>
      <c r="O43" s="2"/>
      <c r="P43" s="2"/>
      <c r="Q43" s="2"/>
      <c r="R43" s="2"/>
      <c r="S43" s="2"/>
      <c r="T43" s="2"/>
      <c r="U43" s="2"/>
      <c r="V43" s="2"/>
      <c r="W43" s="2"/>
      <c r="X43" s="2"/>
      <c r="Y43" s="2"/>
      <c r="Z43" s="2"/>
    </row>
    <row r="44" customHeight="1" spans="1:26">
      <c r="A44" s="64" t="s">
        <v>198</v>
      </c>
      <c r="B44" s="13" t="s">
        <v>4254</v>
      </c>
      <c r="C44" s="13" t="s">
        <v>200</v>
      </c>
      <c r="D44" s="65">
        <v>30</v>
      </c>
      <c r="E44" s="13" t="s">
        <v>21</v>
      </c>
      <c r="F44" s="13" t="s">
        <v>4255</v>
      </c>
      <c r="G44" s="13" t="s">
        <v>4256</v>
      </c>
      <c r="H44" s="57"/>
      <c r="I44" s="57"/>
      <c r="J44" s="2"/>
      <c r="K44" s="2"/>
      <c r="L44" s="2"/>
      <c r="M44" s="2"/>
      <c r="N44" s="2"/>
      <c r="O44" s="2"/>
      <c r="P44" s="2"/>
      <c r="Q44" s="2"/>
      <c r="R44" s="2"/>
      <c r="S44" s="2"/>
      <c r="T44" s="2"/>
      <c r="U44" s="2"/>
      <c r="V44" s="2"/>
      <c r="W44" s="2"/>
      <c r="X44" s="2"/>
      <c r="Y44" s="2"/>
      <c r="Z44" s="2"/>
    </row>
    <row r="45" customHeight="1" spans="1:26">
      <c r="A45" s="13" t="s">
        <v>203</v>
      </c>
      <c r="B45" s="13" t="s">
        <v>4257</v>
      </c>
      <c r="C45" s="13" t="s">
        <v>200</v>
      </c>
      <c r="D45" s="14">
        <v>80</v>
      </c>
      <c r="E45" s="13" t="s">
        <v>21</v>
      </c>
      <c r="F45" s="13" t="s">
        <v>4258</v>
      </c>
      <c r="G45" s="13" t="s">
        <v>4259</v>
      </c>
      <c r="H45" s="57"/>
      <c r="I45" s="57"/>
      <c r="J45" s="2"/>
      <c r="K45" s="2"/>
      <c r="L45" s="2"/>
      <c r="M45" s="2"/>
      <c r="N45" s="2"/>
      <c r="O45" s="2"/>
      <c r="P45" s="2"/>
      <c r="Q45" s="2"/>
      <c r="R45" s="2"/>
      <c r="S45" s="2"/>
      <c r="T45" s="2"/>
      <c r="U45" s="2"/>
      <c r="V45" s="2"/>
      <c r="W45" s="2"/>
      <c r="X45" s="2"/>
      <c r="Y45" s="2"/>
      <c r="Z45" s="2"/>
    </row>
    <row r="46" customHeight="1" spans="1:26">
      <c r="A46" s="64" t="s">
        <v>207</v>
      </c>
      <c r="B46" s="13" t="s">
        <v>4260</v>
      </c>
      <c r="C46" s="13" t="s">
        <v>209</v>
      </c>
      <c r="D46" s="65">
        <v>5</v>
      </c>
      <c r="E46" s="13" t="s">
        <v>37</v>
      </c>
      <c r="F46" s="13" t="s">
        <v>4261</v>
      </c>
      <c r="G46" s="13" t="s">
        <v>4262</v>
      </c>
      <c r="H46" s="57"/>
      <c r="I46" s="57"/>
      <c r="J46" s="2"/>
      <c r="K46" s="2"/>
      <c r="L46" s="2"/>
      <c r="M46" s="2"/>
      <c r="N46" s="2"/>
      <c r="O46" s="2"/>
      <c r="P46" s="2"/>
      <c r="Q46" s="2"/>
      <c r="R46" s="2"/>
      <c r="S46" s="2"/>
      <c r="T46" s="2"/>
      <c r="U46" s="2"/>
      <c r="V46" s="2"/>
      <c r="W46" s="2"/>
      <c r="X46" s="2"/>
      <c r="Y46" s="2"/>
      <c r="Z46" s="2"/>
    </row>
    <row r="47" customHeight="1" spans="1:26">
      <c r="A47" s="13" t="s">
        <v>212</v>
      </c>
      <c r="B47" s="13" t="s">
        <v>4263</v>
      </c>
      <c r="C47" s="13" t="s">
        <v>214</v>
      </c>
      <c r="D47" s="14">
        <v>20</v>
      </c>
      <c r="E47" s="13" t="s">
        <v>37</v>
      </c>
      <c r="F47" s="13" t="s">
        <v>4264</v>
      </c>
      <c r="G47" s="13" t="s">
        <v>4265</v>
      </c>
      <c r="H47" s="57"/>
      <c r="I47" s="57"/>
      <c r="J47" s="2"/>
      <c r="K47" s="2"/>
      <c r="L47" s="2"/>
      <c r="M47" s="2"/>
      <c r="N47" s="2"/>
      <c r="O47" s="2"/>
      <c r="P47" s="2"/>
      <c r="Q47" s="2"/>
      <c r="R47" s="2"/>
      <c r="S47" s="2"/>
      <c r="T47" s="2"/>
      <c r="U47" s="2"/>
      <c r="V47" s="2"/>
      <c r="W47" s="2"/>
      <c r="X47" s="2"/>
      <c r="Y47" s="2"/>
      <c r="Z47" s="2"/>
    </row>
    <row r="48" customHeight="1" spans="1:26">
      <c r="A48" s="13" t="s">
        <v>217</v>
      </c>
      <c r="B48" s="13" t="s">
        <v>4266</v>
      </c>
      <c r="C48" s="13" t="s">
        <v>219</v>
      </c>
      <c r="D48" s="57"/>
      <c r="E48" s="57"/>
      <c r="F48" s="13" t="s">
        <v>4267</v>
      </c>
      <c r="G48" s="13" t="s">
        <v>4268</v>
      </c>
      <c r="H48" s="57"/>
      <c r="I48" s="57"/>
      <c r="J48" s="2"/>
      <c r="K48" s="2"/>
      <c r="L48" s="2"/>
      <c r="M48" s="2"/>
      <c r="N48" s="2"/>
      <c r="O48" s="2"/>
      <c r="P48" s="2"/>
      <c r="Q48" s="2"/>
      <c r="R48" s="2"/>
      <c r="S48" s="2"/>
      <c r="T48" s="2"/>
      <c r="U48" s="2"/>
      <c r="V48" s="2"/>
      <c r="W48" s="2"/>
      <c r="X48" s="2"/>
      <c r="Y48" s="2"/>
      <c r="Z48" s="2"/>
    </row>
    <row r="49" customHeight="1" spans="1:26">
      <c r="A49" s="13" t="s">
        <v>222</v>
      </c>
      <c r="B49" s="13" t="s">
        <v>4269</v>
      </c>
      <c r="C49" s="13" t="s">
        <v>1000</v>
      </c>
      <c r="D49" s="14">
        <v>96</v>
      </c>
      <c r="E49" s="13" t="s">
        <v>21</v>
      </c>
      <c r="F49" s="13" t="s">
        <v>4270</v>
      </c>
      <c r="G49" s="13" t="s">
        <v>4271</v>
      </c>
      <c r="H49" s="57"/>
      <c r="I49" s="57"/>
      <c r="J49" s="2"/>
      <c r="K49" s="2"/>
      <c r="L49" s="2"/>
      <c r="M49" s="2"/>
      <c r="N49" s="2"/>
      <c r="O49" s="2"/>
      <c r="P49" s="2"/>
      <c r="Q49" s="2"/>
      <c r="R49" s="2"/>
      <c r="S49" s="2"/>
      <c r="T49" s="2"/>
      <c r="U49" s="2"/>
      <c r="V49" s="2"/>
      <c r="W49" s="2"/>
      <c r="X49" s="2"/>
      <c r="Y49" s="2"/>
      <c r="Z49" s="2"/>
    </row>
    <row r="50" customHeight="1" spans="1:26">
      <c r="A50" s="13" t="s">
        <v>227</v>
      </c>
      <c r="B50" s="13" t="s">
        <v>4272</v>
      </c>
      <c r="C50" s="13" t="s">
        <v>1004</v>
      </c>
      <c r="D50" s="14">
        <v>66</v>
      </c>
      <c r="E50" s="13" t="s">
        <v>21</v>
      </c>
      <c r="F50" s="13" t="s">
        <v>4273</v>
      </c>
      <c r="G50" s="13" t="s">
        <v>4274</v>
      </c>
      <c r="H50" s="57"/>
      <c r="I50" s="57"/>
      <c r="J50" s="2"/>
      <c r="K50" s="2"/>
      <c r="L50" s="2"/>
      <c r="M50" s="2"/>
      <c r="N50" s="2"/>
      <c r="O50" s="2"/>
      <c r="P50" s="2"/>
      <c r="Q50" s="2"/>
      <c r="R50" s="2"/>
      <c r="S50" s="2"/>
      <c r="T50" s="2"/>
      <c r="U50" s="2"/>
      <c r="V50" s="2"/>
      <c r="W50" s="2"/>
      <c r="X50" s="2"/>
      <c r="Y50" s="2"/>
      <c r="Z50" s="2"/>
    </row>
    <row r="51" customHeight="1" spans="1:26">
      <c r="A51" s="13" t="s">
        <v>231</v>
      </c>
      <c r="B51" s="13" t="s">
        <v>4275</v>
      </c>
      <c r="C51" s="13" t="s">
        <v>1008</v>
      </c>
      <c r="D51" s="14">
        <v>156</v>
      </c>
      <c r="E51" s="13" t="s">
        <v>21</v>
      </c>
      <c r="F51" s="13" t="s">
        <v>4276</v>
      </c>
      <c r="G51" s="13" t="s">
        <v>4277</v>
      </c>
      <c r="H51" s="65"/>
      <c r="I51" s="65"/>
      <c r="J51" s="2"/>
      <c r="K51" s="2"/>
      <c r="L51" s="2"/>
      <c r="M51" s="2"/>
      <c r="N51" s="2"/>
      <c r="O51" s="2"/>
      <c r="P51" s="2"/>
      <c r="Q51" s="2"/>
      <c r="R51" s="2"/>
      <c r="S51" s="2"/>
      <c r="T51" s="2"/>
      <c r="U51" s="2"/>
      <c r="V51" s="2"/>
      <c r="W51" s="2"/>
      <c r="X51" s="2"/>
      <c r="Y51" s="2"/>
      <c r="Z51" s="2"/>
    </row>
    <row r="52" customHeight="1" spans="1:26">
      <c r="A52" s="64" t="s">
        <v>234</v>
      </c>
      <c r="B52" s="13" t="s">
        <v>4278</v>
      </c>
      <c r="C52" s="13" t="s">
        <v>236</v>
      </c>
      <c r="D52" s="65">
        <v>30</v>
      </c>
      <c r="E52" s="13" t="s">
        <v>37</v>
      </c>
      <c r="F52" s="13" t="s">
        <v>4279</v>
      </c>
      <c r="G52" s="13" t="s">
        <v>4280</v>
      </c>
      <c r="H52" s="57"/>
      <c r="I52" s="57"/>
      <c r="J52" s="2"/>
      <c r="K52" s="2"/>
      <c r="L52" s="2"/>
      <c r="M52" s="2"/>
      <c r="N52" s="2"/>
      <c r="O52" s="2"/>
      <c r="P52" s="2"/>
      <c r="Q52" s="2"/>
      <c r="R52" s="2"/>
      <c r="S52" s="2"/>
      <c r="T52" s="2"/>
      <c r="U52" s="2"/>
      <c r="V52" s="2"/>
      <c r="W52" s="2"/>
      <c r="X52" s="2"/>
      <c r="Y52" s="2"/>
      <c r="Z52" s="2"/>
    </row>
    <row r="53" customHeight="1" spans="1:26">
      <c r="A53" s="13" t="s">
        <v>239</v>
      </c>
      <c r="B53" s="13" t="s">
        <v>4281</v>
      </c>
      <c r="C53" s="13" t="s">
        <v>236</v>
      </c>
      <c r="D53" s="14">
        <v>230</v>
      </c>
      <c r="E53" s="13" t="s">
        <v>21</v>
      </c>
      <c r="F53" s="13" t="s">
        <v>4282</v>
      </c>
      <c r="G53" s="13" t="s">
        <v>4283</v>
      </c>
      <c r="H53" s="57"/>
      <c r="I53" s="57"/>
      <c r="J53" s="2"/>
      <c r="K53" s="2"/>
      <c r="L53" s="2"/>
      <c r="M53" s="2"/>
      <c r="N53" s="2"/>
      <c r="O53" s="2"/>
      <c r="P53" s="2"/>
      <c r="Q53" s="2"/>
      <c r="R53" s="2"/>
      <c r="S53" s="2"/>
      <c r="T53" s="2"/>
      <c r="U53" s="2"/>
      <c r="V53" s="2"/>
      <c r="W53" s="2"/>
      <c r="X53" s="2"/>
      <c r="Y53" s="2"/>
      <c r="Z53" s="2"/>
    </row>
    <row r="54" customHeight="1" spans="1:26">
      <c r="A54" s="13" t="s">
        <v>243</v>
      </c>
      <c r="B54" s="13" t="s">
        <v>4284</v>
      </c>
      <c r="C54" s="13" t="s">
        <v>236</v>
      </c>
      <c r="D54" s="14">
        <v>100</v>
      </c>
      <c r="E54" s="13" t="s">
        <v>245</v>
      </c>
      <c r="F54" s="13" t="s">
        <v>4285</v>
      </c>
      <c r="G54" s="13" t="s">
        <v>4286</v>
      </c>
      <c r="H54" s="57"/>
      <c r="I54" s="57"/>
      <c r="J54" s="2"/>
      <c r="K54" s="2"/>
      <c r="L54" s="2"/>
      <c r="M54" s="2"/>
      <c r="N54" s="2"/>
      <c r="O54" s="2"/>
      <c r="P54" s="2"/>
      <c r="Q54" s="2"/>
      <c r="R54" s="2"/>
      <c r="S54" s="2"/>
      <c r="T54" s="2"/>
      <c r="U54" s="2"/>
      <c r="V54" s="2"/>
      <c r="W54" s="2"/>
      <c r="X54" s="2"/>
      <c r="Y54" s="2"/>
      <c r="Z54" s="2"/>
    </row>
    <row r="55" customHeight="1" spans="1:26">
      <c r="A55" s="13" t="s">
        <v>248</v>
      </c>
      <c r="B55" s="13" t="s">
        <v>4287</v>
      </c>
      <c r="C55" s="13" t="s">
        <v>236</v>
      </c>
      <c r="D55" s="14">
        <v>100</v>
      </c>
      <c r="E55" s="13" t="s">
        <v>245</v>
      </c>
      <c r="F55" s="13" t="s">
        <v>4288</v>
      </c>
      <c r="G55" s="13" t="s">
        <v>4289</v>
      </c>
      <c r="H55" s="57"/>
      <c r="I55" s="57"/>
      <c r="J55" s="2"/>
      <c r="K55" s="2"/>
      <c r="L55" s="2"/>
      <c r="M55" s="2"/>
      <c r="N55" s="2"/>
      <c r="O55" s="2"/>
      <c r="P55" s="2"/>
      <c r="Q55" s="2"/>
      <c r="R55" s="2"/>
      <c r="S55" s="2"/>
      <c r="T55" s="2"/>
      <c r="U55" s="2"/>
      <c r="V55" s="2"/>
      <c r="W55" s="2"/>
      <c r="X55" s="2"/>
      <c r="Y55" s="2"/>
      <c r="Z55" s="2"/>
    </row>
    <row r="56" customHeight="1" spans="1:26">
      <c r="A56" s="64" t="s">
        <v>252</v>
      </c>
      <c r="B56" s="13" t="s">
        <v>4290</v>
      </c>
      <c r="C56" s="13" t="s">
        <v>236</v>
      </c>
      <c r="D56" s="65">
        <v>35</v>
      </c>
      <c r="E56" s="13" t="s">
        <v>37</v>
      </c>
      <c r="F56" s="13" t="s">
        <v>4291</v>
      </c>
      <c r="G56" s="13" t="s">
        <v>4292</v>
      </c>
      <c r="H56" s="57"/>
      <c r="I56" s="57"/>
      <c r="J56" s="2"/>
      <c r="K56" s="2"/>
      <c r="L56" s="2"/>
      <c r="M56" s="2"/>
      <c r="N56" s="2"/>
      <c r="O56" s="2"/>
      <c r="P56" s="2"/>
      <c r="Q56" s="2"/>
      <c r="R56" s="2"/>
      <c r="S56" s="2"/>
      <c r="T56" s="2"/>
      <c r="U56" s="2"/>
      <c r="V56" s="2"/>
      <c r="W56" s="2"/>
      <c r="X56" s="2"/>
      <c r="Y56" s="2"/>
      <c r="Z56" s="2"/>
    </row>
    <row r="57" customHeight="1" spans="1:26">
      <c r="A57" s="64" t="s">
        <v>256</v>
      </c>
      <c r="B57" s="13" t="s">
        <v>4293</v>
      </c>
      <c r="C57" s="13" t="s">
        <v>236</v>
      </c>
      <c r="D57" s="65">
        <v>40</v>
      </c>
      <c r="E57" s="13" t="s">
        <v>37</v>
      </c>
      <c r="F57" s="13" t="s">
        <v>4294</v>
      </c>
      <c r="G57" s="13" t="s">
        <v>4295</v>
      </c>
      <c r="H57" s="57"/>
      <c r="I57" s="57"/>
      <c r="J57" s="2"/>
      <c r="K57" s="2"/>
      <c r="L57" s="2"/>
      <c r="M57" s="2"/>
      <c r="N57" s="2"/>
      <c r="O57" s="2"/>
      <c r="P57" s="2"/>
      <c r="Q57" s="2"/>
      <c r="R57" s="2"/>
      <c r="S57" s="2"/>
      <c r="T57" s="2"/>
      <c r="U57" s="2"/>
      <c r="V57" s="2"/>
      <c r="W57" s="2"/>
      <c r="X57" s="2"/>
      <c r="Y57" s="2"/>
      <c r="Z57" s="2"/>
    </row>
    <row r="58" customHeight="1" spans="1:26">
      <c r="A58" s="64" t="s">
        <v>260</v>
      </c>
      <c r="B58" s="13" t="s">
        <v>261</v>
      </c>
      <c r="C58" s="13" t="s">
        <v>236</v>
      </c>
      <c r="D58" s="65">
        <v>8</v>
      </c>
      <c r="E58" s="13" t="s">
        <v>262</v>
      </c>
      <c r="F58" s="13" t="s">
        <v>263</v>
      </c>
      <c r="G58" s="13" t="s">
        <v>4296</v>
      </c>
      <c r="H58" s="57"/>
      <c r="I58" s="57"/>
      <c r="J58" s="2"/>
      <c r="K58" s="2"/>
      <c r="L58" s="2"/>
      <c r="M58" s="2"/>
      <c r="N58" s="2"/>
      <c r="O58" s="2"/>
      <c r="P58" s="2"/>
      <c r="Q58" s="2"/>
      <c r="R58" s="2"/>
      <c r="S58" s="2"/>
      <c r="T58" s="2"/>
      <c r="U58" s="2"/>
      <c r="V58" s="2"/>
      <c r="W58" s="2"/>
      <c r="X58" s="2"/>
      <c r="Y58" s="2"/>
      <c r="Z58" s="2"/>
    </row>
    <row r="59" customHeight="1" spans="1:26">
      <c r="A59" s="64" t="s">
        <v>265</v>
      </c>
      <c r="B59" s="13" t="s">
        <v>4297</v>
      </c>
      <c r="C59" s="13" t="s">
        <v>236</v>
      </c>
      <c r="D59" s="65">
        <v>30</v>
      </c>
      <c r="E59" s="13" t="s">
        <v>37</v>
      </c>
      <c r="F59" s="13" t="s">
        <v>4298</v>
      </c>
      <c r="G59" s="13" t="s">
        <v>4299</v>
      </c>
      <c r="H59" s="57"/>
      <c r="I59" s="57"/>
      <c r="J59" s="2"/>
      <c r="K59" s="2"/>
      <c r="L59" s="2"/>
      <c r="M59" s="2"/>
      <c r="N59" s="2"/>
      <c r="O59" s="2"/>
      <c r="P59" s="2"/>
      <c r="Q59" s="2"/>
      <c r="R59" s="2"/>
      <c r="S59" s="2"/>
      <c r="T59" s="2"/>
      <c r="U59" s="2"/>
      <c r="V59" s="2"/>
      <c r="W59" s="2"/>
      <c r="X59" s="2"/>
      <c r="Y59" s="2"/>
      <c r="Z59" s="2"/>
    </row>
    <row r="60" customHeight="1" spans="1:26">
      <c r="A60" s="64" t="s">
        <v>269</v>
      </c>
      <c r="B60" s="13" t="s">
        <v>4300</v>
      </c>
      <c r="C60" s="13" t="s">
        <v>236</v>
      </c>
      <c r="D60" s="65">
        <v>35</v>
      </c>
      <c r="E60" s="13" t="s">
        <v>37</v>
      </c>
      <c r="F60" s="13" t="s">
        <v>4301</v>
      </c>
      <c r="G60" s="13" t="s">
        <v>4302</v>
      </c>
      <c r="H60" s="57"/>
      <c r="I60" s="57"/>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4303</v>
      </c>
      <c r="H61" s="57"/>
      <c r="I61" s="57"/>
      <c r="J61" s="2"/>
      <c r="K61" s="2"/>
      <c r="L61" s="2"/>
      <c r="M61" s="2"/>
      <c r="N61" s="2"/>
      <c r="O61" s="2"/>
      <c r="P61" s="2"/>
      <c r="Q61" s="2"/>
      <c r="R61" s="2"/>
      <c r="S61" s="2"/>
      <c r="T61" s="2"/>
      <c r="U61" s="2"/>
      <c r="V61" s="2"/>
      <c r="W61" s="2"/>
      <c r="X61" s="2"/>
      <c r="Y61" s="2"/>
      <c r="Z61" s="2"/>
    </row>
    <row r="62" customHeight="1" spans="1:26">
      <c r="A62" s="64" t="s">
        <v>277</v>
      </c>
      <c r="B62" s="13" t="s">
        <v>4304</v>
      </c>
      <c r="C62" s="13" t="s">
        <v>236</v>
      </c>
      <c r="D62" s="65">
        <v>37</v>
      </c>
      <c r="E62" s="13" t="s">
        <v>37</v>
      </c>
      <c r="F62" s="13" t="s">
        <v>4305</v>
      </c>
      <c r="G62" s="13" t="s">
        <v>4306</v>
      </c>
      <c r="H62" s="57"/>
      <c r="I62" s="57"/>
      <c r="J62" s="2"/>
      <c r="K62" s="2"/>
      <c r="L62" s="2"/>
      <c r="M62" s="2"/>
      <c r="N62" s="2"/>
      <c r="O62" s="2"/>
      <c r="P62" s="2"/>
      <c r="Q62" s="2"/>
      <c r="R62" s="2"/>
      <c r="S62" s="2"/>
      <c r="T62" s="2"/>
      <c r="U62" s="2"/>
      <c r="V62" s="2"/>
      <c r="W62" s="2"/>
      <c r="X62" s="2"/>
      <c r="Y62" s="2"/>
      <c r="Z62" s="2"/>
    </row>
    <row r="63" customHeight="1" spans="1:26">
      <c r="A63" s="64" t="s">
        <v>281</v>
      </c>
      <c r="B63" s="13" t="s">
        <v>4307</v>
      </c>
      <c r="C63" s="13" t="s">
        <v>236</v>
      </c>
      <c r="D63" s="65">
        <v>40</v>
      </c>
      <c r="E63" s="13" t="s">
        <v>37</v>
      </c>
      <c r="F63" s="13" t="s">
        <v>4308</v>
      </c>
      <c r="G63" s="13" t="s">
        <v>4309</v>
      </c>
      <c r="H63" s="57"/>
      <c r="I63" s="57"/>
      <c r="J63" s="2"/>
      <c r="K63" s="2"/>
      <c r="L63" s="2"/>
      <c r="M63" s="2"/>
      <c r="N63" s="2"/>
      <c r="O63" s="2"/>
      <c r="P63" s="2"/>
      <c r="Q63" s="2"/>
      <c r="R63" s="2"/>
      <c r="S63" s="2"/>
      <c r="T63" s="2"/>
      <c r="U63" s="2"/>
      <c r="V63" s="2"/>
      <c r="W63" s="2"/>
      <c r="X63" s="2"/>
      <c r="Y63" s="2"/>
      <c r="Z63" s="2"/>
    </row>
    <row r="64" customHeight="1" spans="1:26">
      <c r="A64" s="13" t="s">
        <v>285</v>
      </c>
      <c r="B64" s="13" t="s">
        <v>4189</v>
      </c>
      <c r="C64" s="13" t="s">
        <v>286</v>
      </c>
      <c r="D64" s="14">
        <v>35</v>
      </c>
      <c r="E64" s="13" t="s">
        <v>37</v>
      </c>
      <c r="F64" s="13" t="s">
        <v>4310</v>
      </c>
      <c r="G64" s="13" t="s">
        <v>4311</v>
      </c>
      <c r="H64" s="57"/>
      <c r="I64" s="57"/>
      <c r="J64" s="2"/>
      <c r="K64" s="2"/>
      <c r="L64" s="2"/>
      <c r="M64" s="2"/>
      <c r="N64" s="2"/>
      <c r="O64" s="2"/>
      <c r="P64" s="2"/>
      <c r="Q64" s="2"/>
      <c r="R64" s="2"/>
      <c r="S64" s="2"/>
      <c r="T64" s="2"/>
      <c r="U64" s="2"/>
      <c r="V64" s="2"/>
      <c r="W64" s="2"/>
      <c r="X64" s="2"/>
      <c r="Y64" s="2"/>
      <c r="Z64" s="2"/>
    </row>
    <row r="65" customHeight="1" spans="1:26">
      <c r="A65" s="64" t="s">
        <v>288</v>
      </c>
      <c r="B65" s="13" t="s">
        <v>4312</v>
      </c>
      <c r="C65" s="13" t="s">
        <v>290</v>
      </c>
      <c r="D65" s="65">
        <v>300</v>
      </c>
      <c r="E65" s="13" t="s">
        <v>37</v>
      </c>
      <c r="F65" s="13" t="s">
        <v>4313</v>
      </c>
      <c r="G65" s="13" t="s">
        <v>4314</v>
      </c>
      <c r="H65" s="57"/>
      <c r="I65" s="57"/>
      <c r="J65" s="2"/>
      <c r="K65" s="2"/>
      <c r="L65" s="2"/>
      <c r="M65" s="2"/>
      <c r="N65" s="2"/>
      <c r="O65" s="2"/>
      <c r="P65" s="2"/>
      <c r="Q65" s="2"/>
      <c r="R65" s="2"/>
      <c r="S65" s="2"/>
      <c r="T65" s="2"/>
      <c r="U65" s="2"/>
      <c r="V65" s="2"/>
      <c r="W65" s="2"/>
      <c r="X65" s="2"/>
      <c r="Y65" s="2"/>
      <c r="Z65" s="2"/>
    </row>
    <row r="66" customHeight="1" spans="1:26">
      <c r="A66" s="64" t="s">
        <v>293</v>
      </c>
      <c r="B66" s="13" t="s">
        <v>4315</v>
      </c>
      <c r="C66" s="13" t="s">
        <v>290</v>
      </c>
      <c r="D66" s="65">
        <v>35</v>
      </c>
      <c r="E66" s="13" t="s">
        <v>37</v>
      </c>
      <c r="F66" s="13" t="s">
        <v>1801</v>
      </c>
      <c r="G66" s="13" t="s">
        <v>4316</v>
      </c>
      <c r="H66" s="57"/>
      <c r="I66" s="57"/>
      <c r="J66" s="2"/>
      <c r="K66" s="2"/>
      <c r="L66" s="2"/>
      <c r="M66" s="2"/>
      <c r="N66" s="2"/>
      <c r="O66" s="2"/>
      <c r="P66" s="2"/>
      <c r="Q66" s="2"/>
      <c r="R66" s="2"/>
      <c r="S66" s="2"/>
      <c r="T66" s="2"/>
      <c r="U66" s="2"/>
      <c r="V66" s="2"/>
      <c r="W66" s="2"/>
      <c r="X66" s="2"/>
      <c r="Y66" s="2"/>
      <c r="Z66" s="2"/>
    </row>
    <row r="67" customHeight="1" spans="1:26">
      <c r="A67" s="13" t="s">
        <v>297</v>
      </c>
      <c r="B67" s="13" t="s">
        <v>4317</v>
      </c>
      <c r="C67" s="13" t="s">
        <v>1807</v>
      </c>
      <c r="D67" s="14">
        <v>1000</v>
      </c>
      <c r="E67" s="13" t="s">
        <v>37</v>
      </c>
      <c r="F67" s="13" t="s">
        <v>4318</v>
      </c>
      <c r="G67" s="13" t="s">
        <v>4319</v>
      </c>
      <c r="H67" s="57"/>
      <c r="I67" s="57"/>
      <c r="J67" s="2"/>
      <c r="K67" s="2"/>
      <c r="L67" s="2"/>
      <c r="M67" s="2"/>
      <c r="N67" s="2"/>
      <c r="O67" s="2"/>
      <c r="P67" s="2"/>
      <c r="Q67" s="2"/>
      <c r="R67" s="2"/>
      <c r="S67" s="2"/>
      <c r="T67" s="2"/>
      <c r="U67" s="2"/>
      <c r="V67" s="2"/>
      <c r="W67" s="2"/>
      <c r="X67" s="2"/>
      <c r="Y67" s="2"/>
      <c r="Z67" s="2"/>
    </row>
    <row r="68" customHeight="1" spans="1:26">
      <c r="A68" s="13" t="s">
        <v>302</v>
      </c>
      <c r="B68" s="13" t="s">
        <v>303</v>
      </c>
      <c r="C68" s="13" t="s">
        <v>304</v>
      </c>
      <c r="D68" s="57"/>
      <c r="E68" s="57"/>
      <c r="F68" s="13" t="s">
        <v>305</v>
      </c>
      <c r="G68" s="13" t="s">
        <v>306</v>
      </c>
      <c r="H68" s="57"/>
      <c r="I68" s="57"/>
      <c r="J68" s="2"/>
      <c r="K68" s="2"/>
      <c r="L68" s="2"/>
      <c r="M68" s="2"/>
      <c r="N68" s="2"/>
      <c r="O68" s="2"/>
      <c r="P68" s="2"/>
      <c r="Q68" s="2"/>
      <c r="R68" s="2"/>
      <c r="S68" s="2"/>
      <c r="T68" s="2"/>
      <c r="U68" s="2"/>
      <c r="V68" s="2"/>
      <c r="W68" s="2"/>
      <c r="X68" s="2"/>
      <c r="Y68" s="2"/>
      <c r="Z68" s="2"/>
    </row>
    <row r="69" customHeight="1" spans="1:26">
      <c r="A69" s="13" t="s">
        <v>307</v>
      </c>
      <c r="B69" s="13" t="s">
        <v>4320</v>
      </c>
      <c r="C69" s="13" t="s">
        <v>309</v>
      </c>
      <c r="D69" s="14">
        <v>45</v>
      </c>
      <c r="E69" s="13" t="s">
        <v>310</v>
      </c>
      <c r="F69" s="13" t="s">
        <v>4321</v>
      </c>
      <c r="G69" s="13" t="s">
        <v>4322</v>
      </c>
      <c r="H69" s="57"/>
      <c r="I69" s="57"/>
      <c r="J69" s="2"/>
      <c r="K69" s="2"/>
      <c r="L69" s="2"/>
      <c r="M69" s="2"/>
      <c r="N69" s="2"/>
      <c r="O69" s="2"/>
      <c r="P69" s="2"/>
      <c r="Q69" s="2"/>
      <c r="R69" s="2"/>
      <c r="S69" s="2"/>
      <c r="T69" s="2"/>
      <c r="U69" s="2"/>
      <c r="V69" s="2"/>
      <c r="W69" s="2"/>
      <c r="X69" s="2"/>
      <c r="Y69" s="2"/>
      <c r="Z69" s="2"/>
    </row>
    <row r="70" customHeight="1" spans="1:26">
      <c r="A70" s="13" t="s">
        <v>317</v>
      </c>
      <c r="B70" s="13" t="s">
        <v>4323</v>
      </c>
      <c r="C70" s="13" t="s">
        <v>319</v>
      </c>
      <c r="D70" s="65">
        <v>400</v>
      </c>
      <c r="E70" s="13" t="s">
        <v>245</v>
      </c>
      <c r="F70" s="13" t="s">
        <v>4324</v>
      </c>
      <c r="G70" s="13" t="s">
        <v>4325</v>
      </c>
      <c r="H70" s="57"/>
      <c r="I70" s="57"/>
      <c r="J70" s="2"/>
      <c r="K70" s="2"/>
      <c r="L70" s="2"/>
      <c r="M70" s="2"/>
      <c r="N70" s="2"/>
      <c r="O70" s="2"/>
      <c r="P70" s="2"/>
      <c r="Q70" s="2"/>
      <c r="R70" s="2"/>
      <c r="S70" s="2"/>
      <c r="T70" s="2"/>
      <c r="U70" s="2"/>
      <c r="V70" s="2"/>
      <c r="W70" s="2"/>
      <c r="X70" s="2"/>
      <c r="Y70" s="2"/>
      <c r="Z70" s="2"/>
    </row>
    <row r="71" customHeight="1" spans="1:26">
      <c r="A71" s="64" t="s">
        <v>321</v>
      </c>
      <c r="B71" s="13" t="s">
        <v>4326</v>
      </c>
      <c r="C71" s="13" t="s">
        <v>1058</v>
      </c>
      <c r="D71" s="65">
        <v>13</v>
      </c>
      <c r="E71" s="13" t="s">
        <v>262</v>
      </c>
      <c r="F71" s="13" t="s">
        <v>4327</v>
      </c>
      <c r="G71" s="13" t="s">
        <v>4328</v>
      </c>
      <c r="H71" s="57"/>
      <c r="I71" s="57"/>
      <c r="J71" s="2"/>
      <c r="K71" s="2"/>
      <c r="L71" s="2"/>
      <c r="M71" s="2"/>
      <c r="N71" s="2"/>
      <c r="O71" s="2"/>
      <c r="P71" s="2"/>
      <c r="Q71" s="2"/>
      <c r="R71" s="2"/>
      <c r="S71" s="2"/>
      <c r="T71" s="2"/>
      <c r="U71" s="2"/>
      <c r="V71" s="2"/>
      <c r="W71" s="2"/>
      <c r="X71" s="2"/>
      <c r="Y71" s="2"/>
      <c r="Z71" s="2"/>
    </row>
    <row r="72" customHeight="1" spans="1:26">
      <c r="A72" s="13" t="s">
        <v>325</v>
      </c>
      <c r="B72" s="13" t="s">
        <v>4329</v>
      </c>
      <c r="C72" s="13" t="s">
        <v>327</v>
      </c>
      <c r="D72" s="14">
        <v>25</v>
      </c>
      <c r="E72" s="13" t="s">
        <v>310</v>
      </c>
      <c r="F72" s="13" t="s">
        <v>4330</v>
      </c>
      <c r="G72" s="13" t="s">
        <v>4331</v>
      </c>
      <c r="H72" s="57"/>
      <c r="I72" s="57"/>
      <c r="J72" s="2"/>
      <c r="K72" s="2"/>
      <c r="L72" s="2"/>
      <c r="M72" s="2"/>
      <c r="N72" s="2"/>
      <c r="O72" s="2"/>
      <c r="P72" s="2"/>
      <c r="Q72" s="2"/>
      <c r="R72" s="2"/>
      <c r="S72" s="2"/>
      <c r="T72" s="2"/>
      <c r="U72" s="2"/>
      <c r="V72" s="2"/>
      <c r="W72" s="2"/>
      <c r="X72" s="2"/>
      <c r="Y72" s="2"/>
      <c r="Z72" s="2"/>
    </row>
    <row r="73" customHeight="1" spans="1:26">
      <c r="A73" s="64" t="s">
        <v>330</v>
      </c>
      <c r="B73" s="13" t="s">
        <v>4332</v>
      </c>
      <c r="C73" s="13" t="s">
        <v>315</v>
      </c>
      <c r="D73" s="65">
        <v>50</v>
      </c>
      <c r="E73" s="13" t="s">
        <v>37</v>
      </c>
      <c r="F73" s="13" t="s">
        <v>4333</v>
      </c>
      <c r="G73" s="13" t="s">
        <v>4334</v>
      </c>
      <c r="H73" s="57"/>
      <c r="I73" s="57"/>
      <c r="J73" s="2"/>
      <c r="K73" s="2"/>
      <c r="L73" s="2"/>
      <c r="M73" s="2"/>
      <c r="N73" s="2"/>
      <c r="O73" s="2"/>
      <c r="P73" s="2"/>
      <c r="Q73" s="2"/>
      <c r="R73" s="2"/>
      <c r="S73" s="2"/>
      <c r="T73" s="2"/>
      <c r="U73" s="2"/>
      <c r="V73" s="2"/>
      <c r="W73" s="2"/>
      <c r="X73" s="2"/>
      <c r="Y73" s="2"/>
      <c r="Z73" s="2"/>
    </row>
    <row r="74" customHeight="1" spans="1:26">
      <c r="A74" s="64" t="s">
        <v>334</v>
      </c>
      <c r="B74" s="13" t="s">
        <v>4335</v>
      </c>
      <c r="C74" s="13" t="s">
        <v>315</v>
      </c>
      <c r="D74" s="65">
        <v>50</v>
      </c>
      <c r="E74" s="13" t="s">
        <v>37</v>
      </c>
      <c r="F74" s="13" t="s">
        <v>4336</v>
      </c>
      <c r="G74" s="74" t="s">
        <v>4337</v>
      </c>
      <c r="H74" s="57"/>
      <c r="I74" s="57"/>
      <c r="J74" s="2"/>
      <c r="K74" s="2"/>
      <c r="L74" s="2"/>
      <c r="M74" s="2"/>
      <c r="N74" s="2"/>
      <c r="O74" s="2"/>
      <c r="P74" s="2"/>
      <c r="Q74" s="2"/>
      <c r="R74" s="2"/>
      <c r="S74" s="2"/>
      <c r="T74" s="2"/>
      <c r="U74" s="2"/>
      <c r="V74" s="2"/>
      <c r="W74" s="2"/>
      <c r="X74" s="2"/>
      <c r="Y74" s="2"/>
      <c r="Z74" s="2"/>
    </row>
    <row r="75" customHeight="1" spans="1:26">
      <c r="A75" s="64" t="s">
        <v>338</v>
      </c>
      <c r="B75" s="13" t="s">
        <v>872</v>
      </c>
      <c r="C75" s="13" t="s">
        <v>315</v>
      </c>
      <c r="D75" s="65">
        <v>125</v>
      </c>
      <c r="E75" s="13" t="s">
        <v>262</v>
      </c>
      <c r="F75" s="13" t="s">
        <v>4338</v>
      </c>
      <c r="G75" s="13" t="s">
        <v>4338</v>
      </c>
      <c r="H75" s="57"/>
      <c r="I75" s="57"/>
      <c r="J75" s="2"/>
      <c r="K75" s="2"/>
      <c r="L75" s="2"/>
      <c r="M75" s="2"/>
      <c r="N75" s="2"/>
      <c r="O75" s="2"/>
      <c r="P75" s="2"/>
      <c r="Q75" s="2"/>
      <c r="R75" s="2"/>
      <c r="S75" s="2"/>
      <c r="T75" s="2"/>
      <c r="U75" s="2"/>
      <c r="V75" s="2"/>
      <c r="W75" s="2"/>
      <c r="X75" s="2"/>
      <c r="Y75" s="2"/>
      <c r="Z75" s="2"/>
    </row>
    <row r="76" customHeight="1" spans="1:26">
      <c r="A76" s="64" t="s">
        <v>342</v>
      </c>
      <c r="B76" s="13" t="s">
        <v>4339</v>
      </c>
      <c r="C76" s="13" t="s">
        <v>315</v>
      </c>
      <c r="D76" s="65">
        <v>45</v>
      </c>
      <c r="E76" s="13" t="s">
        <v>262</v>
      </c>
      <c r="F76" s="13" t="s">
        <v>4340</v>
      </c>
      <c r="G76" s="13" t="s">
        <v>4341</v>
      </c>
      <c r="H76" s="57"/>
      <c r="I76" s="57"/>
      <c r="J76" s="2"/>
      <c r="K76" s="2"/>
      <c r="L76" s="2"/>
      <c r="M76" s="2"/>
      <c r="N76" s="2"/>
      <c r="O76" s="2"/>
      <c r="P76" s="2"/>
      <c r="Q76" s="2"/>
      <c r="R76" s="2"/>
      <c r="S76" s="2"/>
      <c r="T76" s="2"/>
      <c r="U76" s="2"/>
      <c r="V76" s="2"/>
      <c r="W76" s="2"/>
      <c r="X76" s="2"/>
      <c r="Y76" s="2"/>
      <c r="Z76" s="2"/>
    </row>
    <row r="77" customHeight="1" spans="1:26">
      <c r="A77" s="64" t="s">
        <v>346</v>
      </c>
      <c r="B77" s="13" t="s">
        <v>347</v>
      </c>
      <c r="C77" s="13" t="s">
        <v>315</v>
      </c>
      <c r="D77" s="65">
        <v>55</v>
      </c>
      <c r="E77" s="13" t="s">
        <v>37</v>
      </c>
      <c r="F77" s="13" t="s">
        <v>348</v>
      </c>
      <c r="G77" s="74" t="s">
        <v>4342</v>
      </c>
      <c r="H77" s="57"/>
      <c r="I77" s="57"/>
      <c r="J77" s="2"/>
      <c r="K77" s="2"/>
      <c r="L77" s="2"/>
      <c r="M77" s="2"/>
      <c r="N77" s="2"/>
      <c r="O77" s="2"/>
      <c r="P77" s="2"/>
      <c r="Q77" s="2"/>
      <c r="R77" s="2"/>
      <c r="S77" s="2"/>
      <c r="T77" s="2"/>
      <c r="U77" s="2"/>
      <c r="V77" s="2"/>
      <c r="W77" s="2"/>
      <c r="X77" s="2"/>
      <c r="Y77" s="2"/>
      <c r="Z77" s="2"/>
    </row>
    <row r="78" customHeight="1" spans="1:26">
      <c r="A78" s="64" t="s">
        <v>350</v>
      </c>
      <c r="B78" s="13" t="s">
        <v>351</v>
      </c>
      <c r="C78" s="13" t="s">
        <v>315</v>
      </c>
      <c r="D78" s="65">
        <v>20</v>
      </c>
      <c r="E78" s="13" t="s">
        <v>262</v>
      </c>
      <c r="F78" s="13" t="s">
        <v>352</v>
      </c>
      <c r="G78" s="13" t="s">
        <v>4343</v>
      </c>
      <c r="H78" s="57"/>
      <c r="I78" s="57"/>
      <c r="J78" s="2"/>
      <c r="K78" s="2"/>
      <c r="L78" s="2"/>
      <c r="M78" s="2"/>
      <c r="N78" s="2"/>
      <c r="O78" s="2"/>
      <c r="P78" s="2"/>
      <c r="Q78" s="2"/>
      <c r="R78" s="2"/>
      <c r="S78" s="2"/>
      <c r="T78" s="2"/>
      <c r="U78" s="2"/>
      <c r="V78" s="2"/>
      <c r="W78" s="2"/>
      <c r="X78" s="2"/>
      <c r="Y78" s="2"/>
      <c r="Z78" s="2"/>
    </row>
    <row r="79" customHeight="1" spans="1:26">
      <c r="A79" s="13" t="s">
        <v>354</v>
      </c>
      <c r="B79" s="13" t="s">
        <v>355</v>
      </c>
      <c r="C79" s="13" t="s">
        <v>356</v>
      </c>
      <c r="D79" s="65">
        <v>123</v>
      </c>
      <c r="E79" s="13" t="s">
        <v>310</v>
      </c>
      <c r="F79" s="13" t="s">
        <v>357</v>
      </c>
      <c r="G79" s="13" t="s">
        <v>4344</v>
      </c>
      <c r="H79" s="57"/>
      <c r="I79" s="57"/>
      <c r="J79" s="2"/>
      <c r="K79" s="2"/>
      <c r="L79" s="2"/>
      <c r="M79" s="2"/>
      <c r="N79" s="2"/>
      <c r="O79" s="2"/>
      <c r="P79" s="2"/>
      <c r="Q79" s="2"/>
      <c r="R79" s="2"/>
      <c r="S79" s="2"/>
      <c r="T79" s="2"/>
      <c r="U79" s="2"/>
      <c r="V79" s="2"/>
      <c r="W79" s="2"/>
      <c r="X79" s="2"/>
      <c r="Y79" s="2"/>
      <c r="Z79" s="2"/>
    </row>
    <row r="80" customHeight="1" spans="1:26">
      <c r="A80" s="13" t="s">
        <v>359</v>
      </c>
      <c r="B80" s="13" t="s">
        <v>1077</v>
      </c>
      <c r="C80" s="13" t="s">
        <v>361</v>
      </c>
      <c r="D80" s="65">
        <v>55</v>
      </c>
      <c r="E80" s="13" t="s">
        <v>310</v>
      </c>
      <c r="F80" s="13" t="s">
        <v>1078</v>
      </c>
      <c r="G80" s="13" t="s">
        <v>1079</v>
      </c>
      <c r="H80" s="57"/>
      <c r="I80" s="57"/>
      <c r="J80" s="2"/>
      <c r="K80" s="2"/>
      <c r="L80" s="2"/>
      <c r="M80" s="2"/>
      <c r="N80" s="2"/>
      <c r="O80" s="2"/>
      <c r="P80" s="2"/>
      <c r="Q80" s="2"/>
      <c r="R80" s="2"/>
      <c r="S80" s="2"/>
      <c r="T80" s="2"/>
      <c r="U80" s="2"/>
      <c r="V80" s="2"/>
      <c r="W80" s="2"/>
      <c r="X80" s="2"/>
      <c r="Y80" s="2"/>
      <c r="Z80" s="2"/>
    </row>
    <row r="81" customHeight="1" spans="1:26">
      <c r="A81" s="64" t="s">
        <v>364</v>
      </c>
      <c r="B81" s="13" t="s">
        <v>365</v>
      </c>
      <c r="C81" s="13" t="s">
        <v>366</v>
      </c>
      <c r="D81" s="65">
        <v>35</v>
      </c>
      <c r="E81" s="13" t="s">
        <v>262</v>
      </c>
      <c r="F81" s="13" t="s">
        <v>367</v>
      </c>
      <c r="G81" s="68" t="str">
        <f>HYPERLINK("http://www.ebay.at/","http://www.ebay.at")</f>
        <v>http://www.ebay.at</v>
      </c>
      <c r="H81" s="57"/>
      <c r="I81" s="57"/>
      <c r="J81" s="2"/>
      <c r="K81" s="2"/>
      <c r="L81" s="2"/>
      <c r="M81" s="2"/>
      <c r="N81" s="2"/>
      <c r="O81" s="2"/>
      <c r="P81" s="2"/>
      <c r="Q81" s="2"/>
      <c r="R81" s="2"/>
      <c r="S81" s="2"/>
      <c r="T81" s="2"/>
      <c r="U81" s="2"/>
      <c r="V81" s="2"/>
      <c r="W81" s="2"/>
      <c r="X81" s="2"/>
      <c r="Y81" s="2"/>
      <c r="Z81" s="2"/>
    </row>
    <row r="82" customHeight="1" spans="1:26">
      <c r="A82" s="64" t="s">
        <v>368</v>
      </c>
      <c r="B82" s="13" t="s">
        <v>369</v>
      </c>
      <c r="C82" s="13" t="s">
        <v>366</v>
      </c>
      <c r="D82" s="65">
        <v>30</v>
      </c>
      <c r="E82" s="13" t="s">
        <v>262</v>
      </c>
      <c r="F82" s="13" t="s">
        <v>370</v>
      </c>
      <c r="G82" s="13" t="s">
        <v>4345</v>
      </c>
      <c r="H82" s="57"/>
      <c r="I82" s="57"/>
      <c r="J82" s="2"/>
      <c r="K82" s="2"/>
      <c r="L82" s="2"/>
      <c r="M82" s="2"/>
      <c r="N82" s="2"/>
      <c r="O82" s="2"/>
      <c r="P82" s="2"/>
      <c r="Q82" s="2"/>
      <c r="R82" s="2"/>
      <c r="S82" s="2"/>
      <c r="T82" s="2"/>
      <c r="U82" s="2"/>
      <c r="V82" s="2"/>
      <c r="W82" s="2"/>
      <c r="X82" s="2"/>
      <c r="Y82" s="2"/>
      <c r="Z82" s="2"/>
    </row>
    <row r="83" customHeight="1" spans="1:26">
      <c r="A83" s="64" t="s">
        <v>371</v>
      </c>
      <c r="B83" s="13" t="s">
        <v>4346</v>
      </c>
      <c r="C83" s="13" t="s">
        <v>373</v>
      </c>
      <c r="D83" s="65">
        <v>35</v>
      </c>
      <c r="E83" s="13" t="s">
        <v>37</v>
      </c>
      <c r="F83" s="13" t="s">
        <v>4347</v>
      </c>
      <c r="G83" s="13" t="s">
        <v>4348</v>
      </c>
      <c r="H83" s="57"/>
      <c r="I83" s="57"/>
      <c r="J83" s="2"/>
      <c r="K83" s="2"/>
      <c r="L83" s="2"/>
      <c r="M83" s="2"/>
      <c r="N83" s="2"/>
      <c r="O83" s="2"/>
      <c r="P83" s="2"/>
      <c r="Q83" s="2"/>
      <c r="R83" s="2"/>
      <c r="S83" s="2"/>
      <c r="T83" s="2"/>
      <c r="U83" s="2"/>
      <c r="V83" s="2"/>
      <c r="W83" s="2"/>
      <c r="X83" s="2"/>
      <c r="Y83" s="2"/>
      <c r="Z83" s="2"/>
    </row>
    <row r="84" customHeight="1" spans="1:26">
      <c r="A84" s="64" t="s">
        <v>375</v>
      </c>
      <c r="B84" s="13" t="s">
        <v>4349</v>
      </c>
      <c r="C84" s="13" t="s">
        <v>373</v>
      </c>
      <c r="D84" s="65">
        <v>90</v>
      </c>
      <c r="E84" s="13" t="s">
        <v>37</v>
      </c>
      <c r="F84" s="13" t="s">
        <v>4350</v>
      </c>
      <c r="G84" s="13" t="s">
        <v>4351</v>
      </c>
      <c r="H84" s="57"/>
      <c r="I84" s="57"/>
      <c r="J84" s="2"/>
      <c r="K84" s="2"/>
      <c r="L84" s="2"/>
      <c r="M84" s="2"/>
      <c r="N84" s="2"/>
      <c r="O84" s="2"/>
      <c r="P84" s="2"/>
      <c r="Q84" s="2"/>
      <c r="R84" s="2"/>
      <c r="S84" s="2"/>
      <c r="T84" s="2"/>
      <c r="U84" s="2"/>
      <c r="V84" s="2"/>
      <c r="W84" s="2"/>
      <c r="X84" s="2"/>
      <c r="Y84" s="2"/>
      <c r="Z84" s="2"/>
    </row>
    <row r="85" customHeight="1" spans="1:26">
      <c r="A85" s="64" t="s">
        <v>379</v>
      </c>
      <c r="B85" s="13" t="s">
        <v>4352</v>
      </c>
      <c r="C85" s="13" t="s">
        <v>373</v>
      </c>
      <c r="D85" s="65">
        <v>66</v>
      </c>
      <c r="E85" s="13" t="s">
        <v>21</v>
      </c>
      <c r="F85" s="13" t="s">
        <v>4353</v>
      </c>
      <c r="G85" s="13" t="s">
        <v>4354</v>
      </c>
      <c r="H85" s="57"/>
      <c r="I85" s="57"/>
      <c r="J85" s="2"/>
      <c r="K85" s="2"/>
      <c r="L85" s="2"/>
      <c r="M85" s="2"/>
      <c r="N85" s="2"/>
      <c r="O85" s="2"/>
      <c r="P85" s="2"/>
      <c r="Q85" s="2"/>
      <c r="R85" s="2"/>
      <c r="S85" s="2"/>
      <c r="T85" s="2"/>
      <c r="U85" s="2"/>
      <c r="V85" s="2"/>
      <c r="W85" s="2"/>
      <c r="X85" s="2"/>
      <c r="Y85" s="2"/>
      <c r="Z85" s="2"/>
    </row>
    <row r="86" customHeight="1" spans="1:26">
      <c r="A86" s="13" t="s">
        <v>383</v>
      </c>
      <c r="B86" s="13" t="s">
        <v>4355</v>
      </c>
      <c r="C86" s="13" t="s">
        <v>373</v>
      </c>
      <c r="D86" s="65">
        <v>150</v>
      </c>
      <c r="E86" s="13" t="s">
        <v>310</v>
      </c>
      <c r="F86" s="13" t="s">
        <v>4356</v>
      </c>
      <c r="G86" s="13" t="s">
        <v>4357</v>
      </c>
      <c r="H86" s="57"/>
      <c r="I86" s="57"/>
      <c r="J86" s="2"/>
      <c r="K86" s="2"/>
      <c r="L86" s="2"/>
      <c r="M86" s="2"/>
      <c r="N86" s="2"/>
      <c r="O86" s="2"/>
      <c r="P86" s="2"/>
      <c r="Q86" s="2"/>
      <c r="R86" s="2"/>
      <c r="S86" s="2"/>
      <c r="T86" s="2"/>
      <c r="U86" s="2"/>
      <c r="V86" s="2"/>
      <c r="W86" s="2"/>
      <c r="X86" s="2"/>
      <c r="Y86" s="2"/>
      <c r="Z86" s="2"/>
    </row>
    <row r="87" customHeight="1" spans="1:26">
      <c r="A87" s="13" t="s">
        <v>387</v>
      </c>
      <c r="B87" s="13" t="s">
        <v>4358</v>
      </c>
      <c r="C87" s="13" t="s">
        <v>373</v>
      </c>
      <c r="D87" s="65">
        <v>76</v>
      </c>
      <c r="E87" s="13" t="s">
        <v>37</v>
      </c>
      <c r="F87" s="13" t="s">
        <v>4359</v>
      </c>
      <c r="G87" s="13" t="s">
        <v>4360</v>
      </c>
      <c r="H87" s="57"/>
      <c r="I87" s="57"/>
      <c r="J87" s="2"/>
      <c r="K87" s="2"/>
      <c r="L87" s="2"/>
      <c r="M87" s="2"/>
      <c r="N87" s="2"/>
      <c r="O87" s="2"/>
      <c r="P87" s="2"/>
      <c r="Q87" s="2"/>
      <c r="R87" s="2"/>
      <c r="S87" s="2"/>
      <c r="T87" s="2"/>
      <c r="U87" s="2"/>
      <c r="V87" s="2"/>
      <c r="W87" s="2"/>
      <c r="X87" s="2"/>
      <c r="Y87" s="2"/>
      <c r="Z87" s="2"/>
    </row>
    <row r="88" customHeight="1" spans="1:26">
      <c r="A88" s="13" t="s">
        <v>391</v>
      </c>
      <c r="B88" s="13" t="s">
        <v>392</v>
      </c>
      <c r="C88" s="13" t="s">
        <v>393</v>
      </c>
      <c r="D88" s="14">
        <v>3500</v>
      </c>
      <c r="E88" s="13" t="s">
        <v>21</v>
      </c>
      <c r="F88" s="13" t="s">
        <v>394</v>
      </c>
      <c r="G88" s="13" t="s">
        <v>1842</v>
      </c>
      <c r="H88" s="57"/>
      <c r="I88" s="57"/>
      <c r="J88" s="2"/>
      <c r="K88" s="2"/>
      <c r="L88" s="2"/>
      <c r="M88" s="2"/>
      <c r="N88" s="2"/>
      <c r="O88" s="2"/>
      <c r="P88" s="2"/>
      <c r="Q88" s="2"/>
      <c r="R88" s="2"/>
      <c r="S88" s="2"/>
      <c r="T88" s="2"/>
      <c r="U88" s="2"/>
      <c r="V88" s="2"/>
      <c r="W88" s="2"/>
      <c r="X88" s="2"/>
      <c r="Y88" s="2"/>
      <c r="Z88" s="2"/>
    </row>
    <row r="89" customHeight="1" spans="1:26">
      <c r="A89" s="13" t="s">
        <v>395</v>
      </c>
      <c r="B89" s="13" t="s">
        <v>396</v>
      </c>
      <c r="C89" s="13" t="s">
        <v>393</v>
      </c>
      <c r="D89" s="14">
        <v>1230</v>
      </c>
      <c r="E89" s="13" t="s">
        <v>21</v>
      </c>
      <c r="F89" s="13" t="s">
        <v>397</v>
      </c>
      <c r="G89" s="13" t="s">
        <v>398</v>
      </c>
      <c r="H89" s="57"/>
      <c r="I89" s="57"/>
      <c r="J89" s="2"/>
      <c r="K89" s="2"/>
      <c r="L89" s="2"/>
      <c r="M89" s="2"/>
      <c r="N89" s="2"/>
      <c r="O89" s="2"/>
      <c r="P89" s="2"/>
      <c r="Q89" s="2"/>
      <c r="R89" s="2"/>
      <c r="S89" s="2"/>
      <c r="T89" s="2"/>
      <c r="U89" s="2"/>
      <c r="V89" s="2"/>
      <c r="W89" s="2"/>
      <c r="X89" s="2"/>
      <c r="Y89" s="2"/>
      <c r="Z89" s="2"/>
    </row>
    <row r="90" customHeight="1" spans="1:26">
      <c r="A90" s="13" t="s">
        <v>399</v>
      </c>
      <c r="B90" s="13" t="s">
        <v>4361</v>
      </c>
      <c r="C90" s="13" t="s">
        <v>224</v>
      </c>
      <c r="D90" s="65">
        <v>130</v>
      </c>
      <c r="E90" s="13" t="s">
        <v>262</v>
      </c>
      <c r="F90" s="13" t="s">
        <v>4362</v>
      </c>
      <c r="G90" s="13" t="s">
        <v>4363</v>
      </c>
      <c r="H90" s="57"/>
      <c r="I90" s="57"/>
      <c r="J90" s="2"/>
      <c r="K90" s="2"/>
      <c r="L90" s="2"/>
      <c r="M90" s="2"/>
      <c r="N90" s="2"/>
      <c r="O90" s="2"/>
      <c r="P90" s="2"/>
      <c r="Q90" s="2"/>
      <c r="R90" s="2"/>
      <c r="S90" s="2"/>
      <c r="T90" s="2"/>
      <c r="U90" s="2"/>
      <c r="V90" s="2"/>
      <c r="W90" s="2"/>
      <c r="X90" s="2"/>
      <c r="Y90" s="2"/>
      <c r="Z90" s="2"/>
    </row>
    <row r="91" customHeight="1" spans="1:26">
      <c r="A91" s="13" t="s">
        <v>403</v>
      </c>
      <c r="B91" s="13" t="s">
        <v>4364</v>
      </c>
      <c r="C91" s="13" t="s">
        <v>229</v>
      </c>
      <c r="D91" s="65">
        <v>500</v>
      </c>
      <c r="E91" s="13" t="s">
        <v>21</v>
      </c>
      <c r="F91" s="13" t="s">
        <v>4365</v>
      </c>
      <c r="G91" s="13" t="s">
        <v>4366</v>
      </c>
      <c r="H91" s="57"/>
      <c r="I91" s="57"/>
      <c r="J91" s="2"/>
      <c r="K91" s="2"/>
      <c r="L91" s="2"/>
      <c r="M91" s="2"/>
      <c r="N91" s="2"/>
      <c r="O91" s="2"/>
      <c r="P91" s="2"/>
      <c r="Q91" s="2"/>
      <c r="R91" s="2"/>
      <c r="S91" s="2"/>
      <c r="T91" s="2"/>
      <c r="U91" s="2"/>
      <c r="V91" s="2"/>
      <c r="W91" s="2"/>
      <c r="X91" s="2"/>
      <c r="Y91" s="2"/>
      <c r="Z91" s="2"/>
    </row>
    <row r="92" customHeight="1" spans="1:26">
      <c r="A92" s="13" t="s">
        <v>407</v>
      </c>
      <c r="B92" s="13" t="s">
        <v>4367</v>
      </c>
      <c r="C92" s="13" t="s">
        <v>229</v>
      </c>
      <c r="D92" s="65">
        <v>350</v>
      </c>
      <c r="E92" s="13" t="s">
        <v>21</v>
      </c>
      <c r="F92" s="13" t="s">
        <v>4368</v>
      </c>
      <c r="G92" s="13" t="s">
        <v>4369</v>
      </c>
      <c r="H92" s="57"/>
      <c r="I92" s="57"/>
      <c r="J92" s="2"/>
      <c r="K92" s="2"/>
      <c r="L92" s="2"/>
      <c r="M92" s="2"/>
      <c r="N92" s="2"/>
      <c r="O92" s="2"/>
      <c r="P92" s="2"/>
      <c r="Q92" s="2"/>
      <c r="R92" s="2"/>
      <c r="S92" s="2"/>
      <c r="T92" s="2"/>
      <c r="U92" s="2"/>
      <c r="V92" s="2"/>
      <c r="W92" s="2"/>
      <c r="X92" s="2"/>
      <c r="Y92" s="2"/>
      <c r="Z92" s="2"/>
    </row>
    <row r="93" customHeight="1" spans="1:26">
      <c r="A93" s="13" t="s">
        <v>411</v>
      </c>
      <c r="B93" s="13" t="s">
        <v>4370</v>
      </c>
      <c r="C93" s="13" t="s">
        <v>413</v>
      </c>
      <c r="D93" s="14">
        <v>50</v>
      </c>
      <c r="E93" s="13" t="s">
        <v>310</v>
      </c>
      <c r="F93" s="13" t="s">
        <v>4371</v>
      </c>
      <c r="G93" s="13" t="s">
        <v>4372</v>
      </c>
      <c r="H93" s="57"/>
      <c r="I93" s="57"/>
      <c r="J93" s="2"/>
      <c r="K93" s="2"/>
      <c r="L93" s="2"/>
      <c r="M93" s="2"/>
      <c r="N93" s="2"/>
      <c r="O93" s="2"/>
      <c r="P93" s="2"/>
      <c r="Q93" s="2"/>
      <c r="R93" s="2"/>
      <c r="S93" s="2"/>
      <c r="T93" s="2"/>
      <c r="U93" s="2"/>
      <c r="V93" s="2"/>
      <c r="W93" s="2"/>
      <c r="X93" s="2"/>
      <c r="Y93" s="2"/>
      <c r="Z93" s="2"/>
    </row>
    <row r="94" customHeight="1" spans="1:26">
      <c r="A94" s="13" t="s">
        <v>416</v>
      </c>
      <c r="B94" s="13" t="s">
        <v>4373</v>
      </c>
      <c r="C94" s="13" t="s">
        <v>418</v>
      </c>
      <c r="D94" s="14">
        <v>35</v>
      </c>
      <c r="E94" s="13" t="s">
        <v>310</v>
      </c>
      <c r="F94" s="13" t="s">
        <v>4374</v>
      </c>
      <c r="G94" s="13" t="s">
        <v>4375</v>
      </c>
      <c r="H94" s="57"/>
      <c r="I94" s="57"/>
      <c r="J94" s="2"/>
      <c r="K94" s="2"/>
      <c r="L94" s="2"/>
      <c r="M94" s="2"/>
      <c r="N94" s="2"/>
      <c r="O94" s="2"/>
      <c r="P94" s="2"/>
      <c r="Q94" s="2"/>
      <c r="R94" s="2"/>
      <c r="S94" s="2"/>
      <c r="T94" s="2"/>
      <c r="U94" s="2"/>
      <c r="V94" s="2"/>
      <c r="W94" s="2"/>
      <c r="X94" s="2"/>
      <c r="Y94" s="2"/>
      <c r="Z94" s="2"/>
    </row>
    <row r="95" customHeight="1" spans="1:26">
      <c r="A95" s="13" t="s">
        <v>421</v>
      </c>
      <c r="B95" s="13" t="s">
        <v>3903</v>
      </c>
      <c r="C95" s="13" t="s">
        <v>423</v>
      </c>
      <c r="D95" s="14">
        <v>67</v>
      </c>
      <c r="E95" s="13" t="s">
        <v>310</v>
      </c>
      <c r="F95" s="13" t="s">
        <v>4376</v>
      </c>
      <c r="G95" s="13" t="s">
        <v>4377</v>
      </c>
      <c r="H95" s="57"/>
      <c r="I95" s="57"/>
      <c r="J95" s="2"/>
      <c r="K95" s="2"/>
      <c r="L95" s="2"/>
      <c r="M95" s="2"/>
      <c r="N95" s="2"/>
      <c r="O95" s="2"/>
      <c r="P95" s="2"/>
      <c r="Q95" s="2"/>
      <c r="R95" s="2"/>
      <c r="S95" s="2"/>
      <c r="T95" s="2"/>
      <c r="U95" s="2"/>
      <c r="V95" s="2"/>
      <c r="W95" s="2"/>
      <c r="X95" s="2"/>
      <c r="Y95" s="2"/>
      <c r="Z95" s="2"/>
    </row>
    <row r="96" customHeight="1" spans="1:26">
      <c r="A96" s="13" t="s">
        <v>426</v>
      </c>
      <c r="B96" s="13" t="s">
        <v>4378</v>
      </c>
      <c r="C96" s="13" t="s">
        <v>428</v>
      </c>
      <c r="D96" s="65">
        <v>13</v>
      </c>
      <c r="E96" s="13" t="s">
        <v>262</v>
      </c>
      <c r="F96" s="13" t="s">
        <v>4379</v>
      </c>
      <c r="G96" s="13" t="s">
        <v>4380</v>
      </c>
      <c r="H96" s="57"/>
      <c r="I96" s="57"/>
      <c r="J96" s="2"/>
      <c r="K96" s="2"/>
      <c r="L96" s="2"/>
      <c r="M96" s="2"/>
      <c r="N96" s="2"/>
      <c r="O96" s="2"/>
      <c r="P96" s="2"/>
      <c r="Q96" s="2"/>
      <c r="R96" s="2"/>
      <c r="S96" s="2"/>
      <c r="T96" s="2"/>
      <c r="U96" s="2"/>
      <c r="V96" s="2"/>
      <c r="W96" s="2"/>
      <c r="X96" s="2"/>
      <c r="Y96" s="2"/>
      <c r="Z96" s="2"/>
    </row>
    <row r="97" customHeight="1" spans="1:26">
      <c r="A97" s="13" t="s">
        <v>431</v>
      </c>
      <c r="B97" s="13" t="s">
        <v>4381</v>
      </c>
      <c r="C97" s="13" t="s">
        <v>428</v>
      </c>
      <c r="D97" s="65">
        <v>879</v>
      </c>
      <c r="E97" s="13" t="s">
        <v>21</v>
      </c>
      <c r="F97" s="13" t="s">
        <v>4382</v>
      </c>
      <c r="G97" s="13" t="s">
        <v>4383</v>
      </c>
      <c r="H97" s="57"/>
      <c r="I97" s="57"/>
      <c r="J97" s="2"/>
      <c r="K97" s="2"/>
      <c r="L97" s="2"/>
      <c r="M97" s="2"/>
      <c r="N97" s="2"/>
      <c r="O97" s="2"/>
      <c r="P97" s="2"/>
      <c r="Q97" s="2"/>
      <c r="R97" s="2"/>
      <c r="S97" s="2"/>
      <c r="T97" s="2"/>
      <c r="U97" s="2"/>
      <c r="V97" s="2"/>
      <c r="W97" s="2"/>
      <c r="X97" s="2"/>
      <c r="Y97" s="2"/>
      <c r="Z97" s="2"/>
    </row>
    <row r="98" customHeight="1" spans="1:26">
      <c r="A98" s="13" t="s">
        <v>435</v>
      </c>
      <c r="B98" s="13" t="s">
        <v>4384</v>
      </c>
      <c r="C98" s="13" t="s">
        <v>428</v>
      </c>
      <c r="D98" s="14">
        <v>1000</v>
      </c>
      <c r="E98" s="13" t="s">
        <v>21</v>
      </c>
      <c r="F98" s="13" t="s">
        <v>4385</v>
      </c>
      <c r="G98" s="13" t="s">
        <v>4386</v>
      </c>
      <c r="H98" s="57"/>
      <c r="I98" s="57"/>
      <c r="J98" s="2"/>
      <c r="K98" s="2"/>
      <c r="L98" s="2"/>
      <c r="M98" s="2"/>
      <c r="N98" s="2"/>
      <c r="O98" s="2"/>
      <c r="P98" s="2"/>
      <c r="Q98" s="2"/>
      <c r="R98" s="2"/>
      <c r="S98" s="2"/>
      <c r="T98" s="2"/>
      <c r="U98" s="2"/>
      <c r="V98" s="2"/>
      <c r="W98" s="2"/>
      <c r="X98" s="2"/>
      <c r="Y98" s="2"/>
      <c r="Z98" s="2"/>
    </row>
    <row r="99" customHeight="1" spans="1:26">
      <c r="A99" s="64" t="s">
        <v>439</v>
      </c>
      <c r="B99" s="13" t="s">
        <v>1123</v>
      </c>
      <c r="C99" s="13" t="s">
        <v>315</v>
      </c>
      <c r="D99" s="65">
        <v>15</v>
      </c>
      <c r="E99" s="13" t="s">
        <v>37</v>
      </c>
      <c r="F99" s="13" t="s">
        <v>1124</v>
      </c>
      <c r="G99" s="13" t="s">
        <v>4387</v>
      </c>
      <c r="H99" s="57"/>
      <c r="I99" s="57"/>
      <c r="J99" s="2"/>
      <c r="K99" s="2"/>
      <c r="L99" s="2"/>
      <c r="M99" s="2"/>
      <c r="N99" s="2"/>
      <c r="O99" s="2"/>
      <c r="P99" s="2"/>
      <c r="Q99" s="2"/>
      <c r="R99" s="2"/>
      <c r="S99" s="2"/>
      <c r="T99" s="2"/>
      <c r="U99" s="2"/>
      <c r="V99" s="2"/>
      <c r="W99" s="2"/>
      <c r="X99" s="2"/>
      <c r="Y99" s="2"/>
      <c r="Z99" s="2"/>
    </row>
    <row r="100" customHeight="1" spans="1:26">
      <c r="A100" s="13" t="s">
        <v>443</v>
      </c>
      <c r="B100" s="13" t="s">
        <v>4388</v>
      </c>
      <c r="C100" s="13" t="s">
        <v>772</v>
      </c>
      <c r="D100" s="14">
        <v>188</v>
      </c>
      <c r="E100" s="13" t="s">
        <v>310</v>
      </c>
      <c r="F100" s="13" t="s">
        <v>4389</v>
      </c>
      <c r="G100" s="13" t="s">
        <v>4390</v>
      </c>
      <c r="H100" s="57"/>
      <c r="I100" s="57"/>
      <c r="J100" s="2"/>
      <c r="K100" s="2"/>
      <c r="L100" s="2"/>
      <c r="M100" s="2"/>
      <c r="N100" s="2"/>
      <c r="O100" s="2"/>
      <c r="P100" s="2"/>
      <c r="Q100" s="2"/>
      <c r="R100" s="2"/>
      <c r="S100" s="2"/>
      <c r="T100" s="2"/>
      <c r="U100" s="2"/>
      <c r="V100" s="2"/>
      <c r="W100" s="2"/>
      <c r="X100" s="2"/>
      <c r="Y100" s="2"/>
      <c r="Z100" s="2"/>
    </row>
    <row r="101" customHeight="1" spans="1:26">
      <c r="A101" s="13" t="s">
        <v>448</v>
      </c>
      <c r="B101" s="13" t="s">
        <v>3877</v>
      </c>
      <c r="C101" s="13" t="s">
        <v>450</v>
      </c>
      <c r="D101" s="65">
        <v>95</v>
      </c>
      <c r="E101" s="13" t="s">
        <v>310</v>
      </c>
      <c r="F101" s="13" t="s">
        <v>4391</v>
      </c>
      <c r="G101" s="13" t="s">
        <v>4392</v>
      </c>
      <c r="H101" s="57"/>
      <c r="I101" s="57"/>
      <c r="J101" s="2"/>
      <c r="K101" s="2"/>
      <c r="L101" s="2"/>
      <c r="M101" s="2"/>
      <c r="N101" s="2"/>
      <c r="O101" s="2"/>
      <c r="P101" s="2"/>
      <c r="Q101" s="2"/>
      <c r="R101" s="2"/>
      <c r="S101" s="2"/>
      <c r="T101" s="2"/>
      <c r="U101" s="2"/>
      <c r="V101" s="2"/>
      <c r="W101" s="2"/>
      <c r="X101" s="2"/>
      <c r="Y101" s="2"/>
      <c r="Z101" s="2"/>
    </row>
    <row r="102" customHeight="1" spans="1:26">
      <c r="A102" s="13" t="s">
        <v>452</v>
      </c>
      <c r="B102" s="13" t="s">
        <v>314</v>
      </c>
      <c r="C102" s="13" t="s">
        <v>450</v>
      </c>
      <c r="D102" s="65">
        <v>89</v>
      </c>
      <c r="E102" s="13" t="s">
        <v>310</v>
      </c>
      <c r="F102" s="13" t="s">
        <v>1132</v>
      </c>
      <c r="G102" s="13" t="s">
        <v>4393</v>
      </c>
      <c r="H102" s="57"/>
      <c r="I102" s="57"/>
      <c r="J102" s="2"/>
      <c r="K102" s="2"/>
      <c r="L102" s="2"/>
      <c r="M102" s="2"/>
      <c r="N102" s="2"/>
      <c r="O102" s="2"/>
      <c r="P102" s="2"/>
      <c r="Q102" s="2"/>
      <c r="R102" s="2"/>
      <c r="S102" s="2"/>
      <c r="T102" s="2"/>
      <c r="U102" s="2"/>
      <c r="V102" s="2"/>
      <c r="W102" s="2"/>
      <c r="X102" s="2"/>
      <c r="Y102" s="2"/>
      <c r="Z102" s="2"/>
    </row>
    <row r="103" customHeight="1" spans="1:26">
      <c r="A103" s="13" t="s">
        <v>455</v>
      </c>
      <c r="B103" s="13" t="s">
        <v>4394</v>
      </c>
      <c r="C103" s="13" t="s">
        <v>457</v>
      </c>
      <c r="D103" s="14">
        <v>400</v>
      </c>
      <c r="E103" s="13" t="s">
        <v>21</v>
      </c>
      <c r="F103" s="13" t="s">
        <v>4395</v>
      </c>
      <c r="G103" s="13" t="s">
        <v>4396</v>
      </c>
      <c r="H103" s="57"/>
      <c r="I103" s="57"/>
      <c r="J103" s="2"/>
      <c r="K103" s="2"/>
      <c r="L103" s="2"/>
      <c r="M103" s="2"/>
      <c r="N103" s="2"/>
      <c r="O103" s="2"/>
      <c r="P103" s="2"/>
      <c r="Q103" s="2"/>
      <c r="R103" s="2"/>
      <c r="S103" s="2"/>
      <c r="T103" s="2"/>
      <c r="U103" s="2"/>
      <c r="V103" s="2"/>
      <c r="W103" s="2"/>
      <c r="X103" s="2"/>
      <c r="Y103" s="2"/>
      <c r="Z103" s="2"/>
    </row>
    <row r="104" customHeight="1" spans="1:26">
      <c r="A104" s="13" t="s">
        <v>1137</v>
      </c>
      <c r="B104" s="13" t="s">
        <v>4397</v>
      </c>
      <c r="C104" s="13" t="s">
        <v>1139</v>
      </c>
      <c r="D104" s="14">
        <v>8</v>
      </c>
      <c r="E104" s="13" t="s">
        <v>37</v>
      </c>
      <c r="F104" s="13" t="s">
        <v>4398</v>
      </c>
      <c r="G104" s="13" t="s">
        <v>4399</v>
      </c>
      <c r="H104" s="57"/>
      <c r="I104" s="57"/>
      <c r="J104" s="2"/>
      <c r="K104" s="2"/>
      <c r="L104" s="2"/>
      <c r="M104" s="2"/>
      <c r="N104" s="2"/>
      <c r="O104" s="2"/>
      <c r="P104" s="2"/>
      <c r="Q104" s="2"/>
      <c r="R104" s="2"/>
      <c r="S104" s="2"/>
      <c r="T104" s="2"/>
      <c r="U104" s="2"/>
      <c r="V104" s="2"/>
      <c r="W104" s="2"/>
      <c r="X104" s="2"/>
      <c r="Y104" s="2"/>
      <c r="Z104" s="2"/>
    </row>
    <row r="105" customHeight="1" spans="1:26">
      <c r="A105" s="64" t="s">
        <v>465</v>
      </c>
      <c r="B105" s="13" t="s">
        <v>4400</v>
      </c>
      <c r="C105" s="13" t="s">
        <v>471</v>
      </c>
      <c r="D105" s="65">
        <v>30</v>
      </c>
      <c r="E105" s="13" t="s">
        <v>21</v>
      </c>
      <c r="F105" s="13" t="s">
        <v>4401</v>
      </c>
      <c r="G105" s="13" t="s">
        <v>4402</v>
      </c>
      <c r="H105" s="57"/>
      <c r="I105" s="57"/>
      <c r="J105" s="2"/>
      <c r="K105" s="2"/>
      <c r="L105" s="2"/>
      <c r="M105" s="2"/>
      <c r="N105" s="2"/>
      <c r="O105" s="2"/>
      <c r="P105" s="2"/>
      <c r="Q105" s="2"/>
      <c r="R105" s="2"/>
      <c r="S105" s="2"/>
      <c r="T105" s="2"/>
      <c r="U105" s="2"/>
      <c r="V105" s="2"/>
      <c r="W105" s="2"/>
      <c r="X105" s="2"/>
      <c r="Y105" s="2"/>
      <c r="Z105" s="2"/>
    </row>
    <row r="106" customHeight="1" spans="1:26">
      <c r="A106" s="13" t="s">
        <v>469</v>
      </c>
      <c r="B106" s="13" t="s">
        <v>4403</v>
      </c>
      <c r="C106" s="13" t="s">
        <v>471</v>
      </c>
      <c r="D106" s="14">
        <v>43</v>
      </c>
      <c r="E106" s="13" t="s">
        <v>310</v>
      </c>
      <c r="F106" s="13" t="s">
        <v>4404</v>
      </c>
      <c r="G106" s="13" t="s">
        <v>4405</v>
      </c>
      <c r="H106" s="57"/>
      <c r="I106" s="57"/>
      <c r="J106" s="2"/>
      <c r="K106" s="2"/>
      <c r="L106" s="2"/>
      <c r="M106" s="2"/>
      <c r="N106" s="2"/>
      <c r="O106" s="2"/>
      <c r="P106" s="2"/>
      <c r="Q106" s="2"/>
      <c r="R106" s="2"/>
      <c r="S106" s="2"/>
      <c r="T106" s="2"/>
      <c r="U106" s="2"/>
      <c r="V106" s="2"/>
      <c r="W106" s="2"/>
      <c r="X106" s="2"/>
      <c r="Y106" s="2"/>
      <c r="Z106" s="2"/>
    </row>
    <row r="107" customHeight="1" spans="1:26">
      <c r="A107" s="13" t="s">
        <v>474</v>
      </c>
      <c r="B107" s="13" t="s">
        <v>4406</v>
      </c>
      <c r="C107" s="13" t="s">
        <v>476</v>
      </c>
      <c r="D107" s="65">
        <v>123</v>
      </c>
      <c r="E107" s="13" t="s">
        <v>310</v>
      </c>
      <c r="F107" s="13" t="s">
        <v>4407</v>
      </c>
      <c r="G107" s="13" t="s">
        <v>4408</v>
      </c>
      <c r="H107" s="57"/>
      <c r="I107" s="57"/>
      <c r="J107" s="2"/>
      <c r="K107" s="2"/>
      <c r="L107" s="2"/>
      <c r="M107" s="2"/>
      <c r="N107" s="2"/>
      <c r="O107" s="2"/>
      <c r="P107" s="2"/>
      <c r="Q107" s="2"/>
      <c r="R107" s="2"/>
      <c r="S107" s="2"/>
      <c r="T107" s="2"/>
      <c r="U107" s="2"/>
      <c r="V107" s="2"/>
      <c r="W107" s="2"/>
      <c r="X107" s="2"/>
      <c r="Y107" s="2"/>
      <c r="Z107" s="2"/>
    </row>
    <row r="108" customHeight="1" spans="1:26">
      <c r="A108" s="13" t="s">
        <v>479</v>
      </c>
      <c r="B108" s="13" t="s">
        <v>475</v>
      </c>
      <c r="C108" s="13" t="s">
        <v>476</v>
      </c>
      <c r="D108" s="65">
        <v>76</v>
      </c>
      <c r="E108" s="13" t="s">
        <v>310</v>
      </c>
      <c r="F108" s="13" t="s">
        <v>1151</v>
      </c>
      <c r="G108" s="13" t="s">
        <v>1152</v>
      </c>
      <c r="H108" s="57"/>
      <c r="I108" s="57"/>
      <c r="J108" s="2"/>
      <c r="K108" s="2"/>
      <c r="L108" s="2"/>
      <c r="M108" s="2"/>
      <c r="N108" s="2"/>
      <c r="O108" s="2"/>
      <c r="P108" s="2"/>
      <c r="Q108" s="2"/>
      <c r="R108" s="2"/>
      <c r="S108" s="2"/>
      <c r="T108" s="2"/>
      <c r="U108" s="2"/>
      <c r="V108" s="2"/>
      <c r="W108" s="2"/>
      <c r="X108" s="2"/>
      <c r="Y108" s="2"/>
      <c r="Z108" s="2"/>
    </row>
    <row r="109" customHeight="1" spans="1:26">
      <c r="A109" s="64" t="s">
        <v>483</v>
      </c>
      <c r="B109" s="13" t="s">
        <v>484</v>
      </c>
      <c r="C109" s="13" t="s">
        <v>485</v>
      </c>
      <c r="D109" s="65">
        <v>77</v>
      </c>
      <c r="E109" s="13" t="s">
        <v>37</v>
      </c>
      <c r="F109" s="13" t="s">
        <v>486</v>
      </c>
      <c r="G109" s="13" t="s">
        <v>4409</v>
      </c>
      <c r="H109" s="57"/>
      <c r="I109" s="57"/>
      <c r="J109" s="2"/>
      <c r="K109" s="2"/>
      <c r="L109" s="2"/>
      <c r="M109" s="2"/>
      <c r="N109" s="2"/>
      <c r="O109" s="2"/>
      <c r="P109" s="2"/>
      <c r="Q109" s="2"/>
      <c r="R109" s="2"/>
      <c r="S109" s="2"/>
      <c r="T109" s="2"/>
      <c r="U109" s="2"/>
      <c r="V109" s="2"/>
      <c r="W109" s="2"/>
      <c r="X109" s="2"/>
      <c r="Y109" s="2"/>
      <c r="Z109" s="2"/>
    </row>
    <row r="110" customHeight="1" spans="1:26">
      <c r="A110" s="13" t="s">
        <v>488</v>
      </c>
      <c r="B110" s="13" t="s">
        <v>4410</v>
      </c>
      <c r="C110" s="13" t="s">
        <v>490</v>
      </c>
      <c r="D110" s="14">
        <v>50</v>
      </c>
      <c r="E110" s="13" t="s">
        <v>37</v>
      </c>
      <c r="F110" s="13" t="s">
        <v>4411</v>
      </c>
      <c r="G110" s="13" t="s">
        <v>4412</v>
      </c>
      <c r="H110" s="57"/>
      <c r="I110" s="57"/>
      <c r="J110" s="2"/>
      <c r="K110" s="2"/>
      <c r="L110" s="2"/>
      <c r="M110" s="2"/>
      <c r="N110" s="2"/>
      <c r="O110" s="2"/>
      <c r="P110" s="2"/>
      <c r="Q110" s="2"/>
      <c r="R110" s="2"/>
      <c r="S110" s="2"/>
      <c r="T110" s="2"/>
      <c r="U110" s="2"/>
      <c r="V110" s="2"/>
      <c r="W110" s="2"/>
      <c r="X110" s="2"/>
      <c r="Y110" s="2"/>
      <c r="Z110" s="2"/>
    </row>
    <row r="111" customHeight="1" spans="1:26">
      <c r="A111" s="13" t="s">
        <v>493</v>
      </c>
      <c r="B111" s="13" t="s">
        <v>4413</v>
      </c>
      <c r="C111" s="13" t="s">
        <v>495</v>
      </c>
      <c r="D111" s="57"/>
      <c r="E111" s="57"/>
      <c r="F111" s="13" t="s">
        <v>4414</v>
      </c>
      <c r="G111" s="13" t="s">
        <v>4415</v>
      </c>
      <c r="H111" s="57"/>
      <c r="I111" s="57"/>
      <c r="J111" s="2"/>
      <c r="K111" s="2"/>
      <c r="L111" s="2"/>
      <c r="M111" s="2"/>
      <c r="N111" s="2"/>
      <c r="O111" s="2"/>
      <c r="P111" s="2"/>
      <c r="Q111" s="2"/>
      <c r="R111" s="2"/>
      <c r="S111" s="2"/>
      <c r="T111" s="2"/>
      <c r="U111" s="2"/>
      <c r="V111" s="2"/>
      <c r="W111" s="2"/>
      <c r="X111" s="2"/>
      <c r="Y111" s="2"/>
      <c r="Z111" s="2"/>
    </row>
    <row r="112" customHeight="1" spans="1:26">
      <c r="A112" s="13" t="s">
        <v>498</v>
      </c>
      <c r="B112" s="13" t="s">
        <v>4416</v>
      </c>
      <c r="C112" s="13" t="s">
        <v>500</v>
      </c>
      <c r="D112" s="57"/>
      <c r="E112" s="57"/>
      <c r="F112" s="13" t="s">
        <v>4417</v>
      </c>
      <c r="G112" s="13" t="s">
        <v>4418</v>
      </c>
      <c r="H112" s="57"/>
      <c r="I112" s="57"/>
      <c r="J112" s="2"/>
      <c r="K112" s="2"/>
      <c r="L112" s="2"/>
      <c r="M112" s="2"/>
      <c r="N112" s="2"/>
      <c r="O112" s="2"/>
      <c r="P112" s="2"/>
      <c r="Q112" s="2"/>
      <c r="R112" s="2"/>
      <c r="S112" s="2"/>
      <c r="T112" s="2"/>
      <c r="U112" s="2"/>
      <c r="V112" s="2"/>
      <c r="W112" s="2"/>
      <c r="X112" s="2"/>
      <c r="Y112" s="2"/>
      <c r="Z112" s="2"/>
    </row>
    <row r="113" customHeight="1" spans="1:26">
      <c r="A113" s="64" t="s">
        <v>503</v>
      </c>
      <c r="B113" s="13" t="s">
        <v>4419</v>
      </c>
      <c r="C113" s="13" t="s">
        <v>505</v>
      </c>
      <c r="D113" s="65">
        <v>38</v>
      </c>
      <c r="E113" s="13" t="s">
        <v>37</v>
      </c>
      <c r="F113" s="13" t="s">
        <v>4420</v>
      </c>
      <c r="G113" s="13" t="s">
        <v>4421</v>
      </c>
      <c r="H113" s="57"/>
      <c r="I113" s="57"/>
      <c r="J113" s="2"/>
      <c r="K113" s="2"/>
      <c r="L113" s="2"/>
      <c r="M113" s="2"/>
      <c r="N113" s="2"/>
      <c r="O113" s="2"/>
      <c r="P113" s="2"/>
      <c r="Q113" s="2"/>
      <c r="R113" s="2"/>
      <c r="S113" s="2"/>
      <c r="T113" s="2"/>
      <c r="U113" s="2"/>
      <c r="V113" s="2"/>
      <c r="W113" s="2"/>
      <c r="X113" s="2"/>
      <c r="Y113" s="2"/>
      <c r="Z113" s="2"/>
    </row>
    <row r="114" customHeight="1" spans="1:26">
      <c r="A114" s="13" t="s">
        <v>508</v>
      </c>
      <c r="B114" s="13" t="s">
        <v>4422</v>
      </c>
      <c r="C114" s="13" t="s">
        <v>510</v>
      </c>
      <c r="D114" s="14">
        <v>40</v>
      </c>
      <c r="E114" s="13" t="s">
        <v>37</v>
      </c>
      <c r="F114" s="13" t="s">
        <v>4423</v>
      </c>
      <c r="G114" s="13" t="s">
        <v>4424</v>
      </c>
      <c r="H114" s="57"/>
      <c r="I114" s="57"/>
      <c r="J114" s="2"/>
      <c r="K114" s="2"/>
      <c r="L114" s="2"/>
      <c r="M114" s="2"/>
      <c r="N114" s="2"/>
      <c r="O114" s="2"/>
      <c r="P114" s="2"/>
      <c r="Q114" s="2"/>
      <c r="R114" s="2"/>
      <c r="S114" s="2"/>
      <c r="T114" s="2"/>
      <c r="U114" s="2"/>
      <c r="V114" s="2"/>
      <c r="W114" s="2"/>
      <c r="X114" s="2"/>
      <c r="Y114" s="2"/>
      <c r="Z114" s="2"/>
    </row>
    <row r="115" customHeight="1" spans="1:26">
      <c r="A115" s="13" t="s">
        <v>513</v>
      </c>
      <c r="B115" s="13" t="s">
        <v>4243</v>
      </c>
      <c r="C115" s="13" t="s">
        <v>515</v>
      </c>
      <c r="D115" s="14">
        <v>40</v>
      </c>
      <c r="E115" s="13" t="s">
        <v>37</v>
      </c>
      <c r="F115" s="13" t="s">
        <v>4425</v>
      </c>
      <c r="G115" s="13" t="s">
        <v>4245</v>
      </c>
      <c r="H115" s="57"/>
      <c r="I115" s="57"/>
      <c r="J115" s="2"/>
      <c r="K115" s="2"/>
      <c r="L115" s="2"/>
      <c r="M115" s="2"/>
      <c r="N115" s="2"/>
      <c r="O115" s="2"/>
      <c r="P115" s="2"/>
      <c r="Q115" s="2"/>
      <c r="R115" s="2"/>
      <c r="S115" s="2"/>
      <c r="T115" s="2"/>
      <c r="U115" s="2"/>
      <c r="V115" s="2"/>
      <c r="W115" s="2"/>
      <c r="X115" s="2"/>
      <c r="Y115" s="2"/>
      <c r="Z115" s="2"/>
    </row>
    <row r="116" customHeight="1" spans="1:26">
      <c r="A116" s="13" t="s">
        <v>518</v>
      </c>
      <c r="B116" s="13" t="s">
        <v>4426</v>
      </c>
      <c r="C116" s="13" t="s">
        <v>519</v>
      </c>
      <c r="D116" s="14">
        <v>45</v>
      </c>
      <c r="E116" s="13" t="s">
        <v>37</v>
      </c>
      <c r="F116" s="13" t="s">
        <v>4427</v>
      </c>
      <c r="G116" s="13" t="s">
        <v>4428</v>
      </c>
      <c r="H116" s="57"/>
      <c r="I116" s="57"/>
      <c r="J116" s="2"/>
      <c r="K116" s="2"/>
      <c r="L116" s="2"/>
      <c r="M116" s="2"/>
      <c r="N116" s="2"/>
      <c r="O116" s="2"/>
      <c r="P116" s="2"/>
      <c r="Q116" s="2"/>
      <c r="R116" s="2"/>
      <c r="S116" s="2"/>
      <c r="T116" s="2"/>
      <c r="U116" s="2"/>
      <c r="V116" s="2"/>
      <c r="W116" s="2"/>
      <c r="X116" s="2"/>
      <c r="Y116" s="2"/>
      <c r="Z116" s="2"/>
    </row>
    <row r="117" customHeight="1" spans="1:26">
      <c r="A117" s="64" t="s">
        <v>174</v>
      </c>
      <c r="B117" s="13" t="s">
        <v>4243</v>
      </c>
      <c r="C117" s="13" t="s">
        <v>171</v>
      </c>
      <c r="D117" s="65">
        <v>30</v>
      </c>
      <c r="E117" s="13" t="s">
        <v>37</v>
      </c>
      <c r="F117" s="13" t="s">
        <v>4244</v>
      </c>
      <c r="G117" s="13" t="s">
        <v>4245</v>
      </c>
      <c r="H117" s="57"/>
      <c r="I117" s="57"/>
      <c r="J117" s="2"/>
      <c r="K117" s="2"/>
      <c r="L117" s="2"/>
      <c r="M117" s="2"/>
      <c r="N117" s="2"/>
      <c r="O117" s="2"/>
      <c r="P117" s="2"/>
      <c r="Q117" s="2"/>
      <c r="R117" s="2"/>
      <c r="S117" s="2"/>
      <c r="T117" s="2"/>
      <c r="U117" s="2"/>
      <c r="V117" s="2"/>
      <c r="W117" s="2"/>
      <c r="X117" s="2"/>
      <c r="Y117" s="2"/>
      <c r="Z117" s="2"/>
    </row>
    <row r="118" customHeight="1" spans="1:26">
      <c r="A118" s="64" t="s">
        <v>522</v>
      </c>
      <c r="B118" s="13" t="s">
        <v>4429</v>
      </c>
      <c r="C118" s="13" t="s">
        <v>524</v>
      </c>
      <c r="D118" s="65">
        <v>90</v>
      </c>
      <c r="E118" s="13" t="s">
        <v>21</v>
      </c>
      <c r="F118" s="13" t="s">
        <v>4430</v>
      </c>
      <c r="G118" s="74" t="s">
        <v>4431</v>
      </c>
      <c r="H118" s="57"/>
      <c r="I118" s="57"/>
      <c r="J118" s="2"/>
      <c r="K118" s="2"/>
      <c r="L118" s="2"/>
      <c r="M118" s="2"/>
      <c r="N118" s="2"/>
      <c r="O118" s="2"/>
      <c r="P118" s="2"/>
      <c r="Q118" s="2"/>
      <c r="R118" s="2"/>
      <c r="S118" s="2"/>
      <c r="T118" s="2"/>
      <c r="U118" s="2"/>
      <c r="V118" s="2"/>
      <c r="W118" s="2"/>
      <c r="X118" s="2"/>
      <c r="Y118" s="2"/>
      <c r="Z118" s="2"/>
    </row>
    <row r="119" customHeight="1" spans="1:26">
      <c r="A119" s="13" t="s">
        <v>527</v>
      </c>
      <c r="B119" s="13" t="s">
        <v>4432</v>
      </c>
      <c r="C119" s="13" t="s">
        <v>529</v>
      </c>
      <c r="D119" s="57"/>
      <c r="E119" s="57"/>
      <c r="F119" s="13" t="s">
        <v>4433</v>
      </c>
      <c r="G119" s="13" t="s">
        <v>4434</v>
      </c>
      <c r="H119" s="57"/>
      <c r="I119" s="57"/>
      <c r="J119" s="2"/>
      <c r="K119" s="2"/>
      <c r="L119" s="2"/>
      <c r="M119" s="2"/>
      <c r="N119" s="2"/>
      <c r="O119" s="2"/>
      <c r="P119" s="2"/>
      <c r="Q119" s="2"/>
      <c r="R119" s="2"/>
      <c r="S119" s="2"/>
      <c r="T119" s="2"/>
      <c r="U119" s="2"/>
      <c r="V119" s="2"/>
      <c r="W119" s="2"/>
      <c r="X119" s="2"/>
      <c r="Y119" s="2"/>
      <c r="Z119" s="2"/>
    </row>
    <row r="120" customHeight="1" spans="1:26">
      <c r="A120" s="13" t="s">
        <v>532</v>
      </c>
      <c r="B120" s="13" t="s">
        <v>4435</v>
      </c>
      <c r="C120" s="13" t="s">
        <v>534</v>
      </c>
      <c r="D120" s="14">
        <v>120</v>
      </c>
      <c r="E120" s="13" t="s">
        <v>37</v>
      </c>
      <c r="F120" s="162" t="s">
        <v>1180</v>
      </c>
      <c r="G120" s="13" t="s">
        <v>4436</v>
      </c>
      <c r="H120" s="57"/>
      <c r="I120" s="57"/>
      <c r="J120" s="2"/>
      <c r="K120" s="2"/>
      <c r="L120" s="2"/>
      <c r="M120" s="2"/>
      <c r="N120" s="2"/>
      <c r="O120" s="2"/>
      <c r="P120" s="2"/>
      <c r="Q120" s="2"/>
      <c r="R120" s="2"/>
      <c r="S120" s="2"/>
      <c r="T120" s="2"/>
      <c r="U120" s="2"/>
      <c r="V120" s="2"/>
      <c r="W120" s="2"/>
      <c r="X120" s="2"/>
      <c r="Y120" s="2"/>
      <c r="Z120" s="2"/>
    </row>
    <row r="121" customHeight="1" spans="1:26">
      <c r="A121" s="64" t="s">
        <v>542</v>
      </c>
      <c r="B121" s="13" t="s">
        <v>4437</v>
      </c>
      <c r="C121" s="13" t="s">
        <v>539</v>
      </c>
      <c r="D121" s="65">
        <v>50</v>
      </c>
      <c r="E121" s="13" t="s">
        <v>37</v>
      </c>
      <c r="F121" s="13" t="s">
        <v>4438</v>
      </c>
      <c r="G121" s="13" t="s">
        <v>4439</v>
      </c>
      <c r="H121" s="57"/>
      <c r="I121" s="57"/>
      <c r="J121" s="2"/>
      <c r="K121" s="2"/>
      <c r="L121" s="2"/>
      <c r="M121" s="2"/>
      <c r="N121" s="2"/>
      <c r="O121" s="2"/>
      <c r="P121" s="2"/>
      <c r="Q121" s="2"/>
      <c r="R121" s="2"/>
      <c r="S121" s="2"/>
      <c r="T121" s="2"/>
      <c r="U121" s="2"/>
      <c r="V121" s="2"/>
      <c r="W121" s="2"/>
      <c r="X121" s="2"/>
      <c r="Y121" s="2"/>
      <c r="Z121" s="2"/>
    </row>
    <row r="122" customHeight="1" spans="1:26">
      <c r="A122" s="64" t="s">
        <v>542</v>
      </c>
      <c r="B122" s="13" t="s">
        <v>4437</v>
      </c>
      <c r="C122" s="13" t="s">
        <v>539</v>
      </c>
      <c r="D122" s="65">
        <v>50</v>
      </c>
      <c r="E122" s="13" t="s">
        <v>37</v>
      </c>
      <c r="F122" s="13" t="s">
        <v>4438</v>
      </c>
      <c r="G122" s="13" t="s">
        <v>4439</v>
      </c>
      <c r="H122" s="57"/>
      <c r="I122" s="57"/>
      <c r="J122" s="2"/>
      <c r="K122" s="2"/>
      <c r="L122" s="2"/>
      <c r="M122" s="2"/>
      <c r="N122" s="2"/>
      <c r="O122" s="2"/>
      <c r="P122" s="2"/>
      <c r="Q122" s="2"/>
      <c r="R122" s="2"/>
      <c r="S122" s="2"/>
      <c r="T122" s="2"/>
      <c r="U122" s="2"/>
      <c r="V122" s="2"/>
      <c r="W122" s="2"/>
      <c r="X122" s="2"/>
      <c r="Y122" s="2"/>
      <c r="Z122" s="2"/>
    </row>
    <row r="123" customHeight="1" spans="1:26">
      <c r="A123" s="13" t="s">
        <v>546</v>
      </c>
      <c r="B123" s="13" t="s">
        <v>4440</v>
      </c>
      <c r="C123" s="13" t="s">
        <v>548</v>
      </c>
      <c r="D123" s="14">
        <v>100</v>
      </c>
      <c r="E123" s="13" t="s">
        <v>37</v>
      </c>
      <c r="F123" s="13" t="s">
        <v>4441</v>
      </c>
      <c r="G123" s="13" t="s">
        <v>4442</v>
      </c>
      <c r="H123" s="57"/>
      <c r="I123" s="57"/>
      <c r="J123" s="2"/>
      <c r="K123" s="2"/>
      <c r="L123" s="2"/>
      <c r="M123" s="2"/>
      <c r="N123" s="2"/>
      <c r="O123" s="2"/>
      <c r="P123" s="2"/>
      <c r="Q123" s="2"/>
      <c r="R123" s="2"/>
      <c r="S123" s="2"/>
      <c r="T123" s="2"/>
      <c r="U123" s="2"/>
      <c r="V123" s="2"/>
      <c r="W123" s="2"/>
      <c r="X123" s="2"/>
      <c r="Y123" s="2"/>
      <c r="Z123" s="2"/>
    </row>
    <row r="124" customHeight="1" spans="1:26">
      <c r="A124" s="13" t="s">
        <v>556</v>
      </c>
      <c r="B124" s="13" t="s">
        <v>4443</v>
      </c>
      <c r="C124" s="13" t="s">
        <v>557</v>
      </c>
      <c r="D124" s="14">
        <v>30</v>
      </c>
      <c r="E124" s="13" t="s">
        <v>37</v>
      </c>
      <c r="F124" s="13" t="s">
        <v>4444</v>
      </c>
      <c r="G124" s="13" t="s">
        <v>4445</v>
      </c>
      <c r="H124" s="57"/>
      <c r="I124" s="57"/>
      <c r="J124" s="2"/>
      <c r="K124" s="2"/>
      <c r="L124" s="2"/>
      <c r="M124" s="2"/>
      <c r="N124" s="2"/>
      <c r="O124" s="2"/>
      <c r="P124" s="2"/>
      <c r="Q124" s="2"/>
      <c r="R124" s="2"/>
      <c r="S124" s="2"/>
      <c r="T124" s="2"/>
      <c r="U124" s="2"/>
      <c r="V124" s="2"/>
      <c r="W124" s="2"/>
      <c r="X124" s="2"/>
      <c r="Y124" s="2"/>
      <c r="Z124" s="2"/>
    </row>
    <row r="125" customHeight="1" spans="1:26">
      <c r="A125" s="13" t="s">
        <v>556</v>
      </c>
      <c r="B125" s="13" t="s">
        <v>4443</v>
      </c>
      <c r="C125" s="13" t="s">
        <v>557</v>
      </c>
      <c r="D125" s="14">
        <v>30</v>
      </c>
      <c r="E125" s="13" t="s">
        <v>37</v>
      </c>
      <c r="F125" s="13" t="s">
        <v>4444</v>
      </c>
      <c r="G125" s="13" t="s">
        <v>4445</v>
      </c>
      <c r="H125" s="57"/>
      <c r="I125" s="57"/>
      <c r="J125" s="2"/>
      <c r="K125" s="2"/>
      <c r="L125" s="2"/>
      <c r="M125" s="2"/>
      <c r="N125" s="2"/>
      <c r="O125" s="2"/>
      <c r="P125" s="2"/>
      <c r="Q125" s="2"/>
      <c r="R125" s="2"/>
      <c r="S125" s="2"/>
      <c r="T125" s="2"/>
      <c r="U125" s="2"/>
      <c r="V125" s="2"/>
      <c r="W125" s="2"/>
      <c r="X125" s="2"/>
      <c r="Y125" s="2"/>
      <c r="Z125" s="2"/>
    </row>
    <row r="126" customHeight="1" spans="1:26">
      <c r="A126" s="13" t="s">
        <v>558</v>
      </c>
      <c r="B126" s="13" t="s">
        <v>2301</v>
      </c>
      <c r="C126" s="13" t="s">
        <v>560</v>
      </c>
      <c r="D126" s="14">
        <v>40</v>
      </c>
      <c r="E126" s="13" t="s">
        <v>37</v>
      </c>
      <c r="F126" s="13" t="s">
        <v>1198</v>
      </c>
      <c r="G126" s="13" t="s">
        <v>1199</v>
      </c>
      <c r="H126" s="57"/>
      <c r="I126" s="57"/>
      <c r="J126" s="2"/>
      <c r="K126" s="2"/>
      <c r="L126" s="2"/>
      <c r="M126" s="2"/>
      <c r="N126" s="2"/>
      <c r="O126" s="2"/>
      <c r="P126" s="2"/>
      <c r="Q126" s="2"/>
      <c r="R126" s="2"/>
      <c r="S126" s="2"/>
      <c r="T126" s="2"/>
      <c r="U126" s="2"/>
      <c r="V126" s="2"/>
      <c r="W126" s="2"/>
      <c r="X126" s="2"/>
      <c r="Y126" s="2"/>
      <c r="Z126" s="2"/>
    </row>
    <row r="127" customHeight="1" spans="1:26">
      <c r="A127" s="13" t="s">
        <v>563</v>
      </c>
      <c r="B127" s="13" t="s">
        <v>4446</v>
      </c>
      <c r="C127" s="13" t="s">
        <v>565</v>
      </c>
      <c r="D127" s="14">
        <v>80</v>
      </c>
      <c r="E127" s="13" t="s">
        <v>37</v>
      </c>
      <c r="F127" s="13" t="s">
        <v>4447</v>
      </c>
      <c r="G127" s="13" t="s">
        <v>4448</v>
      </c>
      <c r="H127" s="57"/>
      <c r="I127" s="57"/>
      <c r="J127" s="2"/>
      <c r="K127" s="2"/>
      <c r="L127" s="2"/>
      <c r="M127" s="2"/>
      <c r="N127" s="2"/>
      <c r="O127" s="2"/>
      <c r="P127" s="2"/>
      <c r="Q127" s="2"/>
      <c r="R127" s="2"/>
      <c r="S127" s="2"/>
      <c r="T127" s="2"/>
      <c r="U127" s="2"/>
      <c r="V127" s="2"/>
      <c r="W127" s="2"/>
      <c r="X127" s="2"/>
      <c r="Y127" s="2"/>
      <c r="Z127" s="2"/>
    </row>
    <row r="128" customHeight="1" spans="1:26">
      <c r="A128" s="65"/>
      <c r="B128" s="65"/>
      <c r="C128" s="57"/>
      <c r="D128" s="57"/>
      <c r="E128" s="57"/>
      <c r="F128" s="57"/>
      <c r="G128" s="57"/>
      <c r="H128" s="57"/>
      <c r="I128" s="57"/>
      <c r="J128" s="2"/>
      <c r="K128" s="2"/>
      <c r="L128" s="2"/>
      <c r="M128" s="2"/>
      <c r="N128" s="2"/>
      <c r="O128" s="2"/>
      <c r="P128" s="2"/>
      <c r="Q128" s="2"/>
      <c r="R128" s="2"/>
      <c r="S128" s="2"/>
      <c r="T128" s="2"/>
      <c r="U128" s="2"/>
      <c r="V128" s="2"/>
      <c r="W128" s="2"/>
      <c r="X128" s="2"/>
      <c r="Y128" s="2"/>
      <c r="Z128" s="2"/>
    </row>
    <row r="129" customHeight="1" spans="1:26">
      <c r="A129" s="65"/>
      <c r="B129" s="57"/>
      <c r="C129" s="57"/>
      <c r="D129" s="57"/>
      <c r="E129" s="57"/>
      <c r="F129" s="57"/>
      <c r="G129" s="57"/>
      <c r="H129" s="57"/>
      <c r="I129" s="57"/>
      <c r="J129" s="2"/>
      <c r="K129" s="2"/>
      <c r="L129" s="2"/>
      <c r="M129" s="2"/>
      <c r="N129" s="2"/>
      <c r="O129" s="2"/>
      <c r="P129" s="2"/>
      <c r="Q129" s="2"/>
      <c r="R129" s="2"/>
      <c r="S129" s="2"/>
      <c r="T129" s="2"/>
      <c r="U129" s="2"/>
      <c r="V129" s="2"/>
      <c r="W129" s="2"/>
      <c r="X129" s="2"/>
      <c r="Y129" s="2"/>
      <c r="Z129" s="2"/>
    </row>
    <row r="130" ht="13.5" customHeight="1"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7" sqref="A7"/>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4449</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70" t="s">
        <v>10</v>
      </c>
      <c r="B4" s="63" t="s">
        <v>4450</v>
      </c>
      <c r="C4" s="63" t="s">
        <v>12</v>
      </c>
      <c r="D4" s="98"/>
      <c r="E4" s="98"/>
      <c r="F4" s="63" t="s">
        <v>4451</v>
      </c>
      <c r="G4" s="63" t="s">
        <v>4452</v>
      </c>
      <c r="H4" s="2"/>
      <c r="I4" s="2"/>
      <c r="J4" s="2"/>
      <c r="K4" s="2"/>
      <c r="L4" s="2"/>
      <c r="M4" s="2"/>
      <c r="N4" s="2"/>
      <c r="O4" s="2"/>
      <c r="P4" s="2"/>
      <c r="Q4" s="2"/>
      <c r="R4" s="2"/>
      <c r="S4" s="2"/>
      <c r="T4" s="2"/>
      <c r="U4" s="2"/>
      <c r="V4" s="2"/>
      <c r="W4" s="2"/>
      <c r="X4" s="2"/>
      <c r="Y4" s="2"/>
      <c r="Z4" s="2"/>
    </row>
    <row r="5" customHeight="1" spans="1:26">
      <c r="A5" s="52" t="s">
        <v>15</v>
      </c>
      <c r="B5" s="62" t="s">
        <v>16</v>
      </c>
      <c r="C5" s="13" t="s">
        <v>12</v>
      </c>
      <c r="D5" s="57"/>
      <c r="E5" s="57"/>
      <c r="F5" s="13" t="s">
        <v>17</v>
      </c>
      <c r="G5" s="13" t="s">
        <v>4453</v>
      </c>
      <c r="H5" s="2"/>
      <c r="I5" s="2"/>
      <c r="J5" s="2"/>
      <c r="K5" s="2"/>
      <c r="L5" s="2"/>
      <c r="M5" s="2"/>
      <c r="N5" s="2"/>
      <c r="O5" s="2"/>
      <c r="P5" s="2"/>
      <c r="Q5" s="2"/>
      <c r="R5" s="2"/>
      <c r="S5" s="2"/>
      <c r="T5" s="2"/>
      <c r="U5" s="2"/>
      <c r="V5" s="2"/>
      <c r="W5" s="2"/>
      <c r="X5" s="2"/>
      <c r="Y5" s="2"/>
      <c r="Z5" s="2"/>
    </row>
    <row r="6" customHeight="1" spans="1:26">
      <c r="A6" s="63" t="s">
        <v>18</v>
      </c>
      <c r="B6" s="13" t="s">
        <v>4454</v>
      </c>
      <c r="C6" s="13" t="s">
        <v>20</v>
      </c>
      <c r="D6" s="14">
        <v>340</v>
      </c>
      <c r="E6" s="13" t="s">
        <v>21</v>
      </c>
      <c r="F6" s="13" t="s">
        <v>4455</v>
      </c>
      <c r="G6" s="13" t="s">
        <v>4456</v>
      </c>
      <c r="H6" s="2"/>
      <c r="I6" s="2"/>
      <c r="J6" s="2"/>
      <c r="K6" s="2"/>
      <c r="L6" s="2"/>
      <c r="M6" s="2"/>
      <c r="N6" s="2"/>
      <c r="O6" s="2"/>
      <c r="P6" s="2"/>
      <c r="Q6" s="2"/>
      <c r="R6" s="2"/>
      <c r="S6" s="2"/>
      <c r="T6" s="2"/>
      <c r="U6" s="2"/>
      <c r="V6" s="2"/>
      <c r="W6" s="2"/>
      <c r="X6" s="2"/>
      <c r="Y6" s="2"/>
      <c r="Z6" s="2"/>
    </row>
    <row r="7" customHeight="1" spans="1:26">
      <c r="A7" s="13" t="s">
        <v>24</v>
      </c>
      <c r="B7" s="13" t="s">
        <v>4457</v>
      </c>
      <c r="C7" s="13" t="s">
        <v>4458</v>
      </c>
      <c r="D7" s="14">
        <v>85</v>
      </c>
      <c r="E7" s="13" t="s">
        <v>21</v>
      </c>
      <c r="F7" s="13" t="s">
        <v>4459</v>
      </c>
      <c r="G7" s="13" t="s">
        <v>4460</v>
      </c>
      <c r="H7" s="2"/>
      <c r="I7" s="2"/>
      <c r="J7" s="2"/>
      <c r="K7" s="2"/>
      <c r="L7" s="2"/>
      <c r="M7" s="2"/>
      <c r="N7" s="2"/>
      <c r="O7" s="2"/>
      <c r="P7" s="2"/>
      <c r="Q7" s="2"/>
      <c r="R7" s="2"/>
      <c r="S7" s="2"/>
      <c r="T7" s="2"/>
      <c r="U7" s="2"/>
      <c r="V7" s="2"/>
      <c r="W7" s="2"/>
      <c r="X7" s="2"/>
      <c r="Y7" s="2"/>
      <c r="Z7" s="2"/>
    </row>
    <row r="8" customHeight="1" spans="1:26">
      <c r="A8" s="64" t="s">
        <v>29</v>
      </c>
      <c r="B8" s="13" t="s">
        <v>3475</v>
      </c>
      <c r="C8" s="13" t="s">
        <v>31</v>
      </c>
      <c r="D8" s="65">
        <v>30</v>
      </c>
      <c r="E8" s="13" t="s">
        <v>32</v>
      </c>
      <c r="F8" s="13" t="s">
        <v>4461</v>
      </c>
      <c r="G8" s="13" t="s">
        <v>4462</v>
      </c>
      <c r="H8" s="2"/>
      <c r="I8" s="2"/>
      <c r="J8" s="2"/>
      <c r="K8" s="2"/>
      <c r="L8" s="2"/>
      <c r="M8" s="2"/>
      <c r="N8" s="2"/>
      <c r="O8" s="2"/>
      <c r="P8" s="2"/>
      <c r="Q8" s="2"/>
      <c r="R8" s="2"/>
      <c r="S8" s="2"/>
      <c r="T8" s="2"/>
      <c r="U8" s="2"/>
      <c r="V8" s="2"/>
      <c r="W8" s="2"/>
      <c r="X8" s="2"/>
      <c r="Y8" s="2"/>
      <c r="Z8" s="2"/>
    </row>
    <row r="9" customHeight="1" spans="1:26">
      <c r="A9" s="64" t="s">
        <v>35</v>
      </c>
      <c r="B9" s="13" t="s">
        <v>889</v>
      </c>
      <c r="C9" s="13" t="s">
        <v>31</v>
      </c>
      <c r="D9" s="65">
        <v>30</v>
      </c>
      <c r="E9" s="13" t="s">
        <v>37</v>
      </c>
      <c r="F9" s="13" t="s">
        <v>890</v>
      </c>
      <c r="G9" s="13" t="s">
        <v>891</v>
      </c>
      <c r="H9" s="2"/>
      <c r="I9" s="2"/>
      <c r="J9" s="2"/>
      <c r="K9" s="2"/>
      <c r="L9" s="2"/>
      <c r="M9" s="2"/>
      <c r="N9" s="2"/>
      <c r="O9" s="2"/>
      <c r="P9" s="2"/>
      <c r="Q9" s="2"/>
      <c r="R9" s="2"/>
      <c r="S9" s="2"/>
      <c r="T9" s="2"/>
      <c r="U9" s="2"/>
      <c r="V9" s="2"/>
      <c r="W9" s="2"/>
      <c r="X9" s="2"/>
      <c r="Y9" s="2"/>
      <c r="Z9" s="2"/>
    </row>
    <row r="10" customHeight="1" spans="1:26">
      <c r="A10" s="64" t="s">
        <v>40</v>
      </c>
      <c r="B10" s="13" t="s">
        <v>41</v>
      </c>
      <c r="C10" s="13" t="s">
        <v>41</v>
      </c>
      <c r="D10" s="65">
        <v>106</v>
      </c>
      <c r="E10" s="13" t="s">
        <v>21</v>
      </c>
      <c r="F10" s="13" t="s">
        <v>42</v>
      </c>
      <c r="G10" s="13" t="s">
        <v>4463</v>
      </c>
      <c r="H10" s="2"/>
      <c r="I10" s="2"/>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13" t="s">
        <v>4464</v>
      </c>
      <c r="H11" s="2"/>
      <c r="I11" s="2"/>
      <c r="J11" s="2"/>
      <c r="K11" s="2"/>
      <c r="L11" s="2"/>
      <c r="M11" s="2"/>
      <c r="N11" s="2"/>
      <c r="O11" s="2"/>
      <c r="P11" s="2"/>
      <c r="Q11" s="2"/>
      <c r="R11" s="2"/>
      <c r="S11" s="2"/>
      <c r="T11" s="2"/>
      <c r="U11" s="2"/>
      <c r="V11" s="2"/>
      <c r="W11" s="2"/>
      <c r="X11" s="2"/>
      <c r="Y11" s="2"/>
      <c r="Z11" s="2"/>
    </row>
    <row r="12" customHeight="1" spans="1:26">
      <c r="A12" s="13" t="s">
        <v>49</v>
      </c>
      <c r="B12" s="13" t="s">
        <v>4465</v>
      </c>
      <c r="C12" s="13" t="s">
        <v>896</v>
      </c>
      <c r="D12" s="57"/>
      <c r="E12" s="57"/>
      <c r="F12" s="13" t="s">
        <v>4466</v>
      </c>
      <c r="G12" s="13" t="s">
        <v>4467</v>
      </c>
      <c r="H12" s="2"/>
      <c r="I12" s="2"/>
      <c r="J12" s="2"/>
      <c r="K12" s="2"/>
      <c r="L12" s="2"/>
      <c r="M12" s="2"/>
      <c r="N12" s="2"/>
      <c r="O12" s="2"/>
      <c r="P12" s="2"/>
      <c r="Q12" s="2"/>
      <c r="R12" s="2"/>
      <c r="S12" s="2"/>
      <c r="T12" s="2"/>
      <c r="U12" s="2"/>
      <c r="V12" s="2"/>
      <c r="W12" s="2"/>
      <c r="X12" s="2"/>
      <c r="Y12" s="2"/>
      <c r="Z12" s="2"/>
    </row>
    <row r="13" customHeight="1" spans="1:26">
      <c r="A13" s="13" t="s">
        <v>54</v>
      </c>
      <c r="B13" s="13" t="s">
        <v>4468</v>
      </c>
      <c r="C13" s="13" t="s">
        <v>56</v>
      </c>
      <c r="D13" s="57"/>
      <c r="E13" s="57"/>
      <c r="F13" s="13" t="s">
        <v>4469</v>
      </c>
      <c r="G13" s="13" t="s">
        <v>4470</v>
      </c>
      <c r="H13" s="2"/>
      <c r="I13" s="2"/>
      <c r="J13" s="2"/>
      <c r="K13" s="2"/>
      <c r="L13" s="2"/>
      <c r="M13" s="2"/>
      <c r="N13" s="2"/>
      <c r="O13" s="2"/>
      <c r="P13" s="2"/>
      <c r="Q13" s="2"/>
      <c r="R13" s="2"/>
      <c r="S13" s="2"/>
      <c r="T13" s="2"/>
      <c r="U13" s="2"/>
      <c r="V13" s="2"/>
      <c r="W13" s="2"/>
      <c r="X13" s="2"/>
      <c r="Y13" s="2"/>
      <c r="Z13" s="2"/>
    </row>
    <row r="14" customHeight="1" spans="1:26">
      <c r="A14" s="64" t="s">
        <v>59</v>
      </c>
      <c r="B14" s="13" t="s">
        <v>4471</v>
      </c>
      <c r="C14" s="13" t="s">
        <v>61</v>
      </c>
      <c r="D14" s="65">
        <v>13</v>
      </c>
      <c r="E14" s="13" t="s">
        <v>37</v>
      </c>
      <c r="F14" s="13" t="s">
        <v>4472</v>
      </c>
      <c r="G14" s="13" t="s">
        <v>4473</v>
      </c>
      <c r="H14" s="2"/>
      <c r="I14" s="2"/>
      <c r="J14" s="2"/>
      <c r="K14" s="2"/>
      <c r="L14" s="2"/>
      <c r="M14" s="2"/>
      <c r="N14" s="2"/>
      <c r="O14" s="2"/>
      <c r="P14" s="2"/>
      <c r="Q14" s="2"/>
      <c r="R14" s="2"/>
      <c r="S14" s="2"/>
      <c r="T14" s="2"/>
      <c r="U14" s="2"/>
      <c r="V14" s="2"/>
      <c r="W14" s="2"/>
      <c r="X14" s="2"/>
      <c r="Y14" s="2"/>
      <c r="Z14" s="2"/>
    </row>
    <row r="15" customHeight="1" spans="1:26">
      <c r="A15" s="64" t="s">
        <v>64</v>
      </c>
      <c r="B15" s="13" t="s">
        <v>4474</v>
      </c>
      <c r="C15" s="13" t="s">
        <v>66</v>
      </c>
      <c r="D15" s="65">
        <v>13</v>
      </c>
      <c r="E15" s="13" t="s">
        <v>32</v>
      </c>
      <c r="F15" s="13" t="s">
        <v>4475</v>
      </c>
      <c r="G15" s="13" t="s">
        <v>4476</v>
      </c>
      <c r="H15" s="2"/>
      <c r="I15" s="2"/>
      <c r="J15" s="2"/>
      <c r="K15" s="2"/>
      <c r="L15" s="2"/>
      <c r="M15" s="2"/>
      <c r="N15" s="2"/>
      <c r="O15" s="2"/>
      <c r="P15" s="2"/>
      <c r="Q15" s="2"/>
      <c r="R15" s="2"/>
      <c r="S15" s="2"/>
      <c r="T15" s="2"/>
      <c r="U15" s="2"/>
      <c r="V15" s="2"/>
      <c r="W15" s="2"/>
      <c r="X15" s="2"/>
      <c r="Y15" s="2"/>
      <c r="Z15" s="2"/>
    </row>
    <row r="16" customHeight="1" spans="1:26">
      <c r="A16" s="64" t="s">
        <v>69</v>
      </c>
      <c r="B16" s="13" t="s">
        <v>4477</v>
      </c>
      <c r="C16" s="13" t="s">
        <v>66</v>
      </c>
      <c r="D16" s="65">
        <v>12</v>
      </c>
      <c r="E16" s="13" t="s">
        <v>71</v>
      </c>
      <c r="F16" s="13" t="s">
        <v>4478</v>
      </c>
      <c r="G16" s="13" t="s">
        <v>4479</v>
      </c>
      <c r="H16" s="2"/>
      <c r="I16" s="2"/>
      <c r="J16" s="2"/>
      <c r="K16" s="2"/>
      <c r="L16" s="2"/>
      <c r="M16" s="2"/>
      <c r="N16" s="2"/>
      <c r="O16" s="2"/>
      <c r="P16" s="2"/>
      <c r="Q16" s="2"/>
      <c r="R16" s="2"/>
      <c r="S16" s="2"/>
      <c r="T16" s="2"/>
      <c r="U16" s="2"/>
      <c r="V16" s="2"/>
      <c r="W16" s="2"/>
      <c r="X16" s="2"/>
      <c r="Y16" s="2"/>
      <c r="Z16" s="2"/>
    </row>
    <row r="17" customHeight="1" spans="1:26">
      <c r="A17" s="13" t="s">
        <v>74</v>
      </c>
      <c r="B17" s="13" t="s">
        <v>4480</v>
      </c>
      <c r="C17" s="13" t="s">
        <v>76</v>
      </c>
      <c r="D17" s="57"/>
      <c r="E17" s="57"/>
      <c r="F17" s="13" t="s">
        <v>4481</v>
      </c>
      <c r="G17" s="13" t="s">
        <v>4482</v>
      </c>
      <c r="H17" s="2"/>
      <c r="I17" s="2"/>
      <c r="J17" s="2"/>
      <c r="K17" s="2"/>
      <c r="L17" s="2"/>
      <c r="M17" s="2"/>
      <c r="N17" s="2"/>
      <c r="O17" s="2"/>
      <c r="P17" s="2"/>
      <c r="Q17" s="2"/>
      <c r="R17" s="2"/>
      <c r="S17" s="2"/>
      <c r="T17" s="2"/>
      <c r="U17" s="2"/>
      <c r="V17" s="2"/>
      <c r="W17" s="2"/>
      <c r="X17" s="2"/>
      <c r="Y17" s="2"/>
      <c r="Z17" s="2"/>
    </row>
    <row r="18" customHeight="1" spans="1:26">
      <c r="A18" s="64" t="s">
        <v>79</v>
      </c>
      <c r="B18" s="13" t="s">
        <v>4483</v>
      </c>
      <c r="C18" s="13" t="s">
        <v>915</v>
      </c>
      <c r="D18" s="65">
        <v>30</v>
      </c>
      <c r="E18" s="13" t="s">
        <v>37</v>
      </c>
      <c r="F18" s="13" t="s">
        <v>4484</v>
      </c>
      <c r="G18" s="13" t="s">
        <v>4485</v>
      </c>
      <c r="H18" s="2"/>
      <c r="I18" s="2"/>
      <c r="J18" s="2"/>
      <c r="K18" s="2"/>
      <c r="L18" s="2"/>
      <c r="M18" s="2"/>
      <c r="N18" s="2"/>
      <c r="O18" s="2"/>
      <c r="P18" s="2"/>
      <c r="Q18" s="2"/>
      <c r="R18" s="2"/>
      <c r="S18" s="2"/>
      <c r="T18" s="2"/>
      <c r="U18" s="2"/>
      <c r="V18" s="2"/>
      <c r="W18" s="2"/>
      <c r="X18" s="2"/>
      <c r="Y18" s="2"/>
      <c r="Z18" s="2"/>
    </row>
    <row r="19" customHeight="1" spans="1:26">
      <c r="A19" s="13" t="s">
        <v>84</v>
      </c>
      <c r="B19" s="13" t="s">
        <v>4486</v>
      </c>
      <c r="C19" s="13" t="s">
        <v>86</v>
      </c>
      <c r="D19" s="14">
        <v>134</v>
      </c>
      <c r="E19" s="13" t="s">
        <v>21</v>
      </c>
      <c r="F19" s="13" t="s">
        <v>4487</v>
      </c>
      <c r="G19" s="13" t="s">
        <v>4488</v>
      </c>
      <c r="H19" s="2"/>
      <c r="I19" s="2"/>
      <c r="J19" s="2"/>
      <c r="K19" s="2"/>
      <c r="L19" s="2"/>
      <c r="M19" s="2"/>
      <c r="N19" s="2"/>
      <c r="O19" s="2"/>
      <c r="P19" s="2"/>
      <c r="Q19" s="2"/>
      <c r="R19" s="2"/>
      <c r="S19" s="2"/>
      <c r="T19" s="2"/>
      <c r="U19" s="2"/>
      <c r="V19" s="2"/>
      <c r="W19" s="2"/>
      <c r="X19" s="2"/>
      <c r="Y19" s="2"/>
      <c r="Z19" s="2"/>
    </row>
    <row r="20" customHeight="1" spans="1:26">
      <c r="A20" s="13" t="s">
        <v>89</v>
      </c>
      <c r="B20" s="13" t="s">
        <v>4489</v>
      </c>
      <c r="C20" s="13" t="s">
        <v>91</v>
      </c>
      <c r="D20" s="57"/>
      <c r="E20" s="57"/>
      <c r="F20" s="13" t="s">
        <v>4490</v>
      </c>
      <c r="G20" s="13" t="s">
        <v>4491</v>
      </c>
      <c r="H20" s="2"/>
      <c r="I20" s="2"/>
      <c r="J20" s="2"/>
      <c r="K20" s="2"/>
      <c r="L20" s="2"/>
      <c r="M20" s="2"/>
      <c r="N20" s="2"/>
      <c r="O20" s="2"/>
      <c r="P20" s="2"/>
      <c r="Q20" s="2"/>
      <c r="R20" s="2"/>
      <c r="S20" s="2"/>
      <c r="T20" s="2"/>
      <c r="U20" s="2"/>
      <c r="V20" s="2"/>
      <c r="W20" s="2"/>
      <c r="X20" s="2"/>
      <c r="Y20" s="2"/>
      <c r="Z20" s="2"/>
    </row>
    <row r="21" customHeight="1" spans="1:26">
      <c r="A21" s="64" t="s">
        <v>94</v>
      </c>
      <c r="B21" s="13" t="s">
        <v>924</v>
      </c>
      <c r="C21" s="13" t="s">
        <v>925</v>
      </c>
      <c r="D21" s="65">
        <v>60</v>
      </c>
      <c r="E21" s="13" t="s">
        <v>71</v>
      </c>
      <c r="F21" s="13" t="s">
        <v>926</v>
      </c>
      <c r="G21" s="13" t="s">
        <v>4492</v>
      </c>
      <c r="H21" s="2"/>
      <c r="I21" s="2"/>
      <c r="J21" s="2"/>
      <c r="K21" s="2"/>
      <c r="L21" s="2"/>
      <c r="M21" s="2"/>
      <c r="N21" s="2"/>
      <c r="O21" s="2"/>
      <c r="P21" s="2"/>
      <c r="Q21" s="2"/>
      <c r="R21" s="2"/>
      <c r="S21" s="2"/>
      <c r="T21" s="2"/>
      <c r="U21" s="2"/>
      <c r="V21" s="2"/>
      <c r="W21" s="2"/>
      <c r="X21" s="2"/>
      <c r="Y21" s="2"/>
      <c r="Z21" s="2"/>
    </row>
    <row r="22" customHeight="1" spans="1:26">
      <c r="A22" s="64" t="s">
        <v>99</v>
      </c>
      <c r="B22" s="13" t="s">
        <v>928</v>
      </c>
      <c r="C22" s="13" t="s">
        <v>925</v>
      </c>
      <c r="D22" s="65">
        <v>70</v>
      </c>
      <c r="E22" s="13" t="s">
        <v>32</v>
      </c>
      <c r="F22" s="13" t="s">
        <v>929</v>
      </c>
      <c r="G22" s="13" t="s">
        <v>4493</v>
      </c>
      <c r="H22" s="2"/>
      <c r="I22" s="2"/>
      <c r="J22" s="2"/>
      <c r="K22" s="2"/>
      <c r="L22" s="2"/>
      <c r="M22" s="2"/>
      <c r="N22" s="2"/>
      <c r="O22" s="2"/>
      <c r="P22" s="2"/>
      <c r="Q22" s="2"/>
      <c r="R22" s="2"/>
      <c r="S22" s="2"/>
      <c r="T22" s="2"/>
      <c r="U22" s="2"/>
      <c r="V22" s="2"/>
      <c r="W22" s="2"/>
      <c r="X22" s="2"/>
      <c r="Y22" s="2"/>
      <c r="Z22" s="2"/>
    </row>
    <row r="23" customHeight="1" spans="1:26">
      <c r="A23" s="64" t="s">
        <v>102</v>
      </c>
      <c r="B23" s="13" t="s">
        <v>16</v>
      </c>
      <c r="C23" s="13" t="s">
        <v>108</v>
      </c>
      <c r="D23" s="65">
        <v>123</v>
      </c>
      <c r="E23" s="13" t="s">
        <v>21</v>
      </c>
      <c r="F23" s="13" t="s">
        <v>109</v>
      </c>
      <c r="G23" s="13" t="s">
        <v>4494</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4495</v>
      </c>
      <c r="H24" s="2"/>
      <c r="I24" s="2"/>
      <c r="J24" s="2"/>
      <c r="K24" s="2"/>
      <c r="L24" s="2"/>
      <c r="M24" s="2"/>
      <c r="N24" s="2"/>
      <c r="O24" s="2"/>
      <c r="P24" s="2"/>
      <c r="Q24" s="2"/>
      <c r="R24" s="2"/>
      <c r="S24" s="2"/>
      <c r="T24" s="2"/>
      <c r="U24" s="2"/>
      <c r="V24" s="2"/>
      <c r="W24" s="2"/>
      <c r="X24" s="2"/>
      <c r="Y24" s="2"/>
      <c r="Z24" s="2"/>
    </row>
    <row r="25" customHeight="1" spans="1:26">
      <c r="A25" s="13" t="s">
        <v>110</v>
      </c>
      <c r="B25" s="13" t="s">
        <v>4496</v>
      </c>
      <c r="C25" s="13" t="s">
        <v>112</v>
      </c>
      <c r="D25" s="57"/>
      <c r="E25" s="57"/>
      <c r="F25" s="13" t="s">
        <v>4497</v>
      </c>
      <c r="G25" s="13" t="s">
        <v>4498</v>
      </c>
      <c r="H25" s="2"/>
      <c r="I25" s="2"/>
      <c r="J25" s="2"/>
      <c r="K25" s="2"/>
      <c r="L25" s="2"/>
      <c r="M25" s="2"/>
      <c r="N25" s="2"/>
      <c r="O25" s="2"/>
      <c r="P25" s="2"/>
      <c r="Q25" s="2"/>
      <c r="R25" s="2"/>
      <c r="S25" s="2"/>
      <c r="T25" s="2"/>
      <c r="U25" s="2"/>
      <c r="V25" s="2"/>
      <c r="W25" s="2"/>
      <c r="X25" s="2"/>
      <c r="Y25" s="2"/>
      <c r="Z25" s="2"/>
    </row>
    <row r="26" customHeight="1" spans="1:26">
      <c r="A26" s="13" t="s">
        <v>115</v>
      </c>
      <c r="B26" s="13" t="s">
        <v>4499</v>
      </c>
      <c r="C26" s="13" t="s">
        <v>117</v>
      </c>
      <c r="D26" s="65">
        <v>90</v>
      </c>
      <c r="E26" s="13" t="s">
        <v>32</v>
      </c>
      <c r="F26" s="13" t="s">
        <v>4500</v>
      </c>
      <c r="G26" s="13" t="s">
        <v>4501</v>
      </c>
      <c r="H26" s="2"/>
      <c r="I26" s="2"/>
      <c r="J26" s="2"/>
      <c r="K26" s="2"/>
      <c r="L26" s="2"/>
      <c r="M26" s="2"/>
      <c r="N26" s="2"/>
      <c r="O26" s="2"/>
      <c r="P26" s="2"/>
      <c r="Q26" s="2"/>
      <c r="R26" s="2"/>
      <c r="S26" s="2"/>
      <c r="T26" s="2"/>
      <c r="U26" s="2"/>
      <c r="V26" s="2"/>
      <c r="W26" s="2"/>
      <c r="X26" s="2"/>
      <c r="Y26" s="2"/>
      <c r="Z26" s="2"/>
    </row>
    <row r="27" customHeight="1" spans="1:26">
      <c r="A27" s="64" t="s">
        <v>120</v>
      </c>
      <c r="B27" s="13" t="s">
        <v>4502</v>
      </c>
      <c r="C27" s="13" t="s">
        <v>117</v>
      </c>
      <c r="D27" s="65">
        <v>60</v>
      </c>
      <c r="E27" s="13" t="s">
        <v>37</v>
      </c>
      <c r="F27" s="13" t="s">
        <v>4503</v>
      </c>
      <c r="G27" s="13" t="s">
        <v>4504</v>
      </c>
      <c r="H27" s="2"/>
      <c r="I27" s="2"/>
      <c r="J27" s="2"/>
      <c r="K27" s="2"/>
      <c r="L27" s="2"/>
      <c r="M27" s="2"/>
      <c r="N27" s="2"/>
      <c r="O27" s="2"/>
      <c r="P27" s="2"/>
      <c r="Q27" s="2"/>
      <c r="R27" s="2"/>
      <c r="S27" s="2"/>
      <c r="T27" s="2"/>
      <c r="U27" s="2"/>
      <c r="V27" s="2"/>
      <c r="W27" s="2"/>
      <c r="X27" s="2"/>
      <c r="Y27" s="2"/>
      <c r="Z27" s="2"/>
    </row>
    <row r="28" customHeight="1" spans="1:26">
      <c r="A28" s="13" t="s">
        <v>123</v>
      </c>
      <c r="B28" s="13" t="s">
        <v>942</v>
      </c>
      <c r="C28" s="13" t="s">
        <v>117</v>
      </c>
      <c r="D28" s="65">
        <v>80</v>
      </c>
      <c r="E28" s="13" t="s">
        <v>245</v>
      </c>
      <c r="F28" s="13" t="s">
        <v>943</v>
      </c>
      <c r="G28" s="13" t="s">
        <v>4505</v>
      </c>
      <c r="H28" s="2"/>
      <c r="I28" s="2"/>
      <c r="J28" s="2"/>
      <c r="K28" s="2"/>
      <c r="L28" s="2"/>
      <c r="M28" s="2"/>
      <c r="N28" s="2"/>
      <c r="O28" s="2"/>
      <c r="P28" s="2"/>
      <c r="Q28" s="2"/>
      <c r="R28" s="2"/>
      <c r="S28" s="2"/>
      <c r="T28" s="2"/>
      <c r="U28" s="2"/>
      <c r="V28" s="2"/>
      <c r="W28" s="2"/>
      <c r="X28" s="2"/>
      <c r="Y28" s="2"/>
      <c r="Z28" s="2"/>
    </row>
    <row r="29" customHeight="1" spans="1:26">
      <c r="A29" s="64" t="s">
        <v>127</v>
      </c>
      <c r="B29" s="13" t="s">
        <v>4506</v>
      </c>
      <c r="C29" s="13" t="s">
        <v>117</v>
      </c>
      <c r="D29" s="65">
        <v>50</v>
      </c>
      <c r="E29" s="13" t="s">
        <v>37</v>
      </c>
      <c r="F29" s="13" t="s">
        <v>4507</v>
      </c>
      <c r="G29" s="13" t="s">
        <v>4508</v>
      </c>
      <c r="H29" s="2"/>
      <c r="I29" s="2"/>
      <c r="J29" s="2"/>
      <c r="K29" s="2"/>
      <c r="L29" s="2"/>
      <c r="M29" s="2"/>
      <c r="N29" s="2"/>
      <c r="O29" s="2"/>
      <c r="P29" s="2"/>
      <c r="Q29" s="2"/>
      <c r="R29" s="2"/>
      <c r="S29" s="2"/>
      <c r="T29" s="2"/>
      <c r="U29" s="2"/>
      <c r="V29" s="2"/>
      <c r="W29" s="2"/>
      <c r="X29" s="2"/>
      <c r="Y29" s="2"/>
      <c r="Z29" s="2"/>
    </row>
    <row r="30" customHeight="1" spans="1:26">
      <c r="A30" s="64" t="s">
        <v>131</v>
      </c>
      <c r="B30" s="13" t="s">
        <v>4509</v>
      </c>
      <c r="C30" s="13" t="s">
        <v>117</v>
      </c>
      <c r="D30" s="65">
        <v>50</v>
      </c>
      <c r="E30" s="13" t="s">
        <v>32</v>
      </c>
      <c r="F30" s="13" t="s">
        <v>4510</v>
      </c>
      <c r="G30" s="13" t="s">
        <v>4511</v>
      </c>
      <c r="H30" s="2"/>
      <c r="I30" s="2"/>
      <c r="J30" s="2"/>
      <c r="K30" s="2"/>
      <c r="L30" s="2"/>
      <c r="M30" s="2"/>
      <c r="N30" s="2"/>
      <c r="O30" s="2"/>
      <c r="P30" s="2"/>
      <c r="Q30" s="2"/>
      <c r="R30" s="2"/>
      <c r="S30" s="2"/>
      <c r="T30" s="2"/>
      <c r="U30" s="2"/>
      <c r="V30" s="2"/>
      <c r="W30" s="2"/>
      <c r="X30" s="2"/>
      <c r="Y30" s="2"/>
      <c r="Z30" s="2"/>
    </row>
    <row r="31" customHeight="1" spans="1:26">
      <c r="A31" s="64" t="s">
        <v>135</v>
      </c>
      <c r="B31" s="13" t="s">
        <v>951</v>
      </c>
      <c r="C31" s="13" t="s">
        <v>117</v>
      </c>
      <c r="D31" s="65">
        <v>30</v>
      </c>
      <c r="E31" s="13" t="s">
        <v>32</v>
      </c>
      <c r="F31" s="13" t="s">
        <v>4512</v>
      </c>
      <c r="G31" s="13" t="s">
        <v>4513</v>
      </c>
      <c r="H31" s="2"/>
      <c r="I31" s="2"/>
      <c r="J31" s="2"/>
      <c r="K31" s="2"/>
      <c r="L31" s="2"/>
      <c r="M31" s="2"/>
      <c r="N31" s="2"/>
      <c r="O31" s="2"/>
      <c r="P31" s="2"/>
      <c r="Q31" s="2"/>
      <c r="R31" s="2"/>
      <c r="S31" s="2"/>
      <c r="T31" s="2"/>
      <c r="U31" s="2"/>
      <c r="V31" s="2"/>
      <c r="W31" s="2"/>
      <c r="X31" s="2"/>
      <c r="Y31" s="2"/>
      <c r="Z31" s="2"/>
    </row>
    <row r="32" customHeight="1" spans="1:26">
      <c r="A32" s="13" t="s">
        <v>139</v>
      </c>
      <c r="B32" s="13" t="s">
        <v>4514</v>
      </c>
      <c r="C32" s="13" t="s">
        <v>141</v>
      </c>
      <c r="D32" s="14">
        <v>55</v>
      </c>
      <c r="E32" s="13" t="s">
        <v>37</v>
      </c>
      <c r="F32" s="13" t="s">
        <v>4515</v>
      </c>
      <c r="G32" s="13" t="s">
        <v>4516</v>
      </c>
      <c r="H32" s="2"/>
      <c r="I32" s="2"/>
      <c r="J32" s="2"/>
      <c r="K32" s="2"/>
      <c r="L32" s="2"/>
      <c r="M32" s="2"/>
      <c r="N32" s="2"/>
      <c r="O32" s="2"/>
      <c r="P32" s="2"/>
      <c r="Q32" s="2"/>
      <c r="R32" s="2"/>
      <c r="S32" s="2"/>
      <c r="T32" s="2"/>
      <c r="U32" s="2"/>
      <c r="V32" s="2"/>
      <c r="W32" s="2"/>
      <c r="X32" s="2"/>
      <c r="Y32" s="2"/>
      <c r="Z32" s="2"/>
    </row>
    <row r="33" customHeight="1" spans="1:26">
      <c r="A33" s="13" t="s">
        <v>144</v>
      </c>
      <c r="B33" s="13" t="s">
        <v>4517</v>
      </c>
      <c r="C33" s="13" t="s">
        <v>146</v>
      </c>
      <c r="D33" s="57"/>
      <c r="E33" s="57"/>
      <c r="F33" s="13" t="s">
        <v>4518</v>
      </c>
      <c r="G33" s="13" t="s">
        <v>4519</v>
      </c>
      <c r="H33" s="2"/>
      <c r="I33" s="2"/>
      <c r="J33" s="2"/>
      <c r="K33" s="2"/>
      <c r="L33" s="2"/>
      <c r="M33" s="2"/>
      <c r="N33" s="2"/>
      <c r="O33" s="2"/>
      <c r="P33" s="2"/>
      <c r="Q33" s="2"/>
      <c r="R33" s="2"/>
      <c r="S33" s="2"/>
      <c r="T33" s="2"/>
      <c r="U33" s="2"/>
      <c r="V33" s="2"/>
      <c r="W33" s="2"/>
      <c r="X33" s="2"/>
      <c r="Y33" s="2"/>
      <c r="Z33" s="2"/>
    </row>
    <row r="34" customHeight="1" spans="1:26">
      <c r="A34" s="13" t="s">
        <v>149</v>
      </c>
      <c r="B34" s="13" t="s">
        <v>4520</v>
      </c>
      <c r="C34" s="13" t="s">
        <v>151</v>
      </c>
      <c r="D34" s="57"/>
      <c r="E34" s="57"/>
      <c r="F34" s="13" t="s">
        <v>4521</v>
      </c>
      <c r="G34" s="13" t="s">
        <v>4522</v>
      </c>
      <c r="H34" s="2"/>
      <c r="I34" s="2"/>
      <c r="J34" s="2"/>
      <c r="K34" s="2"/>
      <c r="L34" s="2"/>
      <c r="M34" s="2"/>
      <c r="N34" s="2"/>
      <c r="O34" s="2"/>
      <c r="P34" s="2"/>
      <c r="Q34" s="2"/>
      <c r="R34" s="2"/>
      <c r="S34" s="2"/>
      <c r="T34" s="2"/>
      <c r="U34" s="2"/>
      <c r="V34" s="2"/>
      <c r="W34" s="2"/>
      <c r="X34" s="2"/>
      <c r="Y34" s="2"/>
      <c r="Z34" s="2"/>
    </row>
    <row r="35" customHeight="1" spans="1:26">
      <c r="A35" s="64" t="s">
        <v>154</v>
      </c>
      <c r="B35" s="13" t="s">
        <v>4523</v>
      </c>
      <c r="C35" s="13" t="s">
        <v>156</v>
      </c>
      <c r="D35" s="65">
        <v>30</v>
      </c>
      <c r="E35" s="13" t="s">
        <v>37</v>
      </c>
      <c r="F35" s="13" t="s">
        <v>4524</v>
      </c>
      <c r="G35" s="13" t="s">
        <v>4525</v>
      </c>
      <c r="H35" s="2"/>
      <c r="I35" s="2"/>
      <c r="J35" s="2"/>
      <c r="K35" s="2"/>
      <c r="L35" s="2"/>
      <c r="M35" s="2"/>
      <c r="N35" s="2"/>
      <c r="O35" s="2"/>
      <c r="P35" s="2"/>
      <c r="Q35" s="2"/>
      <c r="R35" s="2"/>
      <c r="S35" s="2"/>
      <c r="T35" s="2"/>
      <c r="U35" s="2"/>
      <c r="V35" s="2"/>
      <c r="W35" s="2"/>
      <c r="X35" s="2"/>
      <c r="Y35" s="2"/>
      <c r="Z35" s="2"/>
    </row>
    <row r="36" customHeight="1" spans="1:26">
      <c r="A36" s="13" t="s">
        <v>159</v>
      </c>
      <c r="B36" s="13" t="s">
        <v>4526</v>
      </c>
      <c r="C36" s="13" t="s">
        <v>161</v>
      </c>
      <c r="D36" s="57"/>
      <c r="E36" s="57"/>
      <c r="F36" s="13" t="s">
        <v>4527</v>
      </c>
      <c r="G36" s="13" t="s">
        <v>4528</v>
      </c>
      <c r="H36" s="2"/>
      <c r="I36" s="2"/>
      <c r="J36" s="2"/>
      <c r="K36" s="2"/>
      <c r="L36" s="2"/>
      <c r="M36" s="2"/>
      <c r="N36" s="2"/>
      <c r="O36" s="2"/>
      <c r="P36" s="2"/>
      <c r="Q36" s="2"/>
      <c r="R36" s="2"/>
      <c r="S36" s="2"/>
      <c r="T36" s="2"/>
      <c r="U36" s="2"/>
      <c r="V36" s="2"/>
      <c r="W36" s="2"/>
      <c r="X36" s="2"/>
      <c r="Y36" s="2"/>
      <c r="Z36" s="2"/>
    </row>
    <row r="37" customHeight="1" spans="1:26">
      <c r="A37" s="13" t="s">
        <v>164</v>
      </c>
      <c r="B37" s="13" t="s">
        <v>4529</v>
      </c>
      <c r="C37" s="13" t="s">
        <v>166</v>
      </c>
      <c r="D37" s="57"/>
      <c r="E37" s="57"/>
      <c r="F37" s="13" t="s">
        <v>4530</v>
      </c>
      <c r="G37" s="13" t="s">
        <v>4531</v>
      </c>
      <c r="H37" s="2"/>
      <c r="I37" s="2"/>
      <c r="J37" s="2"/>
      <c r="K37" s="2"/>
      <c r="L37" s="2"/>
      <c r="M37" s="2"/>
      <c r="N37" s="2"/>
      <c r="O37" s="2"/>
      <c r="P37" s="2"/>
      <c r="Q37" s="2"/>
      <c r="R37" s="2"/>
      <c r="S37" s="2"/>
      <c r="T37" s="2"/>
      <c r="U37" s="2"/>
      <c r="V37" s="2"/>
      <c r="W37" s="2"/>
      <c r="X37" s="2"/>
      <c r="Y37" s="2"/>
      <c r="Z37" s="2"/>
    </row>
    <row r="38" customHeight="1" spans="1:26">
      <c r="A38" s="64" t="s">
        <v>169</v>
      </c>
      <c r="B38" s="13" t="s">
        <v>972</v>
      </c>
      <c r="C38" s="13" t="s">
        <v>171</v>
      </c>
      <c r="D38" s="65">
        <v>46</v>
      </c>
      <c r="E38" s="13" t="s">
        <v>37</v>
      </c>
      <c r="F38" s="13" t="s">
        <v>973</v>
      </c>
      <c r="G38" s="13" t="s">
        <v>4532</v>
      </c>
      <c r="H38" s="2"/>
      <c r="I38" s="2"/>
      <c r="J38" s="2"/>
      <c r="K38" s="2"/>
      <c r="L38" s="2"/>
      <c r="M38" s="2"/>
      <c r="N38" s="2"/>
      <c r="O38" s="2"/>
      <c r="P38" s="2"/>
      <c r="Q38" s="2"/>
      <c r="R38" s="2"/>
      <c r="S38" s="2"/>
      <c r="T38" s="2"/>
      <c r="U38" s="2"/>
      <c r="V38" s="2"/>
      <c r="W38" s="2"/>
      <c r="X38" s="2"/>
      <c r="Y38" s="2"/>
      <c r="Z38" s="2"/>
    </row>
    <row r="39" customHeight="1" spans="1:26">
      <c r="A39" s="64" t="s">
        <v>174</v>
      </c>
      <c r="B39" s="13" t="s">
        <v>4243</v>
      </c>
      <c r="C39" s="13" t="s">
        <v>171</v>
      </c>
      <c r="D39" s="65">
        <v>30</v>
      </c>
      <c r="E39" s="13" t="s">
        <v>37</v>
      </c>
      <c r="F39" s="13" t="s">
        <v>4244</v>
      </c>
      <c r="G39" s="13" t="s">
        <v>4533</v>
      </c>
      <c r="H39" s="2"/>
      <c r="I39" s="2"/>
      <c r="J39" s="2"/>
      <c r="K39" s="2"/>
      <c r="L39" s="2"/>
      <c r="M39" s="2"/>
      <c r="N39" s="2"/>
      <c r="O39" s="2"/>
      <c r="P39" s="2"/>
      <c r="Q39" s="2"/>
      <c r="R39" s="2"/>
      <c r="S39" s="2"/>
      <c r="T39" s="2"/>
      <c r="U39" s="2"/>
      <c r="V39" s="2"/>
      <c r="W39" s="2"/>
      <c r="X39" s="2"/>
      <c r="Y39" s="2"/>
      <c r="Z39" s="2"/>
    </row>
    <row r="40" customHeight="1" spans="1:26">
      <c r="A40" s="64" t="s">
        <v>178</v>
      </c>
      <c r="B40" s="13" t="s">
        <v>4534</v>
      </c>
      <c r="C40" s="13" t="s">
        <v>180</v>
      </c>
      <c r="D40" s="65">
        <v>45</v>
      </c>
      <c r="E40" s="13" t="s">
        <v>37</v>
      </c>
      <c r="F40" s="13" t="s">
        <v>4535</v>
      </c>
      <c r="G40" s="13" t="s">
        <v>4536</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customHeight="1" spans="1:26">
      <c r="A42" s="64" t="s">
        <v>188</v>
      </c>
      <c r="B42" s="13" t="s">
        <v>189</v>
      </c>
      <c r="C42" s="13" t="s">
        <v>190</v>
      </c>
      <c r="D42" s="65">
        <v>650</v>
      </c>
      <c r="E42" s="13" t="s">
        <v>37</v>
      </c>
      <c r="F42" s="13" t="s">
        <v>191</v>
      </c>
      <c r="G42" s="13" t="s">
        <v>4537</v>
      </c>
      <c r="H42" s="2"/>
      <c r="I42" s="2"/>
      <c r="J42" s="2"/>
      <c r="K42" s="2"/>
      <c r="L42" s="2"/>
      <c r="M42" s="2"/>
      <c r="N42" s="2"/>
      <c r="O42" s="2"/>
      <c r="P42" s="2"/>
      <c r="Q42" s="2"/>
      <c r="R42" s="2"/>
      <c r="S42" s="2"/>
      <c r="T42" s="2"/>
      <c r="U42" s="2"/>
      <c r="V42" s="2"/>
      <c r="W42" s="2"/>
      <c r="X42" s="2"/>
      <c r="Y42" s="2"/>
      <c r="Z42" s="2"/>
    </row>
    <row r="43" customHeight="1" spans="1:26">
      <c r="A43" s="13" t="s">
        <v>193</v>
      </c>
      <c r="B43" s="13" t="s">
        <v>4538</v>
      </c>
      <c r="C43" s="13" t="s">
        <v>195</v>
      </c>
      <c r="D43" s="57"/>
      <c r="E43" s="57"/>
      <c r="F43" s="13" t="s">
        <v>4539</v>
      </c>
      <c r="G43" s="13" t="s">
        <v>4540</v>
      </c>
      <c r="H43" s="2"/>
      <c r="I43" s="2"/>
      <c r="J43" s="2"/>
      <c r="K43" s="2"/>
      <c r="L43" s="2"/>
      <c r="M43" s="2"/>
      <c r="N43" s="2"/>
      <c r="O43" s="2"/>
      <c r="P43" s="2"/>
      <c r="Q43" s="2"/>
      <c r="R43" s="2"/>
      <c r="S43" s="2"/>
      <c r="T43" s="2"/>
      <c r="U43" s="2"/>
      <c r="V43" s="2"/>
      <c r="W43" s="2"/>
      <c r="X43" s="2"/>
      <c r="Y43" s="2"/>
      <c r="Z43" s="2"/>
    </row>
    <row r="44" customHeight="1" spans="1:26">
      <c r="A44" s="64" t="s">
        <v>198</v>
      </c>
      <c r="B44" s="13" t="s">
        <v>4541</v>
      </c>
      <c r="C44" s="13" t="s">
        <v>200</v>
      </c>
      <c r="D44" s="65">
        <v>30</v>
      </c>
      <c r="E44" s="13" t="s">
        <v>21</v>
      </c>
      <c r="F44" s="13" t="s">
        <v>4542</v>
      </c>
      <c r="G44" s="13" t="s">
        <v>4543</v>
      </c>
      <c r="H44" s="2"/>
      <c r="I44" s="2"/>
      <c r="J44" s="2"/>
      <c r="K44" s="2"/>
      <c r="L44" s="2"/>
      <c r="M44" s="2"/>
      <c r="N44" s="2"/>
      <c r="O44" s="2"/>
      <c r="P44" s="2"/>
      <c r="Q44" s="2"/>
      <c r="R44" s="2"/>
      <c r="S44" s="2"/>
      <c r="T44" s="2"/>
      <c r="U44" s="2"/>
      <c r="V44" s="2"/>
      <c r="W44" s="2"/>
      <c r="X44" s="2"/>
      <c r="Y44" s="2"/>
      <c r="Z44" s="2"/>
    </row>
    <row r="45" customHeight="1" spans="1:26">
      <c r="A45" s="13" t="s">
        <v>203</v>
      </c>
      <c r="B45" s="13" t="s">
        <v>4544</v>
      </c>
      <c r="C45" s="13" t="s">
        <v>200</v>
      </c>
      <c r="D45" s="14">
        <v>80</v>
      </c>
      <c r="E45" s="13" t="s">
        <v>21</v>
      </c>
      <c r="F45" s="13" t="s">
        <v>4545</v>
      </c>
      <c r="G45" s="13" t="s">
        <v>4546</v>
      </c>
      <c r="H45" s="2"/>
      <c r="I45" s="2"/>
      <c r="J45" s="2"/>
      <c r="K45" s="2"/>
      <c r="L45" s="2"/>
      <c r="M45" s="2"/>
      <c r="N45" s="2"/>
      <c r="O45" s="2"/>
      <c r="P45" s="2"/>
      <c r="Q45" s="2"/>
      <c r="R45" s="2"/>
      <c r="S45" s="2"/>
      <c r="T45" s="2"/>
      <c r="U45" s="2"/>
      <c r="V45" s="2"/>
      <c r="W45" s="2"/>
      <c r="X45" s="2"/>
      <c r="Y45" s="2"/>
      <c r="Z45" s="2"/>
    </row>
    <row r="46" customHeight="1" spans="1:26">
      <c r="A46" s="64" t="s">
        <v>207</v>
      </c>
      <c r="B46" s="13" t="s">
        <v>4547</v>
      </c>
      <c r="C46" s="13" t="s">
        <v>209</v>
      </c>
      <c r="D46" s="65">
        <v>5</v>
      </c>
      <c r="E46" s="13" t="s">
        <v>37</v>
      </c>
      <c r="F46" s="13" t="s">
        <v>4548</v>
      </c>
      <c r="G46" s="13" t="s">
        <v>4549</v>
      </c>
      <c r="H46" s="2"/>
      <c r="I46" s="2"/>
      <c r="J46" s="2"/>
      <c r="K46" s="2"/>
      <c r="L46" s="2"/>
      <c r="M46" s="2"/>
      <c r="N46" s="2"/>
      <c r="O46" s="2"/>
      <c r="P46" s="2"/>
      <c r="Q46" s="2"/>
      <c r="R46" s="2"/>
      <c r="S46" s="2"/>
      <c r="T46" s="2"/>
      <c r="U46" s="2"/>
      <c r="V46" s="2"/>
      <c r="W46" s="2"/>
      <c r="X46" s="2"/>
      <c r="Y46" s="2"/>
      <c r="Z46" s="2"/>
    </row>
    <row r="47" customHeight="1" spans="1:26">
      <c r="A47" s="13" t="s">
        <v>212</v>
      </c>
      <c r="B47" s="13" t="s">
        <v>4550</v>
      </c>
      <c r="C47" s="13" t="s">
        <v>214</v>
      </c>
      <c r="D47" s="14">
        <v>20</v>
      </c>
      <c r="E47" s="13" t="s">
        <v>37</v>
      </c>
      <c r="F47" s="13" t="s">
        <v>4551</v>
      </c>
      <c r="G47" s="13" t="s">
        <v>4552</v>
      </c>
      <c r="H47" s="2"/>
      <c r="I47" s="2"/>
      <c r="J47" s="2"/>
      <c r="K47" s="2"/>
      <c r="L47" s="2"/>
      <c r="M47" s="2"/>
      <c r="N47" s="2"/>
      <c r="O47" s="2"/>
      <c r="P47" s="2"/>
      <c r="Q47" s="2"/>
      <c r="R47" s="2"/>
      <c r="S47" s="2"/>
      <c r="T47" s="2"/>
      <c r="U47" s="2"/>
      <c r="V47" s="2"/>
      <c r="W47" s="2"/>
      <c r="X47" s="2"/>
      <c r="Y47" s="2"/>
      <c r="Z47" s="2"/>
    </row>
    <row r="48" customHeight="1" spans="1:26">
      <c r="A48" s="13" t="s">
        <v>217</v>
      </c>
      <c r="B48" s="13" t="s">
        <v>4553</v>
      </c>
      <c r="C48" s="13" t="s">
        <v>219</v>
      </c>
      <c r="D48" s="57"/>
      <c r="E48" s="57"/>
      <c r="F48" s="13" t="s">
        <v>997</v>
      </c>
      <c r="G48" s="13" t="s">
        <v>4554</v>
      </c>
      <c r="H48" s="2"/>
      <c r="I48" s="2"/>
      <c r="J48" s="2"/>
      <c r="K48" s="2"/>
      <c r="L48" s="2"/>
      <c r="M48" s="2"/>
      <c r="N48" s="2"/>
      <c r="O48" s="2"/>
      <c r="P48" s="2"/>
      <c r="Q48" s="2"/>
      <c r="R48" s="2"/>
      <c r="S48" s="2"/>
      <c r="T48" s="2"/>
      <c r="U48" s="2"/>
      <c r="V48" s="2"/>
      <c r="W48" s="2"/>
      <c r="X48" s="2"/>
      <c r="Y48" s="2"/>
      <c r="Z48" s="2"/>
    </row>
    <row r="49" customHeight="1" spans="1:26">
      <c r="A49" s="13" t="s">
        <v>222</v>
      </c>
      <c r="B49" s="13" t="s">
        <v>999</v>
      </c>
      <c r="C49" s="13" t="s">
        <v>1000</v>
      </c>
      <c r="D49" s="14">
        <v>96</v>
      </c>
      <c r="E49" s="13" t="s">
        <v>21</v>
      </c>
      <c r="F49" s="13" t="s">
        <v>1001</v>
      </c>
      <c r="G49" s="13" t="s">
        <v>1002</v>
      </c>
      <c r="H49" s="2"/>
      <c r="I49" s="2"/>
      <c r="J49" s="2"/>
      <c r="K49" s="2"/>
      <c r="L49" s="2"/>
      <c r="M49" s="2"/>
      <c r="N49" s="2"/>
      <c r="O49" s="2"/>
      <c r="P49" s="2"/>
      <c r="Q49" s="2"/>
      <c r="R49" s="2"/>
      <c r="S49" s="2"/>
      <c r="T49" s="2"/>
      <c r="U49" s="2"/>
      <c r="V49" s="2"/>
      <c r="W49" s="2"/>
      <c r="X49" s="2"/>
      <c r="Y49" s="2"/>
      <c r="Z49" s="2"/>
    </row>
    <row r="50" customHeight="1" spans="1:26">
      <c r="A50" s="13" t="s">
        <v>227</v>
      </c>
      <c r="B50" s="13" t="s">
        <v>4555</v>
      </c>
      <c r="C50" s="13" t="s">
        <v>1004</v>
      </c>
      <c r="D50" s="14">
        <v>66</v>
      </c>
      <c r="E50" s="13" t="s">
        <v>21</v>
      </c>
      <c r="F50" s="13" t="s">
        <v>4556</v>
      </c>
      <c r="G50" s="13" t="s">
        <v>4557</v>
      </c>
      <c r="H50" s="2"/>
      <c r="I50" s="2"/>
      <c r="J50" s="2"/>
      <c r="K50" s="2"/>
      <c r="L50" s="2"/>
      <c r="M50" s="2"/>
      <c r="N50" s="2"/>
      <c r="O50" s="2"/>
      <c r="P50" s="2"/>
      <c r="Q50" s="2"/>
      <c r="R50" s="2"/>
      <c r="S50" s="2"/>
      <c r="T50" s="2"/>
      <c r="U50" s="2"/>
      <c r="V50" s="2"/>
      <c r="W50" s="2"/>
      <c r="X50" s="2"/>
      <c r="Y50" s="2"/>
      <c r="Z50" s="2"/>
    </row>
    <row r="51" customHeight="1" spans="1:26">
      <c r="A51" s="13" t="s">
        <v>231</v>
      </c>
      <c r="B51" s="13" t="s">
        <v>4558</v>
      </c>
      <c r="C51" s="13" t="s">
        <v>1008</v>
      </c>
      <c r="D51" s="14">
        <v>156</v>
      </c>
      <c r="E51" s="13" t="s">
        <v>21</v>
      </c>
      <c r="F51" s="13" t="s">
        <v>4559</v>
      </c>
      <c r="G51" s="13" t="s">
        <v>4560</v>
      </c>
      <c r="H51" s="2"/>
      <c r="I51" s="2"/>
      <c r="J51" s="2"/>
      <c r="K51" s="2"/>
      <c r="L51" s="2"/>
      <c r="M51" s="2"/>
      <c r="N51" s="2"/>
      <c r="O51" s="2"/>
      <c r="P51" s="2"/>
      <c r="Q51" s="2"/>
      <c r="R51" s="2"/>
      <c r="S51" s="2"/>
      <c r="T51" s="2"/>
      <c r="U51" s="2"/>
      <c r="V51" s="2"/>
      <c r="W51" s="2"/>
      <c r="X51" s="2"/>
      <c r="Y51" s="2"/>
      <c r="Z51" s="2"/>
    </row>
    <row r="52" customHeight="1" spans="1:26">
      <c r="A52" s="64" t="s">
        <v>234</v>
      </c>
      <c r="B52" s="13" t="s">
        <v>4561</v>
      </c>
      <c r="C52" s="13" t="s">
        <v>236</v>
      </c>
      <c r="D52" s="65">
        <v>30</v>
      </c>
      <c r="E52" s="13" t="s">
        <v>37</v>
      </c>
      <c r="F52" s="13" t="s">
        <v>4562</v>
      </c>
      <c r="G52" s="13" t="s">
        <v>4563</v>
      </c>
      <c r="H52" s="2"/>
      <c r="I52" s="2"/>
      <c r="J52" s="2"/>
      <c r="K52" s="2"/>
      <c r="L52" s="2"/>
      <c r="M52" s="2"/>
      <c r="N52" s="2"/>
      <c r="O52" s="2"/>
      <c r="P52" s="2"/>
      <c r="Q52" s="2"/>
      <c r="R52" s="2"/>
      <c r="S52" s="2"/>
      <c r="T52" s="2"/>
      <c r="U52" s="2"/>
      <c r="V52" s="2"/>
      <c r="W52" s="2"/>
      <c r="X52" s="2"/>
      <c r="Y52" s="2"/>
      <c r="Z52" s="2"/>
    </row>
    <row r="53" customHeight="1" spans="1:26">
      <c r="A53" s="13" t="s">
        <v>239</v>
      </c>
      <c r="B53" s="13" t="s">
        <v>4564</v>
      </c>
      <c r="C53" s="13" t="s">
        <v>236</v>
      </c>
      <c r="D53" s="14">
        <v>230</v>
      </c>
      <c r="E53" s="13" t="s">
        <v>21</v>
      </c>
      <c r="F53" s="13" t="s">
        <v>4565</v>
      </c>
      <c r="G53" s="13" t="s">
        <v>4566</v>
      </c>
      <c r="H53" s="2"/>
      <c r="I53" s="2"/>
      <c r="J53" s="2"/>
      <c r="K53" s="2"/>
      <c r="L53" s="2"/>
      <c r="M53" s="2"/>
      <c r="N53" s="2"/>
      <c r="O53" s="2"/>
      <c r="P53" s="2"/>
      <c r="Q53" s="2"/>
      <c r="R53" s="2"/>
      <c r="S53" s="2"/>
      <c r="T53" s="2"/>
      <c r="U53" s="2"/>
      <c r="V53" s="2"/>
      <c r="W53" s="2"/>
      <c r="X53" s="2"/>
      <c r="Y53" s="2"/>
      <c r="Z53" s="2"/>
    </row>
    <row r="54" customHeight="1" spans="1:26">
      <c r="A54" s="13" t="s">
        <v>243</v>
      </c>
      <c r="B54" s="13" t="s">
        <v>4567</v>
      </c>
      <c r="C54" s="13" t="s">
        <v>236</v>
      </c>
      <c r="D54" s="14">
        <v>100</v>
      </c>
      <c r="E54" s="13" t="s">
        <v>245</v>
      </c>
      <c r="F54" s="13" t="s">
        <v>4568</v>
      </c>
      <c r="G54" s="13" t="s">
        <v>4569</v>
      </c>
      <c r="H54" s="2"/>
      <c r="I54" s="2"/>
      <c r="J54" s="2"/>
      <c r="K54" s="2"/>
      <c r="L54" s="2"/>
      <c r="M54" s="2"/>
      <c r="N54" s="2"/>
      <c r="O54" s="2"/>
      <c r="P54" s="2"/>
      <c r="Q54" s="2"/>
      <c r="R54" s="2"/>
      <c r="S54" s="2"/>
      <c r="T54" s="2"/>
      <c r="U54" s="2"/>
      <c r="V54" s="2"/>
      <c r="W54" s="2"/>
      <c r="X54" s="2"/>
      <c r="Y54" s="2"/>
      <c r="Z54" s="2"/>
    </row>
    <row r="55" customHeight="1" spans="1:26">
      <c r="A55" s="13" t="s">
        <v>248</v>
      </c>
      <c r="B55" s="13" t="s">
        <v>4570</v>
      </c>
      <c r="C55" s="13" t="s">
        <v>236</v>
      </c>
      <c r="D55" s="14">
        <v>100</v>
      </c>
      <c r="E55" s="13" t="s">
        <v>245</v>
      </c>
      <c r="F55" s="13" t="s">
        <v>4571</v>
      </c>
      <c r="G55" s="13" t="s">
        <v>4572</v>
      </c>
      <c r="H55" s="2"/>
      <c r="I55" s="2"/>
      <c r="J55" s="2"/>
      <c r="K55" s="2"/>
      <c r="L55" s="2"/>
      <c r="M55" s="2"/>
      <c r="N55" s="2"/>
      <c r="O55" s="2"/>
      <c r="P55" s="2"/>
      <c r="Q55" s="2"/>
      <c r="R55" s="2"/>
      <c r="S55" s="2"/>
      <c r="T55" s="2"/>
      <c r="U55" s="2"/>
      <c r="V55" s="2"/>
      <c r="W55" s="2"/>
      <c r="X55" s="2"/>
      <c r="Y55" s="2"/>
      <c r="Z55" s="2"/>
    </row>
    <row r="56" customHeight="1" spans="1:26">
      <c r="A56" s="64" t="s">
        <v>252</v>
      </c>
      <c r="B56" s="13" t="s">
        <v>4573</v>
      </c>
      <c r="C56" s="13" t="s">
        <v>236</v>
      </c>
      <c r="D56" s="65">
        <v>35</v>
      </c>
      <c r="E56" s="13" t="s">
        <v>37</v>
      </c>
      <c r="F56" s="13" t="s">
        <v>4574</v>
      </c>
      <c r="G56" s="13" t="s">
        <v>4575</v>
      </c>
      <c r="H56" s="2"/>
      <c r="I56" s="2"/>
      <c r="J56" s="2"/>
      <c r="K56" s="2"/>
      <c r="L56" s="2"/>
      <c r="M56" s="2"/>
      <c r="N56" s="2"/>
      <c r="O56" s="2"/>
      <c r="P56" s="2"/>
      <c r="Q56" s="2"/>
      <c r="R56" s="2"/>
      <c r="S56" s="2"/>
      <c r="T56" s="2"/>
      <c r="U56" s="2"/>
      <c r="V56" s="2"/>
      <c r="W56" s="2"/>
      <c r="X56" s="2"/>
      <c r="Y56" s="2"/>
      <c r="Z56" s="2"/>
    </row>
    <row r="57" customHeight="1" spans="1:26">
      <c r="A57" s="64" t="s">
        <v>256</v>
      </c>
      <c r="B57" s="13" t="s">
        <v>4576</v>
      </c>
      <c r="C57" s="13" t="s">
        <v>236</v>
      </c>
      <c r="D57" s="65">
        <v>40</v>
      </c>
      <c r="E57" s="13" t="s">
        <v>37</v>
      </c>
      <c r="F57" s="13" t="s">
        <v>4294</v>
      </c>
      <c r="G57" s="13" t="s">
        <v>4577</v>
      </c>
      <c r="H57" s="2"/>
      <c r="I57" s="2"/>
      <c r="J57" s="2"/>
      <c r="K57" s="2"/>
      <c r="L57" s="2"/>
      <c r="M57" s="2"/>
      <c r="N57" s="2"/>
      <c r="O57" s="2"/>
      <c r="P57" s="2"/>
      <c r="Q57" s="2"/>
      <c r="R57" s="2"/>
      <c r="S57" s="2"/>
      <c r="T57" s="2"/>
      <c r="U57" s="2"/>
      <c r="V57" s="2"/>
      <c r="W57" s="2"/>
      <c r="X57" s="2"/>
      <c r="Y57" s="2"/>
      <c r="Z57" s="2"/>
    </row>
    <row r="58" customHeight="1" spans="1:26">
      <c r="A58" s="64" t="s">
        <v>260</v>
      </c>
      <c r="B58" s="13" t="s">
        <v>261</v>
      </c>
      <c r="C58" s="13" t="s">
        <v>236</v>
      </c>
      <c r="D58" s="65">
        <v>8</v>
      </c>
      <c r="E58" s="13" t="s">
        <v>262</v>
      </c>
      <c r="F58" s="13" t="s">
        <v>263</v>
      </c>
      <c r="G58" s="13" t="s">
        <v>4578</v>
      </c>
      <c r="H58" s="2"/>
      <c r="I58" s="2"/>
      <c r="J58" s="2"/>
      <c r="K58" s="2"/>
      <c r="L58" s="2"/>
      <c r="M58" s="2"/>
      <c r="N58" s="2"/>
      <c r="O58" s="2"/>
      <c r="P58" s="2"/>
      <c r="Q58" s="2"/>
      <c r="R58" s="2"/>
      <c r="S58" s="2"/>
      <c r="T58" s="2"/>
      <c r="U58" s="2"/>
      <c r="V58" s="2"/>
      <c r="W58" s="2"/>
      <c r="X58" s="2"/>
      <c r="Y58" s="2"/>
      <c r="Z58" s="2"/>
    </row>
    <row r="59" customHeight="1" spans="1:26">
      <c r="A59" s="64" t="s">
        <v>265</v>
      </c>
      <c r="B59" s="13" t="s">
        <v>4579</v>
      </c>
      <c r="C59" s="13" t="s">
        <v>236</v>
      </c>
      <c r="D59" s="65">
        <v>30</v>
      </c>
      <c r="E59" s="13" t="s">
        <v>37</v>
      </c>
      <c r="F59" s="13" t="s">
        <v>4580</v>
      </c>
      <c r="G59" s="13" t="s">
        <v>4581</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13" t="s">
        <v>4582</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4583</v>
      </c>
      <c r="H61" s="2"/>
      <c r="I61" s="2"/>
      <c r="J61" s="2"/>
      <c r="K61" s="2"/>
      <c r="L61" s="2"/>
      <c r="M61" s="2"/>
      <c r="N61" s="2"/>
      <c r="O61" s="2"/>
      <c r="P61" s="2"/>
      <c r="Q61" s="2"/>
      <c r="R61" s="2"/>
      <c r="S61" s="2"/>
      <c r="T61" s="2"/>
      <c r="U61" s="2"/>
      <c r="V61" s="2"/>
      <c r="W61" s="2"/>
      <c r="X61" s="2"/>
      <c r="Y61" s="2"/>
      <c r="Z61" s="2"/>
    </row>
    <row r="62" customHeight="1" spans="1:26">
      <c r="A62" s="64" t="s">
        <v>277</v>
      </c>
      <c r="B62" s="13" t="s">
        <v>4584</v>
      </c>
      <c r="C62" s="13" t="s">
        <v>236</v>
      </c>
      <c r="D62" s="65">
        <v>37</v>
      </c>
      <c r="E62" s="13" t="s">
        <v>37</v>
      </c>
      <c r="F62" s="13" t="s">
        <v>4585</v>
      </c>
      <c r="G62" s="13" t="s">
        <v>4586</v>
      </c>
      <c r="H62" s="2"/>
      <c r="I62" s="2"/>
      <c r="J62" s="2"/>
      <c r="K62" s="2"/>
      <c r="L62" s="2"/>
      <c r="M62" s="2"/>
      <c r="N62" s="2"/>
      <c r="O62" s="2"/>
      <c r="P62" s="2"/>
      <c r="Q62" s="2"/>
      <c r="R62" s="2"/>
      <c r="S62" s="2"/>
      <c r="T62" s="2"/>
      <c r="U62" s="2"/>
      <c r="V62" s="2"/>
      <c r="W62" s="2"/>
      <c r="X62" s="2"/>
      <c r="Y62" s="2"/>
      <c r="Z62" s="2"/>
    </row>
    <row r="63" customHeight="1" spans="1:26">
      <c r="A63" s="64" t="s">
        <v>281</v>
      </c>
      <c r="B63" s="13" t="s">
        <v>4587</v>
      </c>
      <c r="C63" s="13" t="s">
        <v>236</v>
      </c>
      <c r="D63" s="65">
        <v>40</v>
      </c>
      <c r="E63" s="13" t="s">
        <v>37</v>
      </c>
      <c r="F63" s="13" t="s">
        <v>4588</v>
      </c>
      <c r="G63" s="13" t="s">
        <v>4589</v>
      </c>
      <c r="H63" s="2"/>
      <c r="I63" s="2"/>
      <c r="J63" s="2"/>
      <c r="K63" s="2"/>
      <c r="L63" s="2"/>
      <c r="M63" s="2"/>
      <c r="N63" s="2"/>
      <c r="O63" s="2"/>
      <c r="P63" s="2"/>
      <c r="Q63" s="2"/>
      <c r="R63" s="2"/>
      <c r="S63" s="2"/>
      <c r="T63" s="2"/>
      <c r="U63" s="2"/>
      <c r="V63" s="2"/>
      <c r="W63" s="2"/>
      <c r="X63" s="2"/>
      <c r="Y63" s="2"/>
      <c r="Z63" s="2"/>
    </row>
    <row r="64" customHeight="1" spans="1:26">
      <c r="A64" s="13" t="s">
        <v>285</v>
      </c>
      <c r="B64" s="13" t="s">
        <v>4483</v>
      </c>
      <c r="C64" s="13" t="s">
        <v>286</v>
      </c>
      <c r="D64" s="14">
        <v>35</v>
      </c>
      <c r="E64" s="13" t="s">
        <v>37</v>
      </c>
      <c r="F64" s="13" t="s">
        <v>4484</v>
      </c>
      <c r="G64" s="13" t="s">
        <v>4590</v>
      </c>
      <c r="H64" s="2"/>
      <c r="I64" s="2"/>
      <c r="J64" s="2"/>
      <c r="K64" s="2"/>
      <c r="L64" s="2"/>
      <c r="M64" s="2"/>
      <c r="N64" s="2"/>
      <c r="O64" s="2"/>
      <c r="P64" s="2"/>
      <c r="Q64" s="2"/>
      <c r="R64" s="2"/>
      <c r="S64" s="2"/>
      <c r="T64" s="2"/>
      <c r="U64" s="2"/>
      <c r="V64" s="2"/>
      <c r="W64" s="2"/>
      <c r="X64" s="2"/>
      <c r="Y64" s="2"/>
      <c r="Z64" s="2"/>
    </row>
    <row r="65" customHeight="1" spans="1:26">
      <c r="A65" s="64" t="s">
        <v>288</v>
      </c>
      <c r="B65" s="13" t="s">
        <v>4591</v>
      </c>
      <c r="C65" s="13" t="s">
        <v>290</v>
      </c>
      <c r="D65" s="65">
        <v>300</v>
      </c>
      <c r="E65" s="13" t="s">
        <v>37</v>
      </c>
      <c r="F65" s="13" t="s">
        <v>4592</v>
      </c>
      <c r="G65" s="13" t="s">
        <v>4593</v>
      </c>
      <c r="H65" s="2"/>
      <c r="I65" s="2"/>
      <c r="J65" s="2"/>
      <c r="K65" s="2"/>
      <c r="L65" s="2"/>
      <c r="M65" s="2"/>
      <c r="N65" s="2"/>
      <c r="O65" s="2"/>
      <c r="P65" s="2"/>
      <c r="Q65" s="2"/>
      <c r="R65" s="2"/>
      <c r="S65" s="2"/>
      <c r="T65" s="2"/>
      <c r="U65" s="2"/>
      <c r="V65" s="2"/>
      <c r="W65" s="2"/>
      <c r="X65" s="2"/>
      <c r="Y65" s="2"/>
      <c r="Z65" s="2"/>
    </row>
    <row r="66" customHeight="1" spans="1:26">
      <c r="A66" s="64" t="s">
        <v>293</v>
      </c>
      <c r="B66" s="13" t="s">
        <v>4315</v>
      </c>
      <c r="C66" s="13" t="s">
        <v>290</v>
      </c>
      <c r="D66" s="65">
        <v>35</v>
      </c>
      <c r="E66" s="13" t="s">
        <v>37</v>
      </c>
      <c r="F66" s="13" t="s">
        <v>1801</v>
      </c>
      <c r="G66" s="13" t="s">
        <v>4537</v>
      </c>
      <c r="H66" s="2"/>
      <c r="I66" s="2"/>
      <c r="J66" s="2"/>
      <c r="K66" s="2"/>
      <c r="L66" s="2"/>
      <c r="M66" s="2"/>
      <c r="N66" s="2"/>
      <c r="O66" s="2"/>
      <c r="P66" s="2"/>
      <c r="Q66" s="2"/>
      <c r="R66" s="2"/>
      <c r="S66" s="2"/>
      <c r="T66" s="2"/>
      <c r="U66" s="2"/>
      <c r="V66" s="2"/>
      <c r="W66" s="2"/>
      <c r="X66" s="2"/>
      <c r="Y66" s="2"/>
      <c r="Z66" s="2"/>
    </row>
    <row r="67" customHeight="1" spans="1:26">
      <c r="A67" s="13" t="s">
        <v>297</v>
      </c>
      <c r="B67" s="13" t="s">
        <v>4594</v>
      </c>
      <c r="C67" s="13" t="s">
        <v>1807</v>
      </c>
      <c r="D67" s="14">
        <v>1000</v>
      </c>
      <c r="E67" s="13" t="s">
        <v>37</v>
      </c>
      <c r="F67" s="13" t="s">
        <v>4595</v>
      </c>
      <c r="G67" s="13" t="s">
        <v>4596</v>
      </c>
      <c r="H67" s="2"/>
      <c r="I67" s="2"/>
      <c r="J67" s="2"/>
      <c r="K67" s="2"/>
      <c r="L67" s="2"/>
      <c r="M67" s="2"/>
      <c r="N67" s="2"/>
      <c r="O67" s="2"/>
      <c r="P67" s="2"/>
      <c r="Q67" s="2"/>
      <c r="R67" s="2"/>
      <c r="S67" s="2"/>
      <c r="T67" s="2"/>
      <c r="U67" s="2"/>
      <c r="V67" s="2"/>
      <c r="W67" s="2"/>
      <c r="X67" s="2"/>
      <c r="Y67" s="2"/>
      <c r="Z67" s="2"/>
    </row>
    <row r="68" customHeight="1" spans="1:26">
      <c r="A68" s="13" t="s">
        <v>302</v>
      </c>
      <c r="B68" s="13" t="s">
        <v>303</v>
      </c>
      <c r="C68" s="13" t="s">
        <v>304</v>
      </c>
      <c r="D68" s="57"/>
      <c r="E68" s="57"/>
      <c r="F68" s="13" t="s">
        <v>305</v>
      </c>
      <c r="G68" s="13" t="s">
        <v>306</v>
      </c>
      <c r="H68" s="2"/>
      <c r="I68" s="2"/>
      <c r="J68" s="2"/>
      <c r="K68" s="2"/>
      <c r="L68" s="2"/>
      <c r="M68" s="2"/>
      <c r="N68" s="2"/>
      <c r="O68" s="2"/>
      <c r="P68" s="2"/>
      <c r="Q68" s="2"/>
      <c r="R68" s="2"/>
      <c r="S68" s="2"/>
      <c r="T68" s="2"/>
      <c r="U68" s="2"/>
      <c r="V68" s="2"/>
      <c r="W68" s="2"/>
      <c r="X68" s="2"/>
      <c r="Y68" s="2"/>
      <c r="Z68" s="2"/>
    </row>
    <row r="69" customHeight="1" spans="1:26">
      <c r="A69" s="13" t="s">
        <v>307</v>
      </c>
      <c r="B69" s="13" t="s">
        <v>4320</v>
      </c>
      <c r="C69" s="13" t="s">
        <v>309</v>
      </c>
      <c r="D69" s="14">
        <v>45</v>
      </c>
      <c r="E69" s="13" t="s">
        <v>310</v>
      </c>
      <c r="F69" s="13" t="s">
        <v>4321</v>
      </c>
      <c r="G69" s="13" t="s">
        <v>4322</v>
      </c>
      <c r="H69" s="2"/>
      <c r="I69" s="2"/>
      <c r="J69" s="2"/>
      <c r="K69" s="2"/>
      <c r="L69" s="2"/>
      <c r="M69" s="2"/>
      <c r="N69" s="2"/>
      <c r="O69" s="2"/>
      <c r="P69" s="2"/>
      <c r="Q69" s="2"/>
      <c r="R69" s="2"/>
      <c r="S69" s="2"/>
      <c r="T69" s="2"/>
      <c r="U69" s="2"/>
      <c r="V69" s="2"/>
      <c r="W69" s="2"/>
      <c r="X69" s="2"/>
      <c r="Y69" s="2"/>
      <c r="Z69" s="2"/>
    </row>
    <row r="70" customHeight="1" spans="1:26">
      <c r="A70" s="13" t="s">
        <v>317</v>
      </c>
      <c r="B70" s="13" t="s">
        <v>4597</v>
      </c>
      <c r="C70" s="13" t="s">
        <v>319</v>
      </c>
      <c r="D70" s="65">
        <v>400</v>
      </c>
      <c r="E70" s="13" t="s">
        <v>245</v>
      </c>
      <c r="F70" s="13" t="s">
        <v>4598</v>
      </c>
      <c r="G70" s="13" t="s">
        <v>4599</v>
      </c>
      <c r="H70" s="2"/>
      <c r="I70" s="2"/>
      <c r="J70" s="2"/>
      <c r="K70" s="2"/>
      <c r="L70" s="2"/>
      <c r="M70" s="2"/>
      <c r="N70" s="2"/>
      <c r="O70" s="2"/>
      <c r="P70" s="2"/>
      <c r="Q70" s="2"/>
      <c r="R70" s="2"/>
      <c r="S70" s="2"/>
      <c r="T70" s="2"/>
      <c r="U70" s="2"/>
      <c r="V70" s="2"/>
      <c r="W70" s="2"/>
      <c r="X70" s="2"/>
      <c r="Y70" s="2"/>
      <c r="Z70" s="2"/>
    </row>
    <row r="71" customHeight="1" spans="1:26">
      <c r="A71" s="64" t="s">
        <v>321</v>
      </c>
      <c r="B71" s="13" t="s">
        <v>4600</v>
      </c>
      <c r="C71" s="13" t="s">
        <v>1058</v>
      </c>
      <c r="D71" s="65">
        <v>13</v>
      </c>
      <c r="E71" s="13" t="s">
        <v>262</v>
      </c>
      <c r="F71" s="13" t="s">
        <v>4601</v>
      </c>
      <c r="G71" s="13" t="s">
        <v>4602</v>
      </c>
      <c r="H71" s="2"/>
      <c r="I71" s="2"/>
      <c r="J71" s="2"/>
      <c r="K71" s="2"/>
      <c r="L71" s="2"/>
      <c r="M71" s="2"/>
      <c r="N71" s="2"/>
      <c r="O71" s="2"/>
      <c r="P71" s="2"/>
      <c r="Q71" s="2"/>
      <c r="R71" s="2"/>
      <c r="S71" s="2"/>
      <c r="T71" s="2"/>
      <c r="U71" s="2"/>
      <c r="V71" s="2"/>
      <c r="W71" s="2"/>
      <c r="X71" s="2"/>
      <c r="Y71" s="2"/>
      <c r="Z71" s="2"/>
    </row>
    <row r="72" customHeight="1" spans="1:26">
      <c r="A72" s="13" t="s">
        <v>325</v>
      </c>
      <c r="B72" s="13" t="s">
        <v>4603</v>
      </c>
      <c r="C72" s="13" t="s">
        <v>327</v>
      </c>
      <c r="D72" s="14">
        <v>25</v>
      </c>
      <c r="E72" s="13" t="s">
        <v>310</v>
      </c>
      <c r="F72" s="13" t="s">
        <v>4604</v>
      </c>
      <c r="G72" s="13" t="s">
        <v>4605</v>
      </c>
      <c r="H72" s="2"/>
      <c r="I72" s="2"/>
      <c r="J72" s="2"/>
      <c r="K72" s="2"/>
      <c r="L72" s="2"/>
      <c r="M72" s="2"/>
      <c r="N72" s="2"/>
      <c r="O72" s="2"/>
      <c r="P72" s="2"/>
      <c r="Q72" s="2"/>
      <c r="R72" s="2"/>
      <c r="S72" s="2"/>
      <c r="T72" s="2"/>
      <c r="U72" s="2"/>
      <c r="V72" s="2"/>
      <c r="W72" s="2"/>
      <c r="X72" s="2"/>
      <c r="Y72" s="2"/>
      <c r="Z72" s="2"/>
    </row>
    <row r="73" customHeight="1" spans="1:26">
      <c r="A73" s="64" t="s">
        <v>330</v>
      </c>
      <c r="B73" s="13" t="s">
        <v>4606</v>
      </c>
      <c r="C73" s="13" t="s">
        <v>315</v>
      </c>
      <c r="D73" s="65">
        <v>50</v>
      </c>
      <c r="E73" s="13" t="s">
        <v>37</v>
      </c>
      <c r="F73" s="13" t="s">
        <v>4607</v>
      </c>
      <c r="G73" s="13" t="s">
        <v>4608</v>
      </c>
      <c r="H73" s="2"/>
      <c r="I73" s="2"/>
      <c r="J73" s="2"/>
      <c r="K73" s="2"/>
      <c r="L73" s="2"/>
      <c r="M73" s="2"/>
      <c r="N73" s="2"/>
      <c r="O73" s="2"/>
      <c r="P73" s="2"/>
      <c r="Q73" s="2"/>
      <c r="R73" s="2"/>
      <c r="S73" s="2"/>
      <c r="T73" s="2"/>
      <c r="U73" s="2"/>
      <c r="V73" s="2"/>
      <c r="W73" s="2"/>
      <c r="X73" s="2"/>
      <c r="Y73" s="2"/>
      <c r="Z73" s="2"/>
    </row>
    <row r="74" customHeight="1" spans="1:26">
      <c r="A74" s="64" t="s">
        <v>334</v>
      </c>
      <c r="B74" s="13" t="s">
        <v>4609</v>
      </c>
      <c r="C74" s="13" t="s">
        <v>315</v>
      </c>
      <c r="D74" s="65">
        <v>50</v>
      </c>
      <c r="E74" s="13" t="s">
        <v>37</v>
      </c>
      <c r="F74" s="13" t="s">
        <v>4610</v>
      </c>
      <c r="G74" s="74" t="s">
        <v>4611</v>
      </c>
      <c r="H74" s="2"/>
      <c r="I74" s="2"/>
      <c r="J74" s="2"/>
      <c r="K74" s="2"/>
      <c r="L74" s="2"/>
      <c r="M74" s="2"/>
      <c r="N74" s="2"/>
      <c r="O74" s="2"/>
      <c r="P74" s="2"/>
      <c r="Q74" s="2"/>
      <c r="R74" s="2"/>
      <c r="S74" s="2"/>
      <c r="T74" s="2"/>
      <c r="U74" s="2"/>
      <c r="V74" s="2"/>
      <c r="W74" s="2"/>
      <c r="X74" s="2"/>
      <c r="Y74" s="2"/>
      <c r="Z74" s="2"/>
    </row>
    <row r="75" customHeight="1" spans="1:26">
      <c r="A75" s="64" t="s">
        <v>338</v>
      </c>
      <c r="B75" s="13" t="s">
        <v>339</v>
      </c>
      <c r="C75" s="13" t="s">
        <v>315</v>
      </c>
      <c r="D75" s="65">
        <v>125</v>
      </c>
      <c r="E75" s="13" t="s">
        <v>262</v>
      </c>
      <c r="F75" s="13" t="s">
        <v>340</v>
      </c>
      <c r="G75" s="13" t="s">
        <v>4612</v>
      </c>
      <c r="H75" s="2"/>
      <c r="I75" s="2"/>
      <c r="J75" s="2"/>
      <c r="K75" s="2"/>
      <c r="L75" s="2"/>
      <c r="M75" s="2"/>
      <c r="N75" s="2"/>
      <c r="O75" s="2"/>
      <c r="P75" s="2"/>
      <c r="Q75" s="2"/>
      <c r="R75" s="2"/>
      <c r="S75" s="2"/>
      <c r="T75" s="2"/>
      <c r="U75" s="2"/>
      <c r="V75" s="2"/>
      <c r="W75" s="2"/>
      <c r="X75" s="2"/>
      <c r="Y75" s="2"/>
      <c r="Z75" s="2"/>
    </row>
    <row r="76" customHeight="1" spans="1:26">
      <c r="A76" s="64" t="s">
        <v>342</v>
      </c>
      <c r="B76" s="13" t="s">
        <v>4613</v>
      </c>
      <c r="C76" s="13" t="s">
        <v>315</v>
      </c>
      <c r="D76" s="65">
        <v>45</v>
      </c>
      <c r="E76" s="13" t="s">
        <v>262</v>
      </c>
      <c r="F76" s="13" t="s">
        <v>4359</v>
      </c>
      <c r="G76" s="13" t="s">
        <v>4614</v>
      </c>
      <c r="H76" s="2"/>
      <c r="I76" s="2"/>
      <c r="J76" s="2"/>
      <c r="K76" s="2"/>
      <c r="L76" s="2"/>
      <c r="M76" s="2"/>
      <c r="N76" s="2"/>
      <c r="O76" s="2"/>
      <c r="P76" s="2"/>
      <c r="Q76" s="2"/>
      <c r="R76" s="2"/>
      <c r="S76" s="2"/>
      <c r="T76" s="2"/>
      <c r="U76" s="2"/>
      <c r="V76" s="2"/>
      <c r="W76" s="2"/>
      <c r="X76" s="2"/>
      <c r="Y76" s="2"/>
      <c r="Z76" s="2"/>
    </row>
    <row r="77" customHeight="1" spans="1:26">
      <c r="A77" s="64" t="s">
        <v>346</v>
      </c>
      <c r="B77" s="13" t="s">
        <v>347</v>
      </c>
      <c r="C77" s="13" t="s">
        <v>315</v>
      </c>
      <c r="D77" s="65">
        <v>55</v>
      </c>
      <c r="E77" s="13" t="s">
        <v>37</v>
      </c>
      <c r="F77" s="13" t="s">
        <v>348</v>
      </c>
      <c r="G77" s="74" t="s">
        <v>4615</v>
      </c>
      <c r="H77" s="2"/>
      <c r="I77" s="2"/>
      <c r="J77" s="2"/>
      <c r="K77" s="2"/>
      <c r="L77" s="2"/>
      <c r="M77" s="2"/>
      <c r="N77" s="2"/>
      <c r="O77" s="2"/>
      <c r="P77" s="2"/>
      <c r="Q77" s="2"/>
      <c r="R77" s="2"/>
      <c r="S77" s="2"/>
      <c r="T77" s="2"/>
      <c r="U77" s="2"/>
      <c r="V77" s="2"/>
      <c r="W77" s="2"/>
      <c r="X77" s="2"/>
      <c r="Y77" s="2"/>
      <c r="Z77" s="2"/>
    </row>
    <row r="78" customHeight="1" spans="1:26">
      <c r="A78" s="64" t="s">
        <v>350</v>
      </c>
      <c r="B78" s="13" t="s">
        <v>351</v>
      </c>
      <c r="C78" s="13" t="s">
        <v>315</v>
      </c>
      <c r="D78" s="65">
        <v>20</v>
      </c>
      <c r="E78" s="13" t="s">
        <v>262</v>
      </c>
      <c r="F78" s="13" t="s">
        <v>352</v>
      </c>
      <c r="G78" s="13" t="s">
        <v>4616</v>
      </c>
      <c r="H78" s="2"/>
      <c r="I78" s="2"/>
      <c r="J78" s="2"/>
      <c r="K78" s="2"/>
      <c r="L78" s="2"/>
      <c r="M78" s="2"/>
      <c r="N78" s="2"/>
      <c r="O78" s="2"/>
      <c r="P78" s="2"/>
      <c r="Q78" s="2"/>
      <c r="R78" s="2"/>
      <c r="S78" s="2"/>
      <c r="T78" s="2"/>
      <c r="U78" s="2"/>
      <c r="V78" s="2"/>
      <c r="W78" s="2"/>
      <c r="X78" s="2"/>
      <c r="Y78" s="2"/>
      <c r="Z78" s="2"/>
    </row>
    <row r="79" customHeight="1" spans="1:26">
      <c r="A79" s="13" t="s">
        <v>354</v>
      </c>
      <c r="B79" s="13" t="s">
        <v>355</v>
      </c>
      <c r="C79" s="13" t="s">
        <v>356</v>
      </c>
      <c r="D79" s="65">
        <v>123</v>
      </c>
      <c r="E79" s="13" t="s">
        <v>310</v>
      </c>
      <c r="F79" s="13" t="s">
        <v>357</v>
      </c>
      <c r="G79" s="68" t="str">
        <f>HYPERLINK("http://www.maccosmetics.nl/","http://www.maccosmetics.nl")</f>
        <v>http://www.maccosmetics.nl</v>
      </c>
      <c r="H79" s="2"/>
      <c r="I79" s="2"/>
      <c r="J79" s="2"/>
      <c r="K79" s="2"/>
      <c r="L79" s="2"/>
      <c r="M79" s="2"/>
      <c r="N79" s="2"/>
      <c r="O79" s="2"/>
      <c r="P79" s="2"/>
      <c r="Q79" s="2"/>
      <c r="R79" s="2"/>
      <c r="S79" s="2"/>
      <c r="T79" s="2"/>
      <c r="U79" s="2"/>
      <c r="V79" s="2"/>
      <c r="W79" s="2"/>
      <c r="X79" s="2"/>
      <c r="Y79" s="2"/>
      <c r="Z79" s="2"/>
    </row>
    <row r="80" customHeight="1" spans="1:26">
      <c r="A80" s="13" t="s">
        <v>359</v>
      </c>
      <c r="B80" s="13" t="s">
        <v>1077</v>
      </c>
      <c r="C80" s="13" t="s">
        <v>361</v>
      </c>
      <c r="D80" s="65">
        <v>55</v>
      </c>
      <c r="E80" s="13" t="s">
        <v>310</v>
      </c>
      <c r="F80" s="13" t="s">
        <v>1078</v>
      </c>
      <c r="G80" s="13" t="s">
        <v>1079</v>
      </c>
      <c r="H80" s="2"/>
      <c r="I80" s="2"/>
      <c r="J80" s="2"/>
      <c r="K80" s="2"/>
      <c r="L80" s="2"/>
      <c r="M80" s="2"/>
      <c r="N80" s="2"/>
      <c r="O80" s="2"/>
      <c r="P80" s="2"/>
      <c r="Q80" s="2"/>
      <c r="R80" s="2"/>
      <c r="S80" s="2"/>
      <c r="T80" s="2"/>
      <c r="U80" s="2"/>
      <c r="V80" s="2"/>
      <c r="W80" s="2"/>
      <c r="X80" s="2"/>
      <c r="Y80" s="2"/>
      <c r="Z80" s="2"/>
    </row>
    <row r="81" customHeight="1" spans="1:26">
      <c r="A81" s="64" t="s">
        <v>364</v>
      </c>
      <c r="B81" s="13" t="s">
        <v>365</v>
      </c>
      <c r="C81" s="13" t="s">
        <v>366</v>
      </c>
      <c r="D81" s="65">
        <v>35</v>
      </c>
      <c r="E81" s="13" t="s">
        <v>262</v>
      </c>
      <c r="F81" s="13" t="s">
        <v>367</v>
      </c>
      <c r="G81" s="68" t="str">
        <f>HYPERLINK("http://www.ebay.nl/","http://www.ebay.nl")</f>
        <v>http://www.ebay.nl</v>
      </c>
      <c r="H81" s="2"/>
      <c r="I81" s="2"/>
      <c r="J81" s="2"/>
      <c r="K81" s="2"/>
      <c r="L81" s="2"/>
      <c r="M81" s="2"/>
      <c r="N81" s="2"/>
      <c r="O81" s="2"/>
      <c r="P81" s="2"/>
      <c r="Q81" s="2"/>
      <c r="R81" s="2"/>
      <c r="S81" s="2"/>
      <c r="T81" s="2"/>
      <c r="U81" s="2"/>
      <c r="V81" s="2"/>
      <c r="W81" s="2"/>
      <c r="X81" s="2"/>
      <c r="Y81" s="2"/>
      <c r="Z81" s="2"/>
    </row>
    <row r="82" customHeight="1" spans="1:26">
      <c r="A82" s="64" t="s">
        <v>368</v>
      </c>
      <c r="B82" s="13" t="s">
        <v>369</v>
      </c>
      <c r="C82" s="13" t="s">
        <v>366</v>
      </c>
      <c r="D82" s="65">
        <v>30</v>
      </c>
      <c r="E82" s="13" t="s">
        <v>262</v>
      </c>
      <c r="F82" s="13" t="s">
        <v>370</v>
      </c>
      <c r="G82" s="13" t="s">
        <v>4617</v>
      </c>
      <c r="H82" s="2"/>
      <c r="I82" s="2"/>
      <c r="J82" s="2"/>
      <c r="K82" s="2"/>
      <c r="L82" s="2"/>
      <c r="M82" s="2"/>
      <c r="N82" s="2"/>
      <c r="O82" s="2"/>
      <c r="P82" s="2"/>
      <c r="Q82" s="2"/>
      <c r="R82" s="2"/>
      <c r="S82" s="2"/>
      <c r="T82" s="2"/>
      <c r="U82" s="2"/>
      <c r="V82" s="2"/>
      <c r="W82" s="2"/>
      <c r="X82" s="2"/>
      <c r="Y82" s="2"/>
      <c r="Z82" s="2"/>
    </row>
    <row r="83" customHeight="1" spans="1:26">
      <c r="A83" s="64" t="s">
        <v>371</v>
      </c>
      <c r="B83" s="13" t="s">
        <v>4618</v>
      </c>
      <c r="C83" s="13" t="s">
        <v>373</v>
      </c>
      <c r="D83" s="65">
        <v>35</v>
      </c>
      <c r="E83" s="13" t="s">
        <v>37</v>
      </c>
      <c r="F83" s="13" t="s">
        <v>4619</v>
      </c>
      <c r="G83" s="13" t="s">
        <v>4620</v>
      </c>
      <c r="H83" s="2"/>
      <c r="I83" s="2"/>
      <c r="J83" s="2"/>
      <c r="K83" s="2"/>
      <c r="L83" s="2"/>
      <c r="M83" s="2"/>
      <c r="N83" s="2"/>
      <c r="O83" s="2"/>
      <c r="P83" s="2"/>
      <c r="Q83" s="2"/>
      <c r="R83" s="2"/>
      <c r="S83" s="2"/>
      <c r="T83" s="2"/>
      <c r="U83" s="2"/>
      <c r="V83" s="2"/>
      <c r="W83" s="2"/>
      <c r="X83" s="2"/>
      <c r="Y83" s="2"/>
      <c r="Z83" s="2"/>
    </row>
    <row r="84" customHeight="1" spans="1:26">
      <c r="A84" s="64" t="s">
        <v>375</v>
      </c>
      <c r="B84" s="13" t="s">
        <v>1835</v>
      </c>
      <c r="C84" s="13" t="s">
        <v>373</v>
      </c>
      <c r="D84" s="65">
        <v>90</v>
      </c>
      <c r="E84" s="13" t="s">
        <v>37</v>
      </c>
      <c r="F84" s="13" t="s">
        <v>4621</v>
      </c>
      <c r="G84" s="13" t="s">
        <v>4622</v>
      </c>
      <c r="H84" s="2"/>
      <c r="I84" s="2"/>
      <c r="J84" s="2"/>
      <c r="K84" s="2"/>
      <c r="L84" s="2"/>
      <c r="M84" s="2"/>
      <c r="N84" s="2"/>
      <c r="O84" s="2"/>
      <c r="P84" s="2"/>
      <c r="Q84" s="2"/>
      <c r="R84" s="2"/>
      <c r="S84" s="2"/>
      <c r="T84" s="2"/>
      <c r="U84" s="2"/>
      <c r="V84" s="2"/>
      <c r="W84" s="2"/>
      <c r="X84" s="2"/>
      <c r="Y84" s="2"/>
      <c r="Z84" s="2"/>
    </row>
    <row r="85" customHeight="1" spans="1:26">
      <c r="A85" s="64" t="s">
        <v>379</v>
      </c>
      <c r="B85" s="13" t="s">
        <v>4623</v>
      </c>
      <c r="C85" s="13" t="s">
        <v>373</v>
      </c>
      <c r="D85" s="65">
        <v>66</v>
      </c>
      <c r="E85" s="13" t="s">
        <v>21</v>
      </c>
      <c r="F85" s="13" t="s">
        <v>4624</v>
      </c>
      <c r="G85" s="13" t="s">
        <v>4625</v>
      </c>
      <c r="H85" s="2"/>
      <c r="I85" s="2"/>
      <c r="J85" s="2"/>
      <c r="K85" s="2"/>
      <c r="L85" s="2"/>
      <c r="M85" s="2"/>
      <c r="N85" s="2"/>
      <c r="O85" s="2"/>
      <c r="P85" s="2"/>
      <c r="Q85" s="2"/>
      <c r="R85" s="2"/>
      <c r="S85" s="2"/>
      <c r="T85" s="2"/>
      <c r="U85" s="2"/>
      <c r="V85" s="2"/>
      <c r="W85" s="2"/>
      <c r="X85" s="2"/>
      <c r="Y85" s="2"/>
      <c r="Z85" s="2"/>
    </row>
    <row r="86" customHeight="1" spans="1:26">
      <c r="A86" s="13" t="s">
        <v>383</v>
      </c>
      <c r="B86" s="13" t="s">
        <v>4626</v>
      </c>
      <c r="C86" s="13" t="s">
        <v>373</v>
      </c>
      <c r="D86" s="65">
        <v>150</v>
      </c>
      <c r="E86" s="13" t="s">
        <v>310</v>
      </c>
      <c r="F86" s="13" t="s">
        <v>4627</v>
      </c>
      <c r="G86" s="13" t="s">
        <v>4628</v>
      </c>
      <c r="H86" s="2"/>
      <c r="I86" s="2"/>
      <c r="J86" s="2"/>
      <c r="K86" s="2"/>
      <c r="L86" s="2"/>
      <c r="M86" s="2"/>
      <c r="N86" s="2"/>
      <c r="O86" s="2"/>
      <c r="P86" s="2"/>
      <c r="Q86" s="2"/>
      <c r="R86" s="2"/>
      <c r="S86" s="2"/>
      <c r="T86" s="2"/>
      <c r="U86" s="2"/>
      <c r="V86" s="2"/>
      <c r="W86" s="2"/>
      <c r="X86" s="2"/>
      <c r="Y86" s="2"/>
      <c r="Z86" s="2"/>
    </row>
    <row r="87" customHeight="1" spans="1:26">
      <c r="A87" s="13" t="s">
        <v>387</v>
      </c>
      <c r="B87" s="13" t="s">
        <v>4629</v>
      </c>
      <c r="C87" s="13" t="s">
        <v>373</v>
      </c>
      <c r="D87" s="65">
        <v>76</v>
      </c>
      <c r="E87" s="13" t="s">
        <v>37</v>
      </c>
      <c r="F87" s="13" t="s">
        <v>4630</v>
      </c>
      <c r="G87" s="13" t="s">
        <v>4631</v>
      </c>
      <c r="H87" s="2"/>
      <c r="I87" s="2"/>
      <c r="J87" s="2"/>
      <c r="K87" s="2"/>
      <c r="L87" s="2"/>
      <c r="M87" s="2"/>
      <c r="N87" s="2"/>
      <c r="O87" s="2"/>
      <c r="P87" s="2"/>
      <c r="Q87" s="2"/>
      <c r="R87" s="2"/>
      <c r="S87" s="2"/>
      <c r="T87" s="2"/>
      <c r="U87" s="2"/>
      <c r="V87" s="2"/>
      <c r="W87" s="2"/>
      <c r="X87" s="2"/>
      <c r="Y87" s="2"/>
      <c r="Z87" s="2"/>
    </row>
    <row r="88" customHeight="1" spans="1:26">
      <c r="A88" s="13" t="s">
        <v>391</v>
      </c>
      <c r="B88" s="13" t="s">
        <v>392</v>
      </c>
      <c r="C88" s="13" t="s">
        <v>393</v>
      </c>
      <c r="D88" s="14">
        <v>3500</v>
      </c>
      <c r="E88" s="13" t="s">
        <v>21</v>
      </c>
      <c r="F88" s="13" t="s">
        <v>394</v>
      </c>
      <c r="G88" s="13" t="s">
        <v>4632</v>
      </c>
      <c r="H88" s="2"/>
      <c r="I88" s="2"/>
      <c r="J88" s="2"/>
      <c r="K88" s="2"/>
      <c r="L88" s="2"/>
      <c r="M88" s="2"/>
      <c r="N88" s="2"/>
      <c r="O88" s="2"/>
      <c r="P88" s="2"/>
      <c r="Q88" s="2"/>
      <c r="R88" s="2"/>
      <c r="S88" s="2"/>
      <c r="T88" s="2"/>
      <c r="U88" s="2"/>
      <c r="V88" s="2"/>
      <c r="W88" s="2"/>
      <c r="X88" s="2"/>
      <c r="Y88" s="2"/>
      <c r="Z88" s="2"/>
    </row>
    <row r="89" customHeight="1" spans="1:26">
      <c r="A89" s="13" t="s">
        <v>395</v>
      </c>
      <c r="B89" s="13" t="s">
        <v>396</v>
      </c>
      <c r="C89" s="13" t="s">
        <v>393</v>
      </c>
      <c r="D89" s="14">
        <v>1230</v>
      </c>
      <c r="E89" s="13" t="s">
        <v>21</v>
      </c>
      <c r="F89" s="13" t="s">
        <v>397</v>
      </c>
      <c r="G89" s="68" t="str">
        <f>HYPERLINK("http://www.michaelkors.com/","http://www.michaelkors.com")</f>
        <v>http://www.michaelkors.com</v>
      </c>
      <c r="H89" s="2"/>
      <c r="I89" s="2"/>
      <c r="J89" s="2"/>
      <c r="K89" s="2"/>
      <c r="L89" s="2"/>
      <c r="M89" s="2"/>
      <c r="N89" s="2"/>
      <c r="O89" s="2"/>
      <c r="P89" s="2"/>
      <c r="Q89" s="2"/>
      <c r="R89" s="2"/>
      <c r="S89" s="2"/>
      <c r="T89" s="2"/>
      <c r="U89" s="2"/>
      <c r="V89" s="2"/>
      <c r="W89" s="2"/>
      <c r="X89" s="2"/>
      <c r="Y89" s="2"/>
      <c r="Z89" s="2"/>
    </row>
    <row r="90" customHeight="1" spans="1:26">
      <c r="A90" s="13" t="s">
        <v>399</v>
      </c>
      <c r="B90" s="13" t="s">
        <v>4416</v>
      </c>
      <c r="C90" s="13" t="s">
        <v>224</v>
      </c>
      <c r="D90" s="65">
        <v>130</v>
      </c>
      <c r="E90" s="13" t="s">
        <v>262</v>
      </c>
      <c r="F90" s="13" t="s">
        <v>4633</v>
      </c>
      <c r="G90" s="13" t="s">
        <v>4634</v>
      </c>
      <c r="H90" s="2"/>
      <c r="I90" s="2"/>
      <c r="J90" s="2"/>
      <c r="K90" s="2"/>
      <c r="L90" s="2"/>
      <c r="M90" s="2"/>
      <c r="N90" s="2"/>
      <c r="O90" s="2"/>
      <c r="P90" s="2"/>
      <c r="Q90" s="2"/>
      <c r="R90" s="2"/>
      <c r="S90" s="2"/>
      <c r="T90" s="2"/>
      <c r="U90" s="2"/>
      <c r="V90" s="2"/>
      <c r="W90" s="2"/>
      <c r="X90" s="2"/>
      <c r="Y90" s="2"/>
      <c r="Z90" s="2"/>
    </row>
    <row r="91" customHeight="1" spans="1:26">
      <c r="A91" s="13" t="s">
        <v>403</v>
      </c>
      <c r="B91" s="13" t="s">
        <v>4635</v>
      </c>
      <c r="C91" s="13" t="s">
        <v>229</v>
      </c>
      <c r="D91" s="65">
        <v>500</v>
      </c>
      <c r="E91" s="13" t="s">
        <v>21</v>
      </c>
      <c r="F91" s="13" t="s">
        <v>4636</v>
      </c>
      <c r="G91" s="13" t="s">
        <v>4637</v>
      </c>
      <c r="H91" s="2"/>
      <c r="I91" s="2"/>
      <c r="J91" s="2"/>
      <c r="K91" s="2"/>
      <c r="L91" s="2"/>
      <c r="M91" s="2"/>
      <c r="N91" s="2"/>
      <c r="O91" s="2"/>
      <c r="P91" s="2"/>
      <c r="Q91" s="2"/>
      <c r="R91" s="2"/>
      <c r="S91" s="2"/>
      <c r="T91" s="2"/>
      <c r="U91" s="2"/>
      <c r="V91" s="2"/>
      <c r="W91" s="2"/>
      <c r="X91" s="2"/>
      <c r="Y91" s="2"/>
      <c r="Z91" s="2"/>
    </row>
    <row r="92" customHeight="1" spans="1:26">
      <c r="A92" s="13" t="s">
        <v>407</v>
      </c>
      <c r="B92" s="13" t="s">
        <v>1103</v>
      </c>
      <c r="C92" s="13" t="s">
        <v>229</v>
      </c>
      <c r="D92" s="65">
        <v>350</v>
      </c>
      <c r="E92" s="13" t="s">
        <v>21</v>
      </c>
      <c r="F92" s="13" t="s">
        <v>1104</v>
      </c>
      <c r="G92" s="13" t="s">
        <v>4638</v>
      </c>
      <c r="H92" s="2"/>
      <c r="I92" s="2"/>
      <c r="J92" s="2"/>
      <c r="K92" s="2"/>
      <c r="L92" s="2"/>
      <c r="M92" s="2"/>
      <c r="N92" s="2"/>
      <c r="O92" s="2"/>
      <c r="P92" s="2"/>
      <c r="Q92" s="2"/>
      <c r="R92" s="2"/>
      <c r="S92" s="2"/>
      <c r="T92" s="2"/>
      <c r="U92" s="2"/>
      <c r="V92" s="2"/>
      <c r="W92" s="2"/>
      <c r="X92" s="2"/>
      <c r="Y92" s="2"/>
      <c r="Z92" s="2"/>
    </row>
    <row r="93" customHeight="1" spans="1:26">
      <c r="A93" s="13" t="s">
        <v>411</v>
      </c>
      <c r="B93" s="13" t="s">
        <v>4639</v>
      </c>
      <c r="C93" s="13" t="s">
        <v>413</v>
      </c>
      <c r="D93" s="14">
        <v>50</v>
      </c>
      <c r="E93" s="13" t="s">
        <v>310</v>
      </c>
      <c r="F93" s="13" t="s">
        <v>4640</v>
      </c>
      <c r="G93" s="13" t="s">
        <v>4641</v>
      </c>
      <c r="H93" s="2"/>
      <c r="I93" s="2"/>
      <c r="J93" s="2"/>
      <c r="K93" s="2"/>
      <c r="L93" s="2"/>
      <c r="M93" s="2"/>
      <c r="N93" s="2"/>
      <c r="O93" s="2"/>
      <c r="P93" s="2"/>
      <c r="Q93" s="2"/>
      <c r="R93" s="2"/>
      <c r="S93" s="2"/>
      <c r="T93" s="2"/>
      <c r="U93" s="2"/>
      <c r="V93" s="2"/>
      <c r="W93" s="2"/>
      <c r="X93" s="2"/>
      <c r="Y93" s="2"/>
      <c r="Z93" s="2"/>
    </row>
    <row r="94" customHeight="1" spans="1:26">
      <c r="A94" s="13" t="s">
        <v>416</v>
      </c>
      <c r="B94" s="13" t="s">
        <v>4642</v>
      </c>
      <c r="C94" s="13" t="s">
        <v>418</v>
      </c>
      <c r="D94" s="14">
        <v>35</v>
      </c>
      <c r="E94" s="13" t="s">
        <v>310</v>
      </c>
      <c r="F94" s="13" t="s">
        <v>4643</v>
      </c>
      <c r="G94" s="13" t="s">
        <v>4644</v>
      </c>
      <c r="H94" s="2"/>
      <c r="I94" s="2"/>
      <c r="J94" s="2"/>
      <c r="K94" s="2"/>
      <c r="L94" s="2"/>
      <c r="M94" s="2"/>
      <c r="N94" s="2"/>
      <c r="O94" s="2"/>
      <c r="P94" s="2"/>
      <c r="Q94" s="2"/>
      <c r="R94" s="2"/>
      <c r="S94" s="2"/>
      <c r="T94" s="2"/>
      <c r="U94" s="2"/>
      <c r="V94" s="2"/>
      <c r="W94" s="2"/>
      <c r="X94" s="2"/>
      <c r="Y94" s="2"/>
      <c r="Z94" s="2"/>
    </row>
    <row r="95" customHeight="1" spans="1:26">
      <c r="A95" s="13" t="s">
        <v>421</v>
      </c>
      <c r="B95" s="13" t="s">
        <v>4645</v>
      </c>
      <c r="C95" s="13" t="s">
        <v>423</v>
      </c>
      <c r="D95" s="14">
        <v>67</v>
      </c>
      <c r="E95" s="13" t="s">
        <v>310</v>
      </c>
      <c r="F95" s="13" t="s">
        <v>4646</v>
      </c>
      <c r="G95" s="13" t="s">
        <v>4647</v>
      </c>
      <c r="H95" s="2"/>
      <c r="I95" s="2"/>
      <c r="J95" s="2"/>
      <c r="K95" s="2"/>
      <c r="L95" s="2"/>
      <c r="M95" s="2"/>
      <c r="N95" s="2"/>
      <c r="O95" s="2"/>
      <c r="P95" s="2"/>
      <c r="Q95" s="2"/>
      <c r="R95" s="2"/>
      <c r="S95" s="2"/>
      <c r="T95" s="2"/>
      <c r="U95" s="2"/>
      <c r="V95" s="2"/>
      <c r="W95" s="2"/>
      <c r="X95" s="2"/>
      <c r="Y95" s="2"/>
      <c r="Z95" s="2"/>
    </row>
    <row r="96" customHeight="1" spans="1:26">
      <c r="A96" s="13" t="s">
        <v>426</v>
      </c>
      <c r="B96" s="13" t="s">
        <v>4648</v>
      </c>
      <c r="C96" s="13" t="s">
        <v>428</v>
      </c>
      <c r="D96" s="65">
        <v>13</v>
      </c>
      <c r="E96" s="13" t="s">
        <v>262</v>
      </c>
      <c r="F96" s="13" t="s">
        <v>4649</v>
      </c>
      <c r="G96" s="13" t="s">
        <v>4650</v>
      </c>
      <c r="H96" s="2"/>
      <c r="I96" s="2"/>
      <c r="J96" s="2"/>
      <c r="K96" s="2"/>
      <c r="L96" s="2"/>
      <c r="M96" s="2"/>
      <c r="N96" s="2"/>
      <c r="O96" s="2"/>
      <c r="P96" s="2"/>
      <c r="Q96" s="2"/>
      <c r="R96" s="2"/>
      <c r="S96" s="2"/>
      <c r="T96" s="2"/>
      <c r="U96" s="2"/>
      <c r="V96" s="2"/>
      <c r="W96" s="2"/>
      <c r="X96" s="2"/>
      <c r="Y96" s="2"/>
      <c r="Z96" s="2"/>
    </row>
    <row r="97" customHeight="1" spans="1:26">
      <c r="A97" s="13" t="s">
        <v>431</v>
      </c>
      <c r="B97" s="13" t="s">
        <v>4651</v>
      </c>
      <c r="C97" s="13" t="s">
        <v>428</v>
      </c>
      <c r="D97" s="65">
        <v>879</v>
      </c>
      <c r="E97" s="13" t="s">
        <v>21</v>
      </c>
      <c r="F97" s="13" t="s">
        <v>4652</v>
      </c>
      <c r="G97" s="13" t="s">
        <v>4653</v>
      </c>
      <c r="H97" s="2"/>
      <c r="I97" s="2"/>
      <c r="J97" s="2"/>
      <c r="K97" s="2"/>
      <c r="L97" s="2"/>
      <c r="M97" s="2"/>
      <c r="N97" s="2"/>
      <c r="O97" s="2"/>
      <c r="P97" s="2"/>
      <c r="Q97" s="2"/>
      <c r="R97" s="2"/>
      <c r="S97" s="2"/>
      <c r="T97" s="2"/>
      <c r="U97" s="2"/>
      <c r="V97" s="2"/>
      <c r="W97" s="2"/>
      <c r="X97" s="2"/>
      <c r="Y97" s="2"/>
      <c r="Z97" s="2"/>
    </row>
    <row r="98" customHeight="1" spans="1:26">
      <c r="A98" s="13" t="s">
        <v>435</v>
      </c>
      <c r="B98" s="13" t="s">
        <v>4654</v>
      </c>
      <c r="C98" s="13" t="s">
        <v>428</v>
      </c>
      <c r="D98" s="14">
        <v>1000</v>
      </c>
      <c r="E98" s="13" t="s">
        <v>21</v>
      </c>
      <c r="F98" s="13" t="s">
        <v>4655</v>
      </c>
      <c r="G98" s="13" t="s">
        <v>4656</v>
      </c>
      <c r="H98" s="2"/>
      <c r="I98" s="2"/>
      <c r="J98" s="2"/>
      <c r="K98" s="2"/>
      <c r="L98" s="2"/>
      <c r="M98" s="2"/>
      <c r="N98" s="2"/>
      <c r="O98" s="2"/>
      <c r="P98" s="2"/>
      <c r="Q98" s="2"/>
      <c r="R98" s="2"/>
      <c r="S98" s="2"/>
      <c r="T98" s="2"/>
      <c r="U98" s="2"/>
      <c r="V98" s="2"/>
      <c r="W98" s="2"/>
      <c r="X98" s="2"/>
      <c r="Y98" s="2"/>
      <c r="Z98" s="2"/>
    </row>
    <row r="99" customHeight="1" spans="1:26">
      <c r="A99" s="64" t="s">
        <v>439</v>
      </c>
      <c r="B99" s="13" t="s">
        <v>1123</v>
      </c>
      <c r="C99" s="13" t="s">
        <v>315</v>
      </c>
      <c r="D99" s="65">
        <v>15</v>
      </c>
      <c r="E99" s="13" t="s">
        <v>37</v>
      </c>
      <c r="F99" s="13" t="s">
        <v>1124</v>
      </c>
      <c r="G99" s="13" t="s">
        <v>4657</v>
      </c>
      <c r="H99" s="2"/>
      <c r="I99" s="2"/>
      <c r="J99" s="2"/>
      <c r="K99" s="2"/>
      <c r="L99" s="2"/>
      <c r="M99" s="2"/>
      <c r="N99" s="2"/>
      <c r="O99" s="2"/>
      <c r="P99" s="2"/>
      <c r="Q99" s="2"/>
      <c r="R99" s="2"/>
      <c r="S99" s="2"/>
      <c r="T99" s="2"/>
      <c r="U99" s="2"/>
      <c r="V99" s="2"/>
      <c r="W99" s="2"/>
      <c r="X99" s="2"/>
      <c r="Y99" s="2"/>
      <c r="Z99" s="2"/>
    </row>
    <row r="100" customHeight="1" spans="1:26">
      <c r="A100" s="13" t="s">
        <v>443</v>
      </c>
      <c r="B100" s="13" t="s">
        <v>4658</v>
      </c>
      <c r="C100" s="13" t="s">
        <v>772</v>
      </c>
      <c r="D100" s="14">
        <v>188</v>
      </c>
      <c r="E100" s="13" t="s">
        <v>310</v>
      </c>
      <c r="F100" s="13" t="s">
        <v>4659</v>
      </c>
      <c r="G100" s="13" t="s">
        <v>4660</v>
      </c>
      <c r="H100" s="2"/>
      <c r="I100" s="2"/>
      <c r="J100" s="2"/>
      <c r="K100" s="2"/>
      <c r="L100" s="2"/>
      <c r="M100" s="2"/>
      <c r="N100" s="2"/>
      <c r="O100" s="2"/>
      <c r="P100" s="2"/>
      <c r="Q100" s="2"/>
      <c r="R100" s="2"/>
      <c r="S100" s="2"/>
      <c r="T100" s="2"/>
      <c r="U100" s="2"/>
      <c r="V100" s="2"/>
      <c r="W100" s="2"/>
      <c r="X100" s="2"/>
      <c r="Y100" s="2"/>
      <c r="Z100" s="2"/>
    </row>
    <row r="101" customHeight="1" spans="1:26">
      <c r="A101" s="13" t="s">
        <v>448</v>
      </c>
      <c r="B101" s="13" t="s">
        <v>4661</v>
      </c>
      <c r="C101" s="13" t="s">
        <v>450</v>
      </c>
      <c r="D101" s="65">
        <v>95</v>
      </c>
      <c r="E101" s="13" t="s">
        <v>310</v>
      </c>
      <c r="F101" s="13" t="s">
        <v>4662</v>
      </c>
      <c r="G101" s="13" t="s">
        <v>4663</v>
      </c>
      <c r="H101" s="2"/>
      <c r="I101" s="2"/>
      <c r="J101" s="2"/>
      <c r="K101" s="2"/>
      <c r="L101" s="2"/>
      <c r="M101" s="2"/>
      <c r="N101" s="2"/>
      <c r="O101" s="2"/>
      <c r="P101" s="2"/>
      <c r="Q101" s="2"/>
      <c r="R101" s="2"/>
      <c r="S101" s="2"/>
      <c r="T101" s="2"/>
      <c r="U101" s="2"/>
      <c r="V101" s="2"/>
      <c r="W101" s="2"/>
      <c r="X101" s="2"/>
      <c r="Y101" s="2"/>
      <c r="Z101" s="2"/>
    </row>
    <row r="102" customHeight="1" spans="1:26">
      <c r="A102" s="13" t="s">
        <v>452</v>
      </c>
      <c r="B102" s="13" t="s">
        <v>314</v>
      </c>
      <c r="C102" s="13" t="s">
        <v>450</v>
      </c>
      <c r="D102" s="65">
        <v>89</v>
      </c>
      <c r="E102" s="13" t="s">
        <v>310</v>
      </c>
      <c r="F102" s="13" t="s">
        <v>1132</v>
      </c>
      <c r="G102" s="13" t="s">
        <v>4664</v>
      </c>
      <c r="H102" s="2"/>
      <c r="I102" s="2"/>
      <c r="J102" s="2"/>
      <c r="K102" s="2"/>
      <c r="L102" s="2"/>
      <c r="M102" s="2"/>
      <c r="N102" s="2"/>
      <c r="O102" s="2"/>
      <c r="P102" s="2"/>
      <c r="Q102" s="2"/>
      <c r="R102" s="2"/>
      <c r="S102" s="2"/>
      <c r="T102" s="2"/>
      <c r="U102" s="2"/>
      <c r="V102" s="2"/>
      <c r="W102" s="2"/>
      <c r="X102" s="2"/>
      <c r="Y102" s="2"/>
      <c r="Z102" s="2"/>
    </row>
    <row r="103" customHeight="1" spans="1:26">
      <c r="A103" s="13" t="s">
        <v>455</v>
      </c>
      <c r="B103" s="13" t="s">
        <v>4665</v>
      </c>
      <c r="C103" s="13" t="s">
        <v>457</v>
      </c>
      <c r="D103" s="14">
        <v>400</v>
      </c>
      <c r="E103" s="13" t="s">
        <v>21</v>
      </c>
      <c r="F103" s="13" t="s">
        <v>4666</v>
      </c>
      <c r="G103" s="13" t="s">
        <v>4667</v>
      </c>
      <c r="H103" s="2"/>
      <c r="I103" s="2"/>
      <c r="J103" s="2"/>
      <c r="K103" s="2"/>
      <c r="L103" s="2"/>
      <c r="M103" s="2"/>
      <c r="N103" s="2"/>
      <c r="O103" s="2"/>
      <c r="P103" s="2"/>
      <c r="Q103" s="2"/>
      <c r="R103" s="2"/>
      <c r="S103" s="2"/>
      <c r="T103" s="2"/>
      <c r="U103" s="2"/>
      <c r="V103" s="2"/>
      <c r="W103" s="2"/>
      <c r="X103" s="2"/>
      <c r="Y103" s="2"/>
      <c r="Z103" s="2"/>
    </row>
    <row r="104" customHeight="1" spans="1:26">
      <c r="A104" s="13" t="s">
        <v>1137</v>
      </c>
      <c r="B104" s="13" t="s">
        <v>4668</v>
      </c>
      <c r="C104" s="13" t="s">
        <v>1139</v>
      </c>
      <c r="D104" s="14">
        <v>8</v>
      </c>
      <c r="E104" s="13" t="s">
        <v>37</v>
      </c>
      <c r="F104" s="13" t="s">
        <v>4669</v>
      </c>
      <c r="G104" s="13" t="s">
        <v>4670</v>
      </c>
      <c r="H104" s="2"/>
      <c r="I104" s="2"/>
      <c r="J104" s="2"/>
      <c r="K104" s="2"/>
      <c r="L104" s="2"/>
      <c r="M104" s="2"/>
      <c r="N104" s="2"/>
      <c r="O104" s="2"/>
      <c r="P104" s="2"/>
      <c r="Q104" s="2"/>
      <c r="R104" s="2"/>
      <c r="S104" s="2"/>
      <c r="T104" s="2"/>
      <c r="U104" s="2"/>
      <c r="V104" s="2"/>
      <c r="W104" s="2"/>
      <c r="X104" s="2"/>
      <c r="Y104" s="2"/>
      <c r="Z104" s="2"/>
    </row>
    <row r="105" customHeight="1" spans="1:26">
      <c r="A105" s="64" t="s">
        <v>465</v>
      </c>
      <c r="B105" s="13" t="s">
        <v>4671</v>
      </c>
      <c r="C105" s="13" t="s">
        <v>471</v>
      </c>
      <c r="D105" s="65">
        <v>30</v>
      </c>
      <c r="E105" s="13" t="s">
        <v>21</v>
      </c>
      <c r="F105" s="13" t="s">
        <v>4672</v>
      </c>
      <c r="G105" s="13" t="s">
        <v>4673</v>
      </c>
      <c r="H105" s="2"/>
      <c r="I105" s="2"/>
      <c r="J105" s="2"/>
      <c r="K105" s="2"/>
      <c r="L105" s="2"/>
      <c r="M105" s="2"/>
      <c r="N105" s="2"/>
      <c r="O105" s="2"/>
      <c r="P105" s="2"/>
      <c r="Q105" s="2"/>
      <c r="R105" s="2"/>
      <c r="S105" s="2"/>
      <c r="T105" s="2"/>
      <c r="U105" s="2"/>
      <c r="V105" s="2"/>
      <c r="W105" s="2"/>
      <c r="X105" s="2"/>
      <c r="Y105" s="2"/>
      <c r="Z105" s="2"/>
    </row>
    <row r="106" customHeight="1" spans="1:26">
      <c r="A106" s="13" t="s">
        <v>469</v>
      </c>
      <c r="B106" s="13" t="s">
        <v>4674</v>
      </c>
      <c r="C106" s="13" t="s">
        <v>471</v>
      </c>
      <c r="D106" s="14">
        <v>43</v>
      </c>
      <c r="E106" s="13" t="s">
        <v>310</v>
      </c>
      <c r="F106" s="13" t="s">
        <v>4675</v>
      </c>
      <c r="G106" s="13" t="s">
        <v>4676</v>
      </c>
      <c r="H106" s="2"/>
      <c r="I106" s="2"/>
      <c r="J106" s="2"/>
      <c r="K106" s="2"/>
      <c r="L106" s="2"/>
      <c r="M106" s="2"/>
      <c r="N106" s="2"/>
      <c r="O106" s="2"/>
      <c r="P106" s="2"/>
      <c r="Q106" s="2"/>
      <c r="R106" s="2"/>
      <c r="S106" s="2"/>
      <c r="T106" s="2"/>
      <c r="U106" s="2"/>
      <c r="V106" s="2"/>
      <c r="W106" s="2"/>
      <c r="X106" s="2"/>
      <c r="Y106" s="2"/>
      <c r="Z106" s="2"/>
    </row>
    <row r="107" customHeight="1" spans="1:26">
      <c r="A107" s="13" t="s">
        <v>474</v>
      </c>
      <c r="B107" s="13" t="s">
        <v>812</v>
      </c>
      <c r="C107" s="13" t="s">
        <v>476</v>
      </c>
      <c r="D107" s="65">
        <v>123</v>
      </c>
      <c r="E107" s="13" t="s">
        <v>310</v>
      </c>
      <c r="F107" s="13" t="s">
        <v>1148</v>
      </c>
      <c r="G107" s="13" t="s">
        <v>4677</v>
      </c>
      <c r="H107" s="2"/>
      <c r="I107" s="2"/>
      <c r="J107" s="2"/>
      <c r="K107" s="2"/>
      <c r="L107" s="2"/>
      <c r="M107" s="2"/>
      <c r="N107" s="2"/>
      <c r="O107" s="2"/>
      <c r="P107" s="2"/>
      <c r="Q107" s="2"/>
      <c r="R107" s="2"/>
      <c r="S107" s="2"/>
      <c r="T107" s="2"/>
      <c r="U107" s="2"/>
      <c r="V107" s="2"/>
      <c r="W107" s="2"/>
      <c r="X107" s="2"/>
      <c r="Y107" s="2"/>
      <c r="Z107" s="2"/>
    </row>
    <row r="108" customHeight="1" spans="1:26">
      <c r="A108" s="13" t="s">
        <v>479</v>
      </c>
      <c r="B108" s="13" t="s">
        <v>4678</v>
      </c>
      <c r="C108" s="13" t="s">
        <v>476</v>
      </c>
      <c r="D108" s="65">
        <v>76</v>
      </c>
      <c r="E108" s="13" t="s">
        <v>310</v>
      </c>
      <c r="F108" s="13" t="s">
        <v>4679</v>
      </c>
      <c r="G108" s="13" t="s">
        <v>4680</v>
      </c>
      <c r="H108" s="2"/>
      <c r="I108" s="2"/>
      <c r="J108" s="2"/>
      <c r="K108" s="2"/>
      <c r="L108" s="2"/>
      <c r="M108" s="2"/>
      <c r="N108" s="2"/>
      <c r="O108" s="2"/>
      <c r="P108" s="2"/>
      <c r="Q108" s="2"/>
      <c r="R108" s="2"/>
      <c r="S108" s="2"/>
      <c r="T108" s="2"/>
      <c r="U108" s="2"/>
      <c r="V108" s="2"/>
      <c r="W108" s="2"/>
      <c r="X108" s="2"/>
      <c r="Y108" s="2"/>
      <c r="Z108" s="2"/>
    </row>
    <row r="109" customHeight="1" spans="1:26">
      <c r="A109" s="64" t="s">
        <v>483</v>
      </c>
      <c r="B109" s="13" t="s">
        <v>4681</v>
      </c>
      <c r="C109" s="13" t="s">
        <v>485</v>
      </c>
      <c r="D109" s="65">
        <v>77</v>
      </c>
      <c r="E109" s="13" t="s">
        <v>37</v>
      </c>
      <c r="F109" s="13" t="s">
        <v>4682</v>
      </c>
      <c r="G109" s="13" t="s">
        <v>4683</v>
      </c>
      <c r="H109" s="2"/>
      <c r="I109" s="2"/>
      <c r="J109" s="2"/>
      <c r="K109" s="2"/>
      <c r="L109" s="2"/>
      <c r="M109" s="2"/>
      <c r="N109" s="2"/>
      <c r="O109" s="2"/>
      <c r="P109" s="2"/>
      <c r="Q109" s="2"/>
      <c r="R109" s="2"/>
      <c r="S109" s="2"/>
      <c r="T109" s="2"/>
      <c r="U109" s="2"/>
      <c r="V109" s="2"/>
      <c r="W109" s="2"/>
      <c r="X109" s="2"/>
      <c r="Y109" s="2"/>
      <c r="Z109" s="2"/>
    </row>
    <row r="110" customHeight="1" spans="1:26">
      <c r="A110" s="13" t="s">
        <v>488</v>
      </c>
      <c r="B110" s="13" t="s">
        <v>4684</v>
      </c>
      <c r="C110" s="13" t="s">
        <v>490</v>
      </c>
      <c r="D110" s="14">
        <v>50</v>
      </c>
      <c r="E110" s="13" t="s">
        <v>37</v>
      </c>
      <c r="F110" s="13" t="s">
        <v>4685</v>
      </c>
      <c r="G110" s="13" t="s">
        <v>4686</v>
      </c>
      <c r="H110" s="2"/>
      <c r="I110" s="2"/>
      <c r="J110" s="2"/>
      <c r="K110" s="2"/>
      <c r="L110" s="2"/>
      <c r="M110" s="2"/>
      <c r="N110" s="2"/>
      <c r="O110" s="2"/>
      <c r="P110" s="2"/>
      <c r="Q110" s="2"/>
      <c r="R110" s="2"/>
      <c r="S110" s="2"/>
      <c r="T110" s="2"/>
      <c r="U110" s="2"/>
      <c r="V110" s="2"/>
      <c r="W110" s="2"/>
      <c r="X110" s="2"/>
      <c r="Y110" s="2"/>
      <c r="Z110" s="2"/>
    </row>
    <row r="111" customHeight="1" spans="1:26">
      <c r="A111" s="13" t="s">
        <v>493</v>
      </c>
      <c r="B111" s="13" t="s">
        <v>4687</v>
      </c>
      <c r="C111" s="13" t="s">
        <v>495</v>
      </c>
      <c r="D111" s="57"/>
      <c r="E111" s="57"/>
      <c r="F111" s="13" t="s">
        <v>4688</v>
      </c>
      <c r="G111" s="13" t="s">
        <v>4689</v>
      </c>
      <c r="H111" s="2"/>
      <c r="I111" s="2"/>
      <c r="J111" s="2"/>
      <c r="K111" s="2"/>
      <c r="L111" s="2"/>
      <c r="M111" s="2"/>
      <c r="N111" s="2"/>
      <c r="O111" s="2"/>
      <c r="P111" s="2"/>
      <c r="Q111" s="2"/>
      <c r="R111" s="2"/>
      <c r="S111" s="2"/>
      <c r="T111" s="2"/>
      <c r="U111" s="2"/>
      <c r="V111" s="2"/>
      <c r="W111" s="2"/>
      <c r="X111" s="2"/>
      <c r="Y111" s="2"/>
      <c r="Z111" s="2"/>
    </row>
    <row r="112" customHeight="1" spans="1:26">
      <c r="A112" s="13" t="s">
        <v>498</v>
      </c>
      <c r="B112" s="13" t="s">
        <v>1160</v>
      </c>
      <c r="C112" s="13" t="s">
        <v>500</v>
      </c>
      <c r="D112" s="57"/>
      <c r="E112" s="57"/>
      <c r="F112" s="13" t="s">
        <v>1161</v>
      </c>
      <c r="G112" s="13" t="s">
        <v>4690</v>
      </c>
      <c r="H112" s="2"/>
      <c r="I112" s="2"/>
      <c r="J112" s="2"/>
      <c r="K112" s="2"/>
      <c r="L112" s="2"/>
      <c r="M112" s="2"/>
      <c r="N112" s="2"/>
      <c r="O112" s="2"/>
      <c r="P112" s="2"/>
      <c r="Q112" s="2"/>
      <c r="R112" s="2"/>
      <c r="S112" s="2"/>
      <c r="T112" s="2"/>
      <c r="U112" s="2"/>
      <c r="V112" s="2"/>
      <c r="W112" s="2"/>
      <c r="X112" s="2"/>
      <c r="Y112" s="2"/>
      <c r="Z112" s="2"/>
    </row>
    <row r="113" customHeight="1" spans="1:26">
      <c r="A113" s="64" t="s">
        <v>503</v>
      </c>
      <c r="B113" s="13" t="s">
        <v>504</v>
      </c>
      <c r="C113" s="13" t="s">
        <v>505</v>
      </c>
      <c r="D113" s="65">
        <v>38</v>
      </c>
      <c r="E113" s="13" t="s">
        <v>37</v>
      </c>
      <c r="F113" s="13" t="s">
        <v>506</v>
      </c>
      <c r="G113" s="13" t="s">
        <v>4691</v>
      </c>
      <c r="H113" s="2"/>
      <c r="I113" s="2"/>
      <c r="J113" s="2"/>
      <c r="K113" s="2"/>
      <c r="L113" s="2"/>
      <c r="M113" s="2"/>
      <c r="N113" s="2"/>
      <c r="O113" s="2"/>
      <c r="P113" s="2"/>
      <c r="Q113" s="2"/>
      <c r="R113" s="2"/>
      <c r="S113" s="2"/>
      <c r="T113" s="2"/>
      <c r="U113" s="2"/>
      <c r="V113" s="2"/>
      <c r="W113" s="2"/>
      <c r="X113" s="2"/>
      <c r="Y113" s="2"/>
      <c r="Z113" s="2"/>
    </row>
    <row r="114" customHeight="1" spans="1:26">
      <c r="A114" s="13" t="s">
        <v>508</v>
      </c>
      <c r="B114" s="13" t="s">
        <v>1164</v>
      </c>
      <c r="C114" s="13" t="s">
        <v>510</v>
      </c>
      <c r="D114" s="14">
        <v>40</v>
      </c>
      <c r="E114" s="13" t="s">
        <v>37</v>
      </c>
      <c r="F114" s="13" t="s">
        <v>1165</v>
      </c>
      <c r="G114" s="13" t="s">
        <v>1166</v>
      </c>
      <c r="H114" s="2"/>
      <c r="I114" s="2"/>
      <c r="J114" s="2"/>
      <c r="K114" s="2"/>
      <c r="L114" s="2"/>
      <c r="M114" s="2"/>
      <c r="N114" s="2"/>
      <c r="O114" s="2"/>
      <c r="P114" s="2"/>
      <c r="Q114" s="2"/>
      <c r="R114" s="2"/>
      <c r="S114" s="2"/>
      <c r="T114" s="2"/>
      <c r="U114" s="2"/>
      <c r="V114" s="2"/>
      <c r="W114" s="2"/>
      <c r="X114" s="2"/>
      <c r="Y114" s="2"/>
      <c r="Z114" s="2"/>
    </row>
    <row r="115" customHeight="1" spans="1:26">
      <c r="A115" s="13" t="s">
        <v>513</v>
      </c>
      <c r="B115" s="13" t="s">
        <v>972</v>
      </c>
      <c r="C115" s="13" t="s">
        <v>515</v>
      </c>
      <c r="D115" s="14">
        <v>40</v>
      </c>
      <c r="E115" s="13" t="s">
        <v>37</v>
      </c>
      <c r="F115" s="13" t="s">
        <v>1167</v>
      </c>
      <c r="G115" s="13" t="s">
        <v>4692</v>
      </c>
      <c r="H115" s="2"/>
      <c r="I115" s="2"/>
      <c r="J115" s="2"/>
      <c r="K115" s="2"/>
      <c r="L115" s="2"/>
      <c r="M115" s="2"/>
      <c r="N115" s="2"/>
      <c r="O115" s="2"/>
      <c r="P115" s="2"/>
      <c r="Q115" s="2"/>
      <c r="R115" s="2"/>
      <c r="S115" s="2"/>
      <c r="T115" s="2"/>
      <c r="U115" s="2"/>
      <c r="V115" s="2"/>
      <c r="W115" s="2"/>
      <c r="X115" s="2"/>
      <c r="Y115" s="2"/>
      <c r="Z115" s="2"/>
    </row>
    <row r="116" customHeight="1" spans="1:26">
      <c r="A116" s="13" t="s">
        <v>518</v>
      </c>
      <c r="B116" s="13" t="s">
        <v>4422</v>
      </c>
      <c r="C116" s="13" t="s">
        <v>519</v>
      </c>
      <c r="D116" s="14">
        <v>45</v>
      </c>
      <c r="E116" s="13" t="s">
        <v>37</v>
      </c>
      <c r="F116" s="13" t="s">
        <v>4693</v>
      </c>
      <c r="G116" s="13" t="s">
        <v>4693</v>
      </c>
      <c r="H116" s="2"/>
      <c r="I116" s="2"/>
      <c r="J116" s="2"/>
      <c r="K116" s="2"/>
      <c r="L116" s="2"/>
      <c r="M116" s="2"/>
      <c r="N116" s="2"/>
      <c r="O116" s="2"/>
      <c r="P116" s="2"/>
      <c r="Q116" s="2"/>
      <c r="R116" s="2"/>
      <c r="S116" s="2"/>
      <c r="T116" s="2"/>
      <c r="U116" s="2"/>
      <c r="V116" s="2"/>
      <c r="W116" s="2"/>
      <c r="X116" s="2"/>
      <c r="Y116" s="2"/>
      <c r="Z116" s="2"/>
    </row>
    <row r="117" customHeight="1" spans="1:26">
      <c r="A117" s="13" t="s">
        <v>520</v>
      </c>
      <c r="B117" s="13" t="s">
        <v>1171</v>
      </c>
      <c r="C117" s="13" t="s">
        <v>515</v>
      </c>
      <c r="D117" s="14">
        <v>50</v>
      </c>
      <c r="E117" s="13" t="s">
        <v>37</v>
      </c>
      <c r="F117" s="13" t="s">
        <v>1172</v>
      </c>
      <c r="G117" s="13" t="s">
        <v>4694</v>
      </c>
      <c r="H117" s="2"/>
      <c r="I117" s="2"/>
      <c r="J117" s="2"/>
      <c r="K117" s="2"/>
      <c r="L117" s="2"/>
      <c r="M117" s="2"/>
      <c r="N117" s="2"/>
      <c r="O117" s="2"/>
      <c r="P117" s="2"/>
      <c r="Q117" s="2"/>
      <c r="R117" s="2"/>
      <c r="S117" s="2"/>
      <c r="T117" s="2"/>
      <c r="U117" s="2"/>
      <c r="V117" s="2"/>
      <c r="W117" s="2"/>
      <c r="X117" s="2"/>
      <c r="Y117" s="2"/>
      <c r="Z117" s="2"/>
    </row>
    <row r="118" customHeight="1" spans="1:26">
      <c r="A118" s="64" t="s">
        <v>522</v>
      </c>
      <c r="B118" s="13" t="s">
        <v>4695</v>
      </c>
      <c r="C118" s="13" t="s">
        <v>524</v>
      </c>
      <c r="D118" s="65">
        <v>90</v>
      </c>
      <c r="E118" s="13" t="s">
        <v>21</v>
      </c>
      <c r="F118" s="13" t="s">
        <v>525</v>
      </c>
      <c r="G118" s="74" t="s">
        <v>4696</v>
      </c>
      <c r="H118" s="2"/>
      <c r="I118" s="2"/>
      <c r="J118" s="2"/>
      <c r="K118" s="2"/>
      <c r="L118" s="2"/>
      <c r="M118" s="2"/>
      <c r="N118" s="2"/>
      <c r="O118" s="2"/>
      <c r="P118" s="2"/>
      <c r="Q118" s="2"/>
      <c r="R118" s="2"/>
      <c r="S118" s="2"/>
      <c r="T118" s="2"/>
      <c r="U118" s="2"/>
      <c r="V118" s="2"/>
      <c r="W118" s="2"/>
      <c r="X118" s="2"/>
      <c r="Y118" s="2"/>
      <c r="Z118" s="2"/>
    </row>
    <row r="119" customHeight="1" spans="1:26">
      <c r="A119" s="13" t="s">
        <v>527</v>
      </c>
      <c r="B119" s="13" t="s">
        <v>4697</v>
      </c>
      <c r="C119" s="13" t="s">
        <v>529</v>
      </c>
      <c r="D119" s="57"/>
      <c r="E119" s="57"/>
      <c r="F119" s="13" t="s">
        <v>4698</v>
      </c>
      <c r="G119" s="13" t="s">
        <v>4699</v>
      </c>
      <c r="H119" s="2"/>
      <c r="I119" s="2"/>
      <c r="J119" s="2"/>
      <c r="K119" s="2"/>
      <c r="L119" s="2"/>
      <c r="M119" s="2"/>
      <c r="N119" s="2"/>
      <c r="O119" s="2"/>
      <c r="P119" s="2"/>
      <c r="Q119" s="2"/>
      <c r="R119" s="2"/>
      <c r="S119" s="2"/>
      <c r="T119" s="2"/>
      <c r="U119" s="2"/>
      <c r="V119" s="2"/>
      <c r="W119" s="2"/>
      <c r="X119" s="2"/>
      <c r="Y119" s="2"/>
      <c r="Z119" s="2"/>
    </row>
    <row r="120" customHeight="1" spans="1:26">
      <c r="A120" s="13" t="s">
        <v>532</v>
      </c>
      <c r="B120" s="13" t="s">
        <v>4700</v>
      </c>
      <c r="C120" s="13" t="s">
        <v>534</v>
      </c>
      <c r="D120" s="14">
        <v>120</v>
      </c>
      <c r="E120" s="13" t="s">
        <v>37</v>
      </c>
      <c r="F120" s="13" t="s">
        <v>4701</v>
      </c>
      <c r="G120" s="13" t="s">
        <v>4702</v>
      </c>
      <c r="H120" s="2"/>
      <c r="I120" s="2"/>
      <c r="J120" s="2"/>
      <c r="K120" s="2"/>
      <c r="L120" s="2"/>
      <c r="M120" s="2"/>
      <c r="N120" s="2"/>
      <c r="O120" s="2"/>
      <c r="P120" s="2"/>
      <c r="Q120" s="2"/>
      <c r="R120" s="2"/>
      <c r="S120" s="2"/>
      <c r="T120" s="2"/>
      <c r="U120" s="2"/>
      <c r="V120" s="2"/>
      <c r="W120" s="2"/>
      <c r="X120" s="2"/>
      <c r="Y120" s="2"/>
      <c r="Z120" s="2"/>
    </row>
    <row r="121" customHeight="1" spans="1:26">
      <c r="A121" s="64" t="s">
        <v>537</v>
      </c>
      <c r="B121" s="13" t="s">
        <v>4703</v>
      </c>
      <c r="C121" s="13" t="s">
        <v>539</v>
      </c>
      <c r="D121" s="65">
        <v>60</v>
      </c>
      <c r="E121" s="13" t="s">
        <v>37</v>
      </c>
      <c r="F121" s="13" t="s">
        <v>4704</v>
      </c>
      <c r="G121" s="13" t="s">
        <v>4705</v>
      </c>
      <c r="H121" s="2"/>
      <c r="I121" s="2"/>
      <c r="J121" s="2"/>
      <c r="K121" s="2"/>
      <c r="L121" s="2"/>
      <c r="M121" s="2"/>
      <c r="N121" s="2"/>
      <c r="O121" s="2"/>
      <c r="P121" s="2"/>
      <c r="Q121" s="2"/>
      <c r="R121" s="2"/>
      <c r="S121" s="2"/>
      <c r="T121" s="2"/>
      <c r="U121" s="2"/>
      <c r="V121" s="2"/>
      <c r="W121" s="2"/>
      <c r="X121" s="2"/>
      <c r="Y121" s="2"/>
      <c r="Z121" s="2"/>
    </row>
    <row r="122" customHeight="1" spans="1:26">
      <c r="A122" s="64" t="s">
        <v>542</v>
      </c>
      <c r="B122" s="13" t="s">
        <v>4706</v>
      </c>
      <c r="C122" s="13" t="s">
        <v>539</v>
      </c>
      <c r="D122" s="65">
        <v>50</v>
      </c>
      <c r="E122" s="13" t="s">
        <v>37</v>
      </c>
      <c r="F122" s="13" t="s">
        <v>4707</v>
      </c>
      <c r="G122" s="13" t="s">
        <v>4708</v>
      </c>
      <c r="H122" s="2"/>
      <c r="I122" s="2"/>
      <c r="J122" s="2"/>
      <c r="K122" s="2"/>
      <c r="L122" s="2"/>
      <c r="M122" s="2"/>
      <c r="N122" s="2"/>
      <c r="O122" s="2"/>
      <c r="P122" s="2"/>
      <c r="Q122" s="2"/>
      <c r="R122" s="2"/>
      <c r="S122" s="2"/>
      <c r="T122" s="2"/>
      <c r="U122" s="2"/>
      <c r="V122" s="2"/>
      <c r="W122" s="2"/>
      <c r="X122" s="2"/>
      <c r="Y122" s="2"/>
      <c r="Z122" s="2"/>
    </row>
    <row r="123" customHeight="1" spans="1:26">
      <c r="A123" s="13" t="s">
        <v>546</v>
      </c>
      <c r="B123" s="13" t="s">
        <v>4709</v>
      </c>
      <c r="C123" s="13" t="s">
        <v>548</v>
      </c>
      <c r="D123" s="14">
        <v>100</v>
      </c>
      <c r="E123" s="13" t="s">
        <v>37</v>
      </c>
      <c r="F123" s="13" t="s">
        <v>4710</v>
      </c>
      <c r="G123" s="13" t="s">
        <v>4711</v>
      </c>
      <c r="H123" s="2"/>
      <c r="I123" s="2"/>
      <c r="J123" s="2"/>
      <c r="K123" s="2"/>
      <c r="L123" s="2"/>
      <c r="M123" s="2"/>
      <c r="N123" s="2"/>
      <c r="O123" s="2"/>
      <c r="P123" s="2"/>
      <c r="Q123" s="2"/>
      <c r="R123" s="2"/>
      <c r="S123" s="2"/>
      <c r="T123" s="2"/>
      <c r="U123" s="2"/>
      <c r="V123" s="2"/>
      <c r="W123" s="2"/>
      <c r="X123" s="2"/>
      <c r="Y123" s="2"/>
      <c r="Z123" s="2"/>
    </row>
    <row r="124" customHeight="1" spans="1:26">
      <c r="A124" s="64" t="s">
        <v>551</v>
      </c>
      <c r="B124" s="13" t="s">
        <v>4712</v>
      </c>
      <c r="C124" s="13" t="s">
        <v>553</v>
      </c>
      <c r="D124" s="65">
        <v>30</v>
      </c>
      <c r="E124" s="13" t="s">
        <v>37</v>
      </c>
      <c r="F124" s="13" t="s">
        <v>4713</v>
      </c>
      <c r="G124" s="13" t="s">
        <v>4714</v>
      </c>
      <c r="H124" s="2"/>
      <c r="I124" s="2"/>
      <c r="J124" s="2"/>
      <c r="K124" s="2"/>
      <c r="L124" s="2"/>
      <c r="M124" s="2"/>
      <c r="N124" s="2"/>
      <c r="O124" s="2"/>
      <c r="P124" s="2"/>
      <c r="Q124" s="2"/>
      <c r="R124" s="2"/>
      <c r="S124" s="2"/>
      <c r="T124" s="2"/>
      <c r="U124" s="2"/>
      <c r="V124" s="2"/>
      <c r="W124" s="2"/>
      <c r="X124" s="2"/>
      <c r="Y124" s="2"/>
      <c r="Z124" s="2"/>
    </row>
    <row r="125" customHeight="1" spans="1:26">
      <c r="A125" s="13" t="s">
        <v>556</v>
      </c>
      <c r="B125" s="13" t="s">
        <v>4712</v>
      </c>
      <c r="C125" s="13" t="s">
        <v>557</v>
      </c>
      <c r="D125" s="14">
        <v>30</v>
      </c>
      <c r="E125" s="13" t="s">
        <v>37</v>
      </c>
      <c r="F125" s="13" t="s">
        <v>4713</v>
      </c>
      <c r="G125" s="13" t="s">
        <v>4714</v>
      </c>
      <c r="H125" s="2"/>
      <c r="I125" s="2"/>
      <c r="J125" s="2"/>
      <c r="K125" s="2"/>
      <c r="L125" s="2"/>
      <c r="M125" s="2"/>
      <c r="N125" s="2"/>
      <c r="O125" s="2"/>
      <c r="P125" s="2"/>
      <c r="Q125" s="2"/>
      <c r="R125" s="2"/>
      <c r="S125" s="2"/>
      <c r="T125" s="2"/>
      <c r="U125" s="2"/>
      <c r="V125" s="2"/>
      <c r="W125" s="2"/>
      <c r="X125" s="2"/>
      <c r="Y125" s="2"/>
      <c r="Z125" s="2"/>
    </row>
    <row r="126" customHeight="1" spans="1:26">
      <c r="A126" s="13" t="s">
        <v>558</v>
      </c>
      <c r="B126" s="13" t="s">
        <v>4715</v>
      </c>
      <c r="C126" s="13" t="s">
        <v>560</v>
      </c>
      <c r="D126" s="14">
        <v>40</v>
      </c>
      <c r="E126" s="13" t="s">
        <v>37</v>
      </c>
      <c r="F126" s="13" t="s">
        <v>4716</v>
      </c>
      <c r="G126" s="13" t="s">
        <v>4717</v>
      </c>
      <c r="H126" s="2"/>
      <c r="I126" s="2"/>
      <c r="J126" s="2"/>
      <c r="K126" s="2"/>
      <c r="L126" s="2"/>
      <c r="M126" s="2"/>
      <c r="N126" s="2"/>
      <c r="O126" s="2"/>
      <c r="P126" s="2"/>
      <c r="Q126" s="2"/>
      <c r="R126" s="2"/>
      <c r="S126" s="2"/>
      <c r="T126" s="2"/>
      <c r="U126" s="2"/>
      <c r="V126" s="2"/>
      <c r="W126" s="2"/>
      <c r="X126" s="2"/>
      <c r="Y126" s="2"/>
      <c r="Z126" s="2"/>
    </row>
    <row r="127" customHeight="1" spans="1:26">
      <c r="A127" s="13" t="s">
        <v>563</v>
      </c>
      <c r="B127" s="13" t="s">
        <v>4718</v>
      </c>
      <c r="C127" s="13" t="s">
        <v>565</v>
      </c>
      <c r="D127" s="14">
        <v>80</v>
      </c>
      <c r="E127" s="13" t="s">
        <v>37</v>
      </c>
      <c r="F127" s="13" t="s">
        <v>4719</v>
      </c>
      <c r="G127" s="13" t="s">
        <v>4720</v>
      </c>
      <c r="H127" s="2"/>
      <c r="I127" s="2"/>
      <c r="J127" s="2"/>
      <c r="K127" s="2"/>
      <c r="L127" s="2"/>
      <c r="M127" s="2"/>
      <c r="N127" s="2"/>
      <c r="O127" s="2"/>
      <c r="P127" s="2"/>
      <c r="Q127" s="2"/>
      <c r="R127" s="2"/>
      <c r="S127" s="2"/>
      <c r="T127" s="2"/>
      <c r="U127" s="2"/>
      <c r="V127" s="2"/>
      <c r="W127" s="2"/>
      <c r="X127" s="2"/>
      <c r="Y127" s="2"/>
      <c r="Z127" s="2"/>
    </row>
    <row r="128" customHeight="1" spans="1:26">
      <c r="A128" s="65"/>
      <c r="B128" s="65"/>
      <c r="C128" s="57"/>
      <c r="D128" s="57"/>
      <c r="E128" s="57"/>
      <c r="F128" s="57"/>
      <c r="G128" s="57"/>
      <c r="H128" s="2"/>
      <c r="I128" s="2"/>
      <c r="J128" s="2"/>
      <c r="K128" s="2"/>
      <c r="L128" s="2"/>
      <c r="M128" s="2"/>
      <c r="N128" s="2"/>
      <c r="O128" s="2"/>
      <c r="P128" s="2"/>
      <c r="Q128" s="2"/>
      <c r="R128" s="2"/>
      <c r="S128" s="2"/>
      <c r="T128" s="2"/>
      <c r="U128" s="2"/>
      <c r="V128" s="2"/>
      <c r="W128" s="2"/>
      <c r="X128" s="2"/>
      <c r="Y128" s="2"/>
      <c r="Z128" s="2"/>
    </row>
    <row r="129" customHeight="1" spans="1:26">
      <c r="A129" s="65"/>
      <c r="B129" s="57"/>
      <c r="C129" s="57"/>
      <c r="D129" s="57"/>
      <c r="E129" s="57"/>
      <c r="F129" s="57"/>
      <c r="G129" s="57"/>
      <c r="H129" s="2"/>
      <c r="I129" s="2"/>
      <c r="J129" s="2"/>
      <c r="K129" s="2"/>
      <c r="L129" s="2"/>
      <c r="M129" s="2"/>
      <c r="N129" s="2"/>
      <c r="O129" s="2"/>
      <c r="P129" s="2"/>
      <c r="Q129" s="2"/>
      <c r="R129" s="2"/>
      <c r="S129" s="2"/>
      <c r="T129" s="2"/>
      <c r="U129" s="2"/>
      <c r="V129" s="2"/>
      <c r="W129" s="2"/>
      <c r="X129" s="2"/>
      <c r="Y129" s="2"/>
      <c r="Z129" s="2"/>
    </row>
    <row r="130" ht="13.5" customHeight="1"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topLeftCell="A148" workbookViewId="0">
      <selection activeCell="B159" sqref="B159"/>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4721</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70" t="s">
        <v>10</v>
      </c>
      <c r="B4" s="63" t="s">
        <v>4722</v>
      </c>
      <c r="C4" s="63" t="s">
        <v>12</v>
      </c>
      <c r="D4" s="98"/>
      <c r="E4" s="98"/>
      <c r="F4" s="63" t="s">
        <v>4723</v>
      </c>
      <c r="G4" s="63" t="s">
        <v>4724</v>
      </c>
      <c r="H4" s="2"/>
      <c r="I4" s="2"/>
      <c r="J4" s="2"/>
      <c r="K4" s="2"/>
      <c r="L4" s="2"/>
      <c r="M4" s="2"/>
      <c r="N4" s="2"/>
      <c r="O4" s="2"/>
      <c r="P4" s="2"/>
      <c r="Q4" s="2"/>
      <c r="R4" s="2"/>
      <c r="S4" s="2"/>
      <c r="T4" s="2"/>
      <c r="U4" s="2"/>
      <c r="V4" s="2"/>
      <c r="W4" s="2"/>
      <c r="X4" s="2"/>
      <c r="Y4" s="2"/>
      <c r="Z4" s="2"/>
    </row>
    <row r="5" customHeight="1" spans="1:26">
      <c r="A5" s="52" t="s">
        <v>15</v>
      </c>
      <c r="B5" s="62" t="s">
        <v>4725</v>
      </c>
      <c r="C5" s="13" t="s">
        <v>12</v>
      </c>
      <c r="D5" s="57"/>
      <c r="E5" s="57"/>
      <c r="F5" s="13" t="s">
        <v>4726</v>
      </c>
      <c r="G5" s="13" t="s">
        <v>4727</v>
      </c>
      <c r="H5" s="2"/>
      <c r="I5" s="2"/>
      <c r="J5" s="2"/>
      <c r="K5" s="2"/>
      <c r="L5" s="2"/>
      <c r="M5" s="2"/>
      <c r="N5" s="2"/>
      <c r="O5" s="2"/>
      <c r="P5" s="2"/>
      <c r="Q5" s="2"/>
      <c r="R5" s="2"/>
      <c r="S5" s="2"/>
      <c r="T5" s="2"/>
      <c r="U5" s="2"/>
      <c r="V5" s="2"/>
      <c r="W5" s="2"/>
      <c r="X5" s="2"/>
      <c r="Y5" s="2"/>
      <c r="Z5" s="2"/>
    </row>
    <row r="6" customHeight="1" spans="1:26">
      <c r="A6" s="63" t="s">
        <v>18</v>
      </c>
      <c r="B6" s="13" t="s">
        <v>4728</v>
      </c>
      <c r="C6" s="13" t="s">
        <v>20</v>
      </c>
      <c r="D6" s="14">
        <v>340</v>
      </c>
      <c r="E6" s="13" t="s">
        <v>21</v>
      </c>
      <c r="F6" s="13" t="s">
        <v>4729</v>
      </c>
      <c r="G6" s="13" t="s">
        <v>4730</v>
      </c>
      <c r="H6" s="2"/>
      <c r="I6" s="2"/>
      <c r="J6" s="2"/>
      <c r="K6" s="2"/>
      <c r="L6" s="2"/>
      <c r="M6" s="2"/>
      <c r="N6" s="2"/>
      <c r="O6" s="2"/>
      <c r="P6" s="2"/>
      <c r="Q6" s="2"/>
      <c r="R6" s="2"/>
      <c r="S6" s="2"/>
      <c r="T6" s="2"/>
      <c r="U6" s="2"/>
      <c r="V6" s="2"/>
      <c r="W6" s="2"/>
      <c r="X6" s="2"/>
      <c r="Y6" s="2"/>
      <c r="Z6" s="2"/>
    </row>
    <row r="7" customHeight="1" spans="1:26">
      <c r="A7" s="13" t="s">
        <v>24</v>
      </c>
      <c r="B7" s="13" t="s">
        <v>4731</v>
      </c>
      <c r="C7" s="13" t="s">
        <v>4732</v>
      </c>
      <c r="D7" s="14">
        <v>85</v>
      </c>
      <c r="E7" s="13" t="s">
        <v>21</v>
      </c>
      <c r="F7" s="13" t="s">
        <v>4733</v>
      </c>
      <c r="G7" s="13" t="s">
        <v>4733</v>
      </c>
      <c r="H7" s="2"/>
      <c r="I7" s="2"/>
      <c r="J7" s="2"/>
      <c r="K7" s="2"/>
      <c r="L7" s="2"/>
      <c r="M7" s="2"/>
      <c r="N7" s="2"/>
      <c r="O7" s="2"/>
      <c r="P7" s="2"/>
      <c r="Q7" s="2"/>
      <c r="R7" s="2"/>
      <c r="S7" s="2"/>
      <c r="T7" s="2"/>
      <c r="U7" s="2"/>
      <c r="V7" s="2"/>
      <c r="W7" s="2"/>
      <c r="X7" s="2"/>
      <c r="Y7" s="2"/>
      <c r="Z7" s="2"/>
    </row>
    <row r="8" customHeight="1" spans="1:26">
      <c r="A8" s="64" t="s">
        <v>29</v>
      </c>
      <c r="B8" s="13" t="s">
        <v>4734</v>
      </c>
      <c r="C8" s="13" t="s">
        <v>31</v>
      </c>
      <c r="D8" s="65">
        <v>30</v>
      </c>
      <c r="E8" s="13" t="s">
        <v>32</v>
      </c>
      <c r="F8" s="13" t="s">
        <v>4735</v>
      </c>
      <c r="G8" s="13" t="s">
        <v>4736</v>
      </c>
      <c r="H8" s="2"/>
      <c r="I8" s="2"/>
      <c r="J8" s="2"/>
      <c r="K8" s="2"/>
      <c r="L8" s="2"/>
      <c r="M8" s="2"/>
      <c r="N8" s="2"/>
      <c r="O8" s="2"/>
      <c r="P8" s="2"/>
      <c r="Q8" s="2"/>
      <c r="R8" s="2"/>
      <c r="S8" s="2"/>
      <c r="T8" s="2"/>
      <c r="U8" s="2"/>
      <c r="V8" s="2"/>
      <c r="W8" s="2"/>
      <c r="X8" s="2"/>
      <c r="Y8" s="2"/>
      <c r="Z8" s="2"/>
    </row>
    <row r="9" customHeight="1" spans="1:26">
      <c r="A9" s="64" t="s">
        <v>35</v>
      </c>
      <c r="B9" s="13" t="s">
        <v>2084</v>
      </c>
      <c r="C9" s="13" t="s">
        <v>31</v>
      </c>
      <c r="D9" s="65">
        <v>30</v>
      </c>
      <c r="E9" s="13" t="s">
        <v>37</v>
      </c>
      <c r="F9" s="13" t="s">
        <v>4737</v>
      </c>
      <c r="G9" s="13" t="s">
        <v>4738</v>
      </c>
      <c r="H9" s="2"/>
      <c r="I9" s="2"/>
      <c r="J9" s="2"/>
      <c r="K9" s="2"/>
      <c r="L9" s="2"/>
      <c r="M9" s="2"/>
      <c r="N9" s="2"/>
      <c r="O9" s="2"/>
      <c r="P9" s="2"/>
      <c r="Q9" s="2"/>
      <c r="R9" s="2"/>
      <c r="S9" s="2"/>
      <c r="T9" s="2"/>
      <c r="U9" s="2"/>
      <c r="V9" s="2"/>
      <c r="W9" s="2"/>
      <c r="X9" s="2"/>
      <c r="Y9" s="2"/>
      <c r="Z9" s="2"/>
    </row>
    <row r="10" customHeight="1" spans="1:26">
      <c r="A10" s="64" t="s">
        <v>40</v>
      </c>
      <c r="B10" s="13" t="s">
        <v>4739</v>
      </c>
      <c r="C10" s="13" t="s">
        <v>4167</v>
      </c>
      <c r="D10" s="65">
        <v>106</v>
      </c>
      <c r="E10" s="13" t="s">
        <v>21</v>
      </c>
      <c r="F10" s="13" t="s">
        <v>4740</v>
      </c>
      <c r="G10" s="13" t="s">
        <v>4741</v>
      </c>
      <c r="H10" s="2"/>
      <c r="I10" s="2"/>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13" t="s">
        <v>4742</v>
      </c>
      <c r="H11" s="2"/>
      <c r="I11" s="2"/>
      <c r="J11" s="2"/>
      <c r="K11" s="2"/>
      <c r="L11" s="2"/>
      <c r="M11" s="2"/>
      <c r="N11" s="2"/>
      <c r="O11" s="2"/>
      <c r="P11" s="2"/>
      <c r="Q11" s="2"/>
      <c r="R11" s="2"/>
      <c r="S11" s="2"/>
      <c r="T11" s="2"/>
      <c r="U11" s="2"/>
      <c r="V11" s="2"/>
      <c r="W11" s="2"/>
      <c r="X11" s="2"/>
      <c r="Y11" s="2"/>
      <c r="Z11" s="2"/>
    </row>
    <row r="12" customHeight="1" spans="1:26">
      <c r="A12" s="13" t="s">
        <v>49</v>
      </c>
      <c r="B12" s="13" t="s">
        <v>4743</v>
      </c>
      <c r="C12" s="13" t="s">
        <v>4744</v>
      </c>
      <c r="D12" s="57"/>
      <c r="E12" s="57"/>
      <c r="F12" s="13" t="s">
        <v>4745</v>
      </c>
      <c r="G12" s="13" t="s">
        <v>4746</v>
      </c>
      <c r="H12" s="2"/>
      <c r="I12" s="2"/>
      <c r="J12" s="2"/>
      <c r="K12" s="2"/>
      <c r="L12" s="2"/>
      <c r="M12" s="2"/>
      <c r="N12" s="2"/>
      <c r="O12" s="2"/>
      <c r="P12" s="2"/>
      <c r="Q12" s="2"/>
      <c r="R12" s="2"/>
      <c r="S12" s="2"/>
      <c r="T12" s="2"/>
      <c r="U12" s="2"/>
      <c r="V12" s="2"/>
      <c r="W12" s="2"/>
      <c r="X12" s="2"/>
      <c r="Y12" s="2"/>
      <c r="Z12" s="2"/>
    </row>
    <row r="13" customHeight="1" spans="1:26">
      <c r="A13" s="13" t="s">
        <v>54</v>
      </c>
      <c r="B13" s="13" t="s">
        <v>4747</v>
      </c>
      <c r="C13" s="13" t="s">
        <v>56</v>
      </c>
      <c r="D13" s="57"/>
      <c r="E13" s="57"/>
      <c r="F13" s="13" t="s">
        <v>4748</v>
      </c>
      <c r="G13" s="13" t="s">
        <v>4749</v>
      </c>
      <c r="H13" s="2"/>
      <c r="I13" s="2"/>
      <c r="J13" s="2"/>
      <c r="K13" s="2"/>
      <c r="L13" s="2"/>
      <c r="M13" s="2"/>
      <c r="N13" s="2"/>
      <c r="O13" s="2"/>
      <c r="P13" s="2"/>
      <c r="Q13" s="2"/>
      <c r="R13" s="2"/>
      <c r="S13" s="2"/>
      <c r="T13" s="2"/>
      <c r="U13" s="2"/>
      <c r="V13" s="2"/>
      <c r="W13" s="2"/>
      <c r="X13" s="2"/>
      <c r="Y13" s="2"/>
      <c r="Z13" s="2"/>
    </row>
    <row r="14" customHeight="1" spans="1:26">
      <c r="A14" s="64" t="s">
        <v>59</v>
      </c>
      <c r="B14" s="13" t="s">
        <v>4750</v>
      </c>
      <c r="C14" s="13" t="s">
        <v>61</v>
      </c>
      <c r="D14" s="65">
        <v>13</v>
      </c>
      <c r="E14" s="13" t="s">
        <v>37</v>
      </c>
      <c r="F14" s="13" t="s">
        <v>4751</v>
      </c>
      <c r="G14" s="13" t="s">
        <v>4752</v>
      </c>
      <c r="H14" s="2"/>
      <c r="I14" s="2"/>
      <c r="J14" s="2"/>
      <c r="K14" s="2"/>
      <c r="L14" s="2"/>
      <c r="M14" s="2"/>
      <c r="N14" s="2"/>
      <c r="O14" s="2"/>
      <c r="P14" s="2"/>
      <c r="Q14" s="2"/>
      <c r="R14" s="2"/>
      <c r="S14" s="2"/>
      <c r="T14" s="2"/>
      <c r="U14" s="2"/>
      <c r="V14" s="2"/>
      <c r="W14" s="2"/>
      <c r="X14" s="2"/>
      <c r="Y14" s="2"/>
      <c r="Z14" s="2"/>
    </row>
    <row r="15" customHeight="1" spans="1:26">
      <c r="A15" s="64" t="s">
        <v>64</v>
      </c>
      <c r="B15" s="13" t="s">
        <v>4753</v>
      </c>
      <c r="C15" s="13" t="s">
        <v>66</v>
      </c>
      <c r="D15" s="65">
        <v>13</v>
      </c>
      <c r="E15" s="13" t="s">
        <v>32</v>
      </c>
      <c r="F15" s="13" t="s">
        <v>4754</v>
      </c>
      <c r="G15" s="13" t="s">
        <v>4755</v>
      </c>
      <c r="H15" s="2"/>
      <c r="I15" s="2"/>
      <c r="J15" s="2"/>
      <c r="K15" s="2"/>
      <c r="L15" s="2"/>
      <c r="M15" s="2"/>
      <c r="N15" s="2"/>
      <c r="O15" s="2"/>
      <c r="P15" s="2"/>
      <c r="Q15" s="2"/>
      <c r="R15" s="2"/>
      <c r="S15" s="2"/>
      <c r="T15" s="2"/>
      <c r="U15" s="2"/>
      <c r="V15" s="2"/>
      <c r="W15" s="2"/>
      <c r="X15" s="2"/>
      <c r="Y15" s="2"/>
      <c r="Z15" s="2"/>
    </row>
    <row r="16" customHeight="1" spans="1:26">
      <c r="A16" s="64" t="s">
        <v>69</v>
      </c>
      <c r="B16" s="13" t="s">
        <v>4756</v>
      </c>
      <c r="C16" s="13" t="s">
        <v>66</v>
      </c>
      <c r="D16" s="65">
        <v>12</v>
      </c>
      <c r="E16" s="13" t="s">
        <v>71</v>
      </c>
      <c r="F16" s="13" t="s">
        <v>4757</v>
      </c>
      <c r="G16" s="13" t="s">
        <v>4758</v>
      </c>
      <c r="H16" s="2"/>
      <c r="I16" s="2"/>
      <c r="J16" s="2"/>
      <c r="K16" s="2"/>
      <c r="L16" s="2"/>
      <c r="M16" s="2"/>
      <c r="N16" s="2"/>
      <c r="O16" s="2"/>
      <c r="P16" s="2"/>
      <c r="Q16" s="2"/>
      <c r="R16" s="2"/>
      <c r="S16" s="2"/>
      <c r="T16" s="2"/>
      <c r="U16" s="2"/>
      <c r="V16" s="2"/>
      <c r="W16" s="2"/>
      <c r="X16" s="2"/>
      <c r="Y16" s="2"/>
      <c r="Z16" s="2"/>
    </row>
    <row r="17" customHeight="1" spans="1:26">
      <c r="A17" s="13" t="s">
        <v>74</v>
      </c>
      <c r="B17" s="13" t="s">
        <v>4759</v>
      </c>
      <c r="C17" s="13" t="s">
        <v>76</v>
      </c>
      <c r="D17" s="57"/>
      <c r="E17" s="57"/>
      <c r="F17" s="13" t="s">
        <v>4760</v>
      </c>
      <c r="G17" s="13" t="s">
        <v>4761</v>
      </c>
      <c r="H17" s="2"/>
      <c r="I17" s="2"/>
      <c r="J17" s="2"/>
      <c r="K17" s="2"/>
      <c r="L17" s="2"/>
      <c r="M17" s="2"/>
      <c r="N17" s="2"/>
      <c r="O17" s="2"/>
      <c r="P17" s="2"/>
      <c r="Q17" s="2"/>
      <c r="R17" s="2"/>
      <c r="S17" s="2"/>
      <c r="T17" s="2"/>
      <c r="U17" s="2"/>
      <c r="V17" s="2"/>
      <c r="W17" s="2"/>
      <c r="X17" s="2"/>
      <c r="Y17" s="2"/>
      <c r="Z17" s="2"/>
    </row>
    <row r="18" customHeight="1" spans="1:26">
      <c r="A18" s="64" t="s">
        <v>79</v>
      </c>
      <c r="B18" s="13" t="s">
        <v>4762</v>
      </c>
      <c r="C18" s="13" t="s">
        <v>81</v>
      </c>
      <c r="D18" s="65">
        <v>30</v>
      </c>
      <c r="E18" s="13" t="s">
        <v>37</v>
      </c>
      <c r="F18" s="13" t="s">
        <v>4763</v>
      </c>
      <c r="G18" s="13" t="s">
        <v>4764</v>
      </c>
      <c r="H18" s="2"/>
      <c r="I18" s="2"/>
      <c r="J18" s="2"/>
      <c r="K18" s="2"/>
      <c r="L18" s="2"/>
      <c r="M18" s="2"/>
      <c r="N18" s="2"/>
      <c r="O18" s="2"/>
      <c r="P18" s="2"/>
      <c r="Q18" s="2"/>
      <c r="R18" s="2"/>
      <c r="S18" s="2"/>
      <c r="T18" s="2"/>
      <c r="U18" s="2"/>
      <c r="V18" s="2"/>
      <c r="W18" s="2"/>
      <c r="X18" s="2"/>
      <c r="Y18" s="2"/>
      <c r="Z18" s="2"/>
    </row>
    <row r="19" customHeight="1" spans="1:26">
      <c r="A19" s="13" t="s">
        <v>84</v>
      </c>
      <c r="B19" s="13" t="s">
        <v>4765</v>
      </c>
      <c r="C19" s="13" t="s">
        <v>86</v>
      </c>
      <c r="D19" s="14">
        <v>134</v>
      </c>
      <c r="E19" s="13" t="s">
        <v>21</v>
      </c>
      <c r="F19" s="13" t="s">
        <v>4766</v>
      </c>
      <c r="G19" s="13" t="s">
        <v>4767</v>
      </c>
      <c r="H19" s="2"/>
      <c r="I19" s="2"/>
      <c r="J19" s="2"/>
      <c r="K19" s="2"/>
      <c r="L19" s="2"/>
      <c r="M19" s="2"/>
      <c r="N19" s="2"/>
      <c r="O19" s="2"/>
      <c r="P19" s="2"/>
      <c r="Q19" s="2"/>
      <c r="R19" s="2"/>
      <c r="S19" s="2"/>
      <c r="T19" s="2"/>
      <c r="U19" s="2"/>
      <c r="V19" s="2"/>
      <c r="W19" s="2"/>
      <c r="X19" s="2"/>
      <c r="Y19" s="2"/>
      <c r="Z19" s="2"/>
    </row>
    <row r="20" customHeight="1" spans="1:26">
      <c r="A20" s="13" t="s">
        <v>89</v>
      </c>
      <c r="B20" s="13" t="s">
        <v>4768</v>
      </c>
      <c r="C20" s="13" t="s">
        <v>91</v>
      </c>
      <c r="D20" s="57"/>
      <c r="E20" s="57"/>
      <c r="F20" s="13" t="s">
        <v>4769</v>
      </c>
      <c r="G20" s="13" t="s">
        <v>4770</v>
      </c>
      <c r="H20" s="2"/>
      <c r="I20" s="2"/>
      <c r="J20" s="2"/>
      <c r="K20" s="2"/>
      <c r="L20" s="2"/>
      <c r="M20" s="2"/>
      <c r="N20" s="2"/>
      <c r="O20" s="2"/>
      <c r="P20" s="2"/>
      <c r="Q20" s="2"/>
      <c r="R20" s="2"/>
      <c r="S20" s="2"/>
      <c r="T20" s="2"/>
      <c r="U20" s="2"/>
      <c r="V20" s="2"/>
      <c r="W20" s="2"/>
      <c r="X20" s="2"/>
      <c r="Y20" s="2"/>
      <c r="Z20" s="2"/>
    </row>
    <row r="21" customHeight="1" spans="1:26">
      <c r="A21" s="64" t="s">
        <v>94</v>
      </c>
      <c r="B21" s="13" t="s">
        <v>4771</v>
      </c>
      <c r="C21" s="13" t="s">
        <v>925</v>
      </c>
      <c r="D21" s="65">
        <v>60</v>
      </c>
      <c r="E21" s="13" t="s">
        <v>71</v>
      </c>
      <c r="F21" s="13" t="s">
        <v>4772</v>
      </c>
      <c r="G21" s="13" t="s">
        <v>4773</v>
      </c>
      <c r="H21" s="2"/>
      <c r="I21" s="2"/>
      <c r="J21" s="2"/>
      <c r="K21" s="2"/>
      <c r="L21" s="2"/>
      <c r="M21" s="2"/>
      <c r="N21" s="2"/>
      <c r="O21" s="2"/>
      <c r="P21" s="2"/>
      <c r="Q21" s="2"/>
      <c r="R21" s="2"/>
      <c r="S21" s="2"/>
      <c r="T21" s="2"/>
      <c r="U21" s="2"/>
      <c r="V21" s="2"/>
      <c r="W21" s="2"/>
      <c r="X21" s="2"/>
      <c r="Y21" s="2"/>
      <c r="Z21" s="2"/>
    </row>
    <row r="22" customHeight="1" spans="1:26">
      <c r="A22" s="64" t="s">
        <v>99</v>
      </c>
      <c r="B22" s="13" t="s">
        <v>928</v>
      </c>
      <c r="C22" s="13" t="s">
        <v>925</v>
      </c>
      <c r="D22" s="65">
        <v>70</v>
      </c>
      <c r="E22" s="13" t="s">
        <v>32</v>
      </c>
      <c r="F22" s="13" t="s">
        <v>929</v>
      </c>
      <c r="G22" s="13" t="s">
        <v>4774</v>
      </c>
      <c r="H22" s="2"/>
      <c r="I22" s="2"/>
      <c r="J22" s="2"/>
      <c r="K22" s="2"/>
      <c r="L22" s="2"/>
      <c r="M22" s="2"/>
      <c r="N22" s="2"/>
      <c r="O22" s="2"/>
      <c r="P22" s="2"/>
      <c r="Q22" s="2"/>
      <c r="R22" s="2"/>
      <c r="S22" s="2"/>
      <c r="T22" s="2"/>
      <c r="U22" s="2"/>
      <c r="V22" s="2"/>
      <c r="W22" s="2"/>
      <c r="X22" s="2"/>
      <c r="Y22" s="2"/>
      <c r="Z22" s="2"/>
    </row>
    <row r="23" customHeight="1" spans="1:26">
      <c r="A23" s="64" t="s">
        <v>102</v>
      </c>
      <c r="B23" s="13" t="s">
        <v>4775</v>
      </c>
      <c r="C23" s="13" t="s">
        <v>108</v>
      </c>
      <c r="D23" s="65">
        <v>123</v>
      </c>
      <c r="E23" s="13" t="s">
        <v>21</v>
      </c>
      <c r="F23" s="13" t="s">
        <v>4776</v>
      </c>
      <c r="G23" s="13" t="s">
        <v>4777</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4778</v>
      </c>
      <c r="H24" s="2"/>
      <c r="I24" s="2"/>
      <c r="J24" s="2"/>
      <c r="K24" s="2"/>
      <c r="L24" s="2"/>
      <c r="M24" s="2"/>
      <c r="N24" s="2"/>
      <c r="O24" s="2"/>
      <c r="P24" s="2"/>
      <c r="Q24" s="2"/>
      <c r="R24" s="2"/>
      <c r="S24" s="2"/>
      <c r="T24" s="2"/>
      <c r="U24" s="2"/>
      <c r="V24" s="2"/>
      <c r="W24" s="2"/>
      <c r="X24" s="2"/>
      <c r="Y24" s="2"/>
      <c r="Z24" s="2"/>
    </row>
    <row r="25" customHeight="1" spans="1:26">
      <c r="A25" s="13" t="s">
        <v>110</v>
      </c>
      <c r="B25" s="13" t="s">
        <v>4779</v>
      </c>
      <c r="C25" s="13" t="s">
        <v>112</v>
      </c>
      <c r="D25" s="57"/>
      <c r="E25" s="57"/>
      <c r="F25" s="13" t="s">
        <v>4780</v>
      </c>
      <c r="G25" s="13" t="s">
        <v>4781</v>
      </c>
      <c r="H25" s="2"/>
      <c r="I25" s="2"/>
      <c r="J25" s="2"/>
      <c r="K25" s="2"/>
      <c r="L25" s="2"/>
      <c r="M25" s="2"/>
      <c r="N25" s="2"/>
      <c r="O25" s="2"/>
      <c r="P25" s="2"/>
      <c r="Q25" s="2"/>
      <c r="R25" s="2"/>
      <c r="S25" s="2"/>
      <c r="T25" s="2"/>
      <c r="U25" s="2"/>
      <c r="V25" s="2"/>
      <c r="W25" s="2"/>
      <c r="X25" s="2"/>
      <c r="Y25" s="2"/>
      <c r="Z25" s="2"/>
    </row>
    <row r="26" customHeight="1" spans="1:26">
      <c r="A26" s="13" t="s">
        <v>115</v>
      </c>
      <c r="B26" s="13" t="s">
        <v>4782</v>
      </c>
      <c r="C26" s="13" t="s">
        <v>117</v>
      </c>
      <c r="D26" s="65">
        <v>90</v>
      </c>
      <c r="E26" s="13" t="s">
        <v>32</v>
      </c>
      <c r="F26" s="13" t="s">
        <v>4783</v>
      </c>
      <c r="G26" s="13" t="s">
        <v>4784</v>
      </c>
      <c r="H26" s="2"/>
      <c r="I26" s="2"/>
      <c r="J26" s="2"/>
      <c r="K26" s="2"/>
      <c r="L26" s="2"/>
      <c r="M26" s="2"/>
      <c r="N26" s="2"/>
      <c r="O26" s="2"/>
      <c r="P26" s="2"/>
      <c r="Q26" s="2"/>
      <c r="R26" s="2"/>
      <c r="S26" s="2"/>
      <c r="T26" s="2"/>
      <c r="U26" s="2"/>
      <c r="V26" s="2"/>
      <c r="W26" s="2"/>
      <c r="X26" s="2"/>
      <c r="Y26" s="2"/>
      <c r="Z26" s="2"/>
    </row>
    <row r="27" customHeight="1" spans="1:26">
      <c r="A27" s="64" t="s">
        <v>120</v>
      </c>
      <c r="B27" s="13" t="s">
        <v>4785</v>
      </c>
      <c r="C27" s="13" t="s">
        <v>117</v>
      </c>
      <c r="D27" s="65">
        <v>60</v>
      </c>
      <c r="E27" s="13" t="s">
        <v>37</v>
      </c>
      <c r="F27" s="13" t="s">
        <v>4786</v>
      </c>
      <c r="G27" s="13" t="s">
        <v>4787</v>
      </c>
      <c r="H27" s="2"/>
      <c r="I27" s="2"/>
      <c r="J27" s="2"/>
      <c r="K27" s="2"/>
      <c r="L27" s="2"/>
      <c r="M27" s="2"/>
      <c r="N27" s="2"/>
      <c r="O27" s="2"/>
      <c r="P27" s="2"/>
      <c r="Q27" s="2"/>
      <c r="R27" s="2"/>
      <c r="S27" s="2"/>
      <c r="T27" s="2"/>
      <c r="U27" s="2"/>
      <c r="V27" s="2"/>
      <c r="W27" s="2"/>
      <c r="X27" s="2"/>
      <c r="Y27" s="2"/>
      <c r="Z27" s="2"/>
    </row>
    <row r="28" customHeight="1" spans="1:26">
      <c r="A28" s="13" t="s">
        <v>123</v>
      </c>
      <c r="B28" s="13" t="s">
        <v>4788</v>
      </c>
      <c r="C28" s="13" t="s">
        <v>117</v>
      </c>
      <c r="D28" s="65">
        <v>80</v>
      </c>
      <c r="E28" s="13" t="s">
        <v>245</v>
      </c>
      <c r="F28" s="13" t="s">
        <v>4789</v>
      </c>
      <c r="G28" s="13" t="s">
        <v>4790</v>
      </c>
      <c r="H28" s="2"/>
      <c r="I28" s="2"/>
      <c r="J28" s="2"/>
      <c r="K28" s="2"/>
      <c r="L28" s="2"/>
      <c r="M28" s="2"/>
      <c r="N28" s="2"/>
      <c r="O28" s="2"/>
      <c r="P28" s="2"/>
      <c r="Q28" s="2"/>
      <c r="R28" s="2"/>
      <c r="S28" s="2"/>
      <c r="T28" s="2"/>
      <c r="U28" s="2"/>
      <c r="V28" s="2"/>
      <c r="W28" s="2"/>
      <c r="X28" s="2"/>
      <c r="Y28" s="2"/>
      <c r="Z28" s="2"/>
    </row>
    <row r="29" customHeight="1" spans="1:26">
      <c r="A29" s="64" t="s">
        <v>127</v>
      </c>
      <c r="B29" s="13" t="s">
        <v>4791</v>
      </c>
      <c r="C29" s="13" t="s">
        <v>117</v>
      </c>
      <c r="D29" s="65">
        <v>50</v>
      </c>
      <c r="E29" s="13" t="s">
        <v>37</v>
      </c>
      <c r="F29" s="13" t="s">
        <v>4792</v>
      </c>
      <c r="G29" s="13" t="s">
        <v>4793</v>
      </c>
      <c r="H29" s="2"/>
      <c r="I29" s="2"/>
      <c r="J29" s="2"/>
      <c r="K29" s="2"/>
      <c r="L29" s="2"/>
      <c r="M29" s="2"/>
      <c r="N29" s="2"/>
      <c r="O29" s="2"/>
      <c r="P29" s="2"/>
      <c r="Q29" s="2"/>
      <c r="R29" s="2"/>
      <c r="S29" s="2"/>
      <c r="T29" s="2"/>
      <c r="U29" s="2"/>
      <c r="V29" s="2"/>
      <c r="W29" s="2"/>
      <c r="X29" s="2"/>
      <c r="Y29" s="2"/>
      <c r="Z29" s="2"/>
    </row>
    <row r="30" customHeight="1" spans="1:26">
      <c r="A30" s="64" t="s">
        <v>131</v>
      </c>
      <c r="B30" s="13" t="s">
        <v>1709</v>
      </c>
      <c r="C30" s="13" t="s">
        <v>117</v>
      </c>
      <c r="D30" s="65">
        <v>50</v>
      </c>
      <c r="E30" s="13" t="s">
        <v>32</v>
      </c>
      <c r="F30" s="13" t="s">
        <v>4794</v>
      </c>
      <c r="G30" s="13" t="s">
        <v>4795</v>
      </c>
      <c r="H30" s="2"/>
      <c r="I30" s="2"/>
      <c r="J30" s="2"/>
      <c r="K30" s="2"/>
      <c r="L30" s="2"/>
      <c r="M30" s="2"/>
      <c r="N30" s="2"/>
      <c r="O30" s="2"/>
      <c r="P30" s="2"/>
      <c r="Q30" s="2"/>
      <c r="R30" s="2"/>
      <c r="S30" s="2"/>
      <c r="T30" s="2"/>
      <c r="U30" s="2"/>
      <c r="V30" s="2"/>
      <c r="W30" s="2"/>
      <c r="X30" s="2"/>
      <c r="Y30" s="2"/>
      <c r="Z30" s="2"/>
    </row>
    <row r="31" customHeight="1" spans="1:26">
      <c r="A31" s="64" t="s">
        <v>135</v>
      </c>
      <c r="B31" s="13" t="s">
        <v>4796</v>
      </c>
      <c r="C31" s="13" t="s">
        <v>117</v>
      </c>
      <c r="D31" s="65">
        <v>30</v>
      </c>
      <c r="E31" s="13" t="s">
        <v>32</v>
      </c>
      <c r="F31" s="13" t="s">
        <v>4797</v>
      </c>
      <c r="G31" s="13" t="s">
        <v>4798</v>
      </c>
      <c r="H31" s="2"/>
      <c r="I31" s="2"/>
      <c r="J31" s="2"/>
      <c r="K31" s="2"/>
      <c r="L31" s="2"/>
      <c r="M31" s="2"/>
      <c r="N31" s="2"/>
      <c r="O31" s="2"/>
      <c r="P31" s="2"/>
      <c r="Q31" s="2"/>
      <c r="R31" s="2"/>
      <c r="S31" s="2"/>
      <c r="T31" s="2"/>
      <c r="U31" s="2"/>
      <c r="V31" s="2"/>
      <c r="W31" s="2"/>
      <c r="X31" s="2"/>
      <c r="Y31" s="2"/>
      <c r="Z31" s="2"/>
    </row>
    <row r="32" customHeight="1" spans="1:26">
      <c r="A32" s="13" t="s">
        <v>139</v>
      </c>
      <c r="B32" s="13" t="s">
        <v>4799</v>
      </c>
      <c r="C32" s="13" t="s">
        <v>141</v>
      </c>
      <c r="D32" s="14">
        <v>55</v>
      </c>
      <c r="E32" s="13" t="s">
        <v>37</v>
      </c>
      <c r="F32" s="13" t="s">
        <v>4800</v>
      </c>
      <c r="G32" s="13" t="s">
        <v>4801</v>
      </c>
      <c r="H32" s="2"/>
      <c r="I32" s="2"/>
      <c r="J32" s="2"/>
      <c r="K32" s="2"/>
      <c r="L32" s="2"/>
      <c r="M32" s="2"/>
      <c r="N32" s="2"/>
      <c r="O32" s="2"/>
      <c r="P32" s="2"/>
      <c r="Q32" s="2"/>
      <c r="R32" s="2"/>
      <c r="S32" s="2"/>
      <c r="T32" s="2"/>
      <c r="U32" s="2"/>
      <c r="V32" s="2"/>
      <c r="W32" s="2"/>
      <c r="X32" s="2"/>
      <c r="Y32" s="2"/>
      <c r="Z32" s="2"/>
    </row>
    <row r="33" customHeight="1" spans="1:26">
      <c r="A33" s="13" t="s">
        <v>144</v>
      </c>
      <c r="B33" s="13" t="s">
        <v>4802</v>
      </c>
      <c r="C33" s="13" t="s">
        <v>146</v>
      </c>
      <c r="D33" s="57"/>
      <c r="E33" s="57"/>
      <c r="F33" s="13" t="s">
        <v>4803</v>
      </c>
      <c r="G33" s="13" t="s">
        <v>4804</v>
      </c>
      <c r="H33" s="2"/>
      <c r="I33" s="2"/>
      <c r="J33" s="2"/>
      <c r="K33" s="2"/>
      <c r="L33" s="2"/>
      <c r="M33" s="2"/>
      <c r="N33" s="2"/>
      <c r="O33" s="2"/>
      <c r="P33" s="2"/>
      <c r="Q33" s="2"/>
      <c r="R33" s="2"/>
      <c r="S33" s="2"/>
      <c r="T33" s="2"/>
      <c r="U33" s="2"/>
      <c r="V33" s="2"/>
      <c r="W33" s="2"/>
      <c r="X33" s="2"/>
      <c r="Y33" s="2"/>
      <c r="Z33" s="2"/>
    </row>
    <row r="34" customHeight="1" spans="1:26">
      <c r="A34" s="13" t="s">
        <v>149</v>
      </c>
      <c r="B34" s="13" t="s">
        <v>4805</v>
      </c>
      <c r="C34" s="13" t="s">
        <v>151</v>
      </c>
      <c r="D34" s="57"/>
      <c r="E34" s="57"/>
      <c r="F34" s="13" t="s">
        <v>4806</v>
      </c>
      <c r="G34" s="13" t="s">
        <v>4807</v>
      </c>
      <c r="H34" s="2"/>
      <c r="I34" s="2"/>
      <c r="J34" s="2"/>
      <c r="K34" s="2"/>
      <c r="L34" s="2"/>
      <c r="M34" s="2"/>
      <c r="N34" s="2"/>
      <c r="O34" s="2"/>
      <c r="P34" s="2"/>
      <c r="Q34" s="2"/>
      <c r="R34" s="2"/>
      <c r="S34" s="2"/>
      <c r="T34" s="2"/>
      <c r="U34" s="2"/>
      <c r="V34" s="2"/>
      <c r="W34" s="2"/>
      <c r="X34" s="2"/>
      <c r="Y34" s="2"/>
      <c r="Z34" s="2"/>
    </row>
    <row r="35" customHeight="1" spans="1:26">
      <c r="A35" s="64" t="s">
        <v>154</v>
      </c>
      <c r="B35" s="13" t="s">
        <v>3538</v>
      </c>
      <c r="C35" s="13" t="s">
        <v>156</v>
      </c>
      <c r="D35" s="65">
        <v>30</v>
      </c>
      <c r="E35" s="13" t="s">
        <v>37</v>
      </c>
      <c r="F35" s="13" t="s">
        <v>4808</v>
      </c>
      <c r="G35" s="13" t="s">
        <v>4809</v>
      </c>
      <c r="H35" s="2"/>
      <c r="I35" s="2"/>
      <c r="J35" s="2"/>
      <c r="K35" s="2"/>
      <c r="L35" s="2"/>
      <c r="M35" s="2"/>
      <c r="N35" s="2"/>
      <c r="O35" s="2"/>
      <c r="P35" s="2"/>
      <c r="Q35" s="2"/>
      <c r="R35" s="2"/>
      <c r="S35" s="2"/>
      <c r="T35" s="2"/>
      <c r="U35" s="2"/>
      <c r="V35" s="2"/>
      <c r="W35" s="2"/>
      <c r="X35" s="2"/>
      <c r="Y35" s="2"/>
      <c r="Z35" s="2"/>
    </row>
    <row r="36" customHeight="1" spans="1:26">
      <c r="A36" s="13" t="s">
        <v>159</v>
      </c>
      <c r="B36" s="13" t="s">
        <v>4810</v>
      </c>
      <c r="C36" s="13" t="s">
        <v>2623</v>
      </c>
      <c r="D36" s="57"/>
      <c r="E36" s="57"/>
      <c r="F36" s="13" t="s">
        <v>4811</v>
      </c>
      <c r="G36" s="13" t="s">
        <v>4812</v>
      </c>
      <c r="H36" s="2"/>
      <c r="I36" s="2"/>
      <c r="J36" s="2"/>
      <c r="K36" s="2"/>
      <c r="L36" s="2"/>
      <c r="M36" s="2"/>
      <c r="N36" s="2"/>
      <c r="O36" s="2"/>
      <c r="P36" s="2"/>
      <c r="Q36" s="2"/>
      <c r="R36" s="2"/>
      <c r="S36" s="2"/>
      <c r="T36" s="2"/>
      <c r="U36" s="2"/>
      <c r="V36" s="2"/>
      <c r="W36" s="2"/>
      <c r="X36" s="2"/>
      <c r="Y36" s="2"/>
      <c r="Z36" s="2"/>
    </row>
    <row r="37" customHeight="1" spans="1:26">
      <c r="A37" s="13" t="s">
        <v>164</v>
      </c>
      <c r="B37" s="13" t="s">
        <v>4813</v>
      </c>
      <c r="C37" s="13" t="s">
        <v>166</v>
      </c>
      <c r="D37" s="57"/>
      <c r="E37" s="57"/>
      <c r="F37" s="13" t="s">
        <v>4814</v>
      </c>
      <c r="G37" s="13" t="s">
        <v>4815</v>
      </c>
      <c r="H37" s="2"/>
      <c r="I37" s="2"/>
      <c r="J37" s="2"/>
      <c r="K37" s="2"/>
      <c r="L37" s="2"/>
      <c r="M37" s="2"/>
      <c r="N37" s="2"/>
      <c r="O37" s="2"/>
      <c r="P37" s="2"/>
      <c r="Q37" s="2"/>
      <c r="R37" s="2"/>
      <c r="S37" s="2"/>
      <c r="T37" s="2"/>
      <c r="U37" s="2"/>
      <c r="V37" s="2"/>
      <c r="W37" s="2"/>
      <c r="X37" s="2"/>
      <c r="Y37" s="2"/>
      <c r="Z37" s="2"/>
    </row>
    <row r="38" customHeight="1" spans="1:26">
      <c r="A38" s="64" t="s">
        <v>169</v>
      </c>
      <c r="B38" s="13" t="s">
        <v>4816</v>
      </c>
      <c r="C38" s="13" t="s">
        <v>171</v>
      </c>
      <c r="D38" s="65">
        <v>46</v>
      </c>
      <c r="E38" s="13" t="s">
        <v>37</v>
      </c>
      <c r="F38" s="13" t="s">
        <v>4817</v>
      </c>
      <c r="G38" s="13" t="s">
        <v>4818</v>
      </c>
      <c r="H38" s="2"/>
      <c r="I38" s="2"/>
      <c r="J38" s="2"/>
      <c r="K38" s="2"/>
      <c r="L38" s="2"/>
      <c r="M38" s="2"/>
      <c r="N38" s="2"/>
      <c r="O38" s="2"/>
      <c r="P38" s="2"/>
      <c r="Q38" s="2"/>
      <c r="R38" s="2"/>
      <c r="S38" s="2"/>
      <c r="T38" s="2"/>
      <c r="U38" s="2"/>
      <c r="V38" s="2"/>
      <c r="W38" s="2"/>
      <c r="X38" s="2"/>
      <c r="Y38" s="2"/>
      <c r="Z38" s="2"/>
    </row>
    <row r="39" customHeight="1" spans="1:26">
      <c r="A39" s="64" t="s">
        <v>174</v>
      </c>
      <c r="B39" s="13" t="s">
        <v>4819</v>
      </c>
      <c r="C39" s="13" t="s">
        <v>171</v>
      </c>
      <c r="D39" s="65">
        <v>30</v>
      </c>
      <c r="E39" s="13" t="s">
        <v>37</v>
      </c>
      <c r="F39" s="13" t="s">
        <v>4820</v>
      </c>
      <c r="G39" s="13" t="s">
        <v>4821</v>
      </c>
      <c r="H39" s="2"/>
      <c r="I39" s="2"/>
      <c r="J39" s="2"/>
      <c r="K39" s="2"/>
      <c r="L39" s="2"/>
      <c r="M39" s="2"/>
      <c r="N39" s="2"/>
      <c r="O39" s="2"/>
      <c r="P39" s="2"/>
      <c r="Q39" s="2"/>
      <c r="R39" s="2"/>
      <c r="S39" s="2"/>
      <c r="T39" s="2"/>
      <c r="U39" s="2"/>
      <c r="V39" s="2"/>
      <c r="W39" s="2"/>
      <c r="X39" s="2"/>
      <c r="Y39" s="2"/>
      <c r="Z39" s="2"/>
    </row>
    <row r="40" customHeight="1" spans="1:26">
      <c r="A40" s="64" t="s">
        <v>178</v>
      </c>
      <c r="B40" s="13" t="s">
        <v>4822</v>
      </c>
      <c r="C40" s="13" t="s">
        <v>180</v>
      </c>
      <c r="D40" s="65">
        <v>45</v>
      </c>
      <c r="E40" s="13" t="s">
        <v>37</v>
      </c>
      <c r="F40" s="13" t="s">
        <v>4823</v>
      </c>
      <c r="G40" s="13" t="s">
        <v>4824</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4825</v>
      </c>
      <c r="H41" s="2"/>
      <c r="I41" s="2"/>
      <c r="J41" s="2"/>
      <c r="K41" s="2"/>
      <c r="L41" s="2"/>
      <c r="M41" s="2"/>
      <c r="N41" s="2"/>
      <c r="O41" s="2"/>
      <c r="P41" s="2"/>
      <c r="Q41" s="2"/>
      <c r="R41" s="2"/>
      <c r="S41" s="2"/>
      <c r="T41" s="2"/>
      <c r="U41" s="2"/>
      <c r="V41" s="2"/>
      <c r="W41" s="2"/>
      <c r="X41" s="2"/>
      <c r="Y41" s="2"/>
      <c r="Z41" s="2"/>
    </row>
    <row r="42" customHeight="1" spans="1:26">
      <c r="A42" s="64" t="s">
        <v>188</v>
      </c>
      <c r="B42" s="13" t="s">
        <v>4826</v>
      </c>
      <c r="C42" s="13" t="s">
        <v>190</v>
      </c>
      <c r="D42" s="65">
        <v>650</v>
      </c>
      <c r="E42" s="13" t="s">
        <v>37</v>
      </c>
      <c r="F42" s="13" t="s">
        <v>4827</v>
      </c>
      <c r="G42" s="13" t="s">
        <v>4828</v>
      </c>
      <c r="H42" s="2"/>
      <c r="I42" s="2"/>
      <c r="J42" s="2"/>
      <c r="K42" s="2"/>
      <c r="L42" s="2"/>
      <c r="M42" s="2"/>
      <c r="N42" s="2"/>
      <c r="O42" s="2"/>
      <c r="P42" s="2"/>
      <c r="Q42" s="2"/>
      <c r="R42" s="2"/>
      <c r="S42" s="2"/>
      <c r="T42" s="2"/>
      <c r="U42" s="2"/>
      <c r="V42" s="2"/>
      <c r="W42" s="2"/>
      <c r="X42" s="2"/>
      <c r="Y42" s="2"/>
      <c r="Z42" s="2"/>
    </row>
    <row r="43" customHeight="1" spans="1:26">
      <c r="A43" s="13" t="s">
        <v>193</v>
      </c>
      <c r="B43" s="13" t="s">
        <v>4829</v>
      </c>
      <c r="C43" s="13" t="s">
        <v>195</v>
      </c>
      <c r="D43" s="57"/>
      <c r="E43" s="57"/>
      <c r="F43" s="13" t="s">
        <v>4830</v>
      </c>
      <c r="G43" s="13" t="s">
        <v>4831</v>
      </c>
      <c r="H43" s="2"/>
      <c r="I43" s="2"/>
      <c r="J43" s="2"/>
      <c r="K43" s="2"/>
      <c r="L43" s="2"/>
      <c r="M43" s="2"/>
      <c r="N43" s="2"/>
      <c r="O43" s="2"/>
      <c r="P43" s="2"/>
      <c r="Q43" s="2"/>
      <c r="R43" s="2"/>
      <c r="S43" s="2"/>
      <c r="T43" s="2"/>
      <c r="U43" s="2"/>
      <c r="V43" s="2"/>
      <c r="W43" s="2"/>
      <c r="X43" s="2"/>
      <c r="Y43" s="2"/>
      <c r="Z43" s="2"/>
    </row>
    <row r="44" customHeight="1" spans="1:26">
      <c r="A44" s="64" t="s">
        <v>198</v>
      </c>
      <c r="B44" s="13" t="s">
        <v>4832</v>
      </c>
      <c r="C44" s="13" t="s">
        <v>200</v>
      </c>
      <c r="D44" s="65">
        <v>30</v>
      </c>
      <c r="E44" s="13" t="s">
        <v>21</v>
      </c>
      <c r="F44" s="13" t="s">
        <v>4833</v>
      </c>
      <c r="G44" s="13" t="s">
        <v>4834</v>
      </c>
      <c r="H44" s="2"/>
      <c r="I44" s="2"/>
      <c r="J44" s="2"/>
      <c r="K44" s="2"/>
      <c r="L44" s="2"/>
      <c r="M44" s="2"/>
      <c r="N44" s="2"/>
      <c r="O44" s="2"/>
      <c r="P44" s="2"/>
      <c r="Q44" s="2"/>
      <c r="R44" s="2"/>
      <c r="S44" s="2"/>
      <c r="T44" s="2"/>
      <c r="U44" s="2"/>
      <c r="V44" s="2"/>
      <c r="W44" s="2"/>
      <c r="X44" s="2"/>
      <c r="Y44" s="2"/>
      <c r="Z44" s="2"/>
    </row>
    <row r="45" customHeight="1" spans="1:26">
      <c r="A45" s="13" t="s">
        <v>203</v>
      </c>
      <c r="B45" s="13" t="s">
        <v>4835</v>
      </c>
      <c r="C45" s="13" t="s">
        <v>200</v>
      </c>
      <c r="D45" s="14">
        <v>80</v>
      </c>
      <c r="E45" s="13" t="s">
        <v>21</v>
      </c>
      <c r="F45" s="13" t="s">
        <v>4836</v>
      </c>
      <c r="G45" s="13" t="s">
        <v>4837</v>
      </c>
      <c r="H45" s="2"/>
      <c r="I45" s="2"/>
      <c r="J45" s="2"/>
      <c r="K45" s="2"/>
      <c r="L45" s="2"/>
      <c r="M45" s="2"/>
      <c r="N45" s="2"/>
      <c r="O45" s="2"/>
      <c r="P45" s="2"/>
      <c r="Q45" s="2"/>
      <c r="R45" s="2"/>
      <c r="S45" s="2"/>
      <c r="T45" s="2"/>
      <c r="U45" s="2"/>
      <c r="V45" s="2"/>
      <c r="W45" s="2"/>
      <c r="X45" s="2"/>
      <c r="Y45" s="2"/>
      <c r="Z45" s="2"/>
    </row>
    <row r="46" customHeight="1" spans="1:26">
      <c r="A46" s="64" t="s">
        <v>207</v>
      </c>
      <c r="B46" s="13" t="s">
        <v>4838</v>
      </c>
      <c r="C46" s="13" t="s">
        <v>209</v>
      </c>
      <c r="D46" s="65">
        <v>5</v>
      </c>
      <c r="E46" s="13" t="s">
        <v>37</v>
      </c>
      <c r="F46" s="13" t="s">
        <v>4839</v>
      </c>
      <c r="G46" s="13" t="s">
        <v>4840</v>
      </c>
      <c r="H46" s="2"/>
      <c r="I46" s="2"/>
      <c r="J46" s="2"/>
      <c r="K46" s="2"/>
      <c r="L46" s="2"/>
      <c r="M46" s="2"/>
      <c r="N46" s="2"/>
      <c r="O46" s="2"/>
      <c r="P46" s="2"/>
      <c r="Q46" s="2"/>
      <c r="R46" s="2"/>
      <c r="S46" s="2"/>
      <c r="T46" s="2"/>
      <c r="U46" s="2"/>
      <c r="V46" s="2"/>
      <c r="W46" s="2"/>
      <c r="X46" s="2"/>
      <c r="Y46" s="2"/>
      <c r="Z46" s="2"/>
    </row>
    <row r="47" customHeight="1" spans="1:26">
      <c r="A47" s="13" t="s">
        <v>212</v>
      </c>
      <c r="B47" s="13" t="s">
        <v>4841</v>
      </c>
      <c r="C47" s="13" t="s">
        <v>214</v>
      </c>
      <c r="D47" s="14">
        <v>20</v>
      </c>
      <c r="E47" s="13" t="s">
        <v>37</v>
      </c>
      <c r="F47" s="13" t="s">
        <v>4842</v>
      </c>
      <c r="G47" s="13" t="s">
        <v>4843</v>
      </c>
      <c r="H47" s="2"/>
      <c r="I47" s="2"/>
      <c r="J47" s="2"/>
      <c r="K47" s="2"/>
      <c r="L47" s="2"/>
      <c r="M47" s="2"/>
      <c r="N47" s="2"/>
      <c r="O47" s="2"/>
      <c r="P47" s="2"/>
      <c r="Q47" s="2"/>
      <c r="R47" s="2"/>
      <c r="S47" s="2"/>
      <c r="T47" s="2"/>
      <c r="U47" s="2"/>
      <c r="V47" s="2"/>
      <c r="W47" s="2"/>
      <c r="X47" s="2"/>
      <c r="Y47" s="2"/>
      <c r="Z47" s="2"/>
    </row>
    <row r="48" customHeight="1" spans="1:26">
      <c r="A48" s="13" t="s">
        <v>217</v>
      </c>
      <c r="B48" s="13" t="s">
        <v>4844</v>
      </c>
      <c r="C48" s="13" t="s">
        <v>219</v>
      </c>
      <c r="D48" s="57"/>
      <c r="E48" s="57"/>
      <c r="F48" s="13" t="s">
        <v>4845</v>
      </c>
      <c r="G48" s="13" t="s">
        <v>4846</v>
      </c>
      <c r="H48" s="2"/>
      <c r="I48" s="2"/>
      <c r="J48" s="2"/>
      <c r="K48" s="2"/>
      <c r="L48" s="2"/>
      <c r="M48" s="2"/>
      <c r="N48" s="2"/>
      <c r="O48" s="2"/>
      <c r="P48" s="2"/>
      <c r="Q48" s="2"/>
      <c r="R48" s="2"/>
      <c r="S48" s="2"/>
      <c r="T48" s="2"/>
      <c r="U48" s="2"/>
      <c r="V48" s="2"/>
      <c r="W48" s="2"/>
      <c r="X48" s="2"/>
      <c r="Y48" s="2"/>
      <c r="Z48" s="2"/>
    </row>
    <row r="49" customHeight="1" spans="1:26">
      <c r="A49" s="13" t="s">
        <v>222</v>
      </c>
      <c r="B49" s="13" t="s">
        <v>4847</v>
      </c>
      <c r="C49" s="13" t="s">
        <v>224</v>
      </c>
      <c r="D49" s="14">
        <v>96</v>
      </c>
      <c r="E49" s="13" t="s">
        <v>21</v>
      </c>
      <c r="F49" s="13" t="s">
        <v>4848</v>
      </c>
      <c r="G49" s="13" t="s">
        <v>4849</v>
      </c>
      <c r="H49" s="2"/>
      <c r="I49" s="2"/>
      <c r="J49" s="2"/>
      <c r="K49" s="2"/>
      <c r="L49" s="2"/>
      <c r="M49" s="2"/>
      <c r="N49" s="2"/>
      <c r="O49" s="2"/>
      <c r="P49" s="2"/>
      <c r="Q49" s="2"/>
      <c r="R49" s="2"/>
      <c r="S49" s="2"/>
      <c r="T49" s="2"/>
      <c r="U49" s="2"/>
      <c r="V49" s="2"/>
      <c r="W49" s="2"/>
      <c r="X49" s="2"/>
      <c r="Y49" s="2"/>
      <c r="Z49" s="2"/>
    </row>
    <row r="50" customHeight="1" spans="1:26">
      <c r="A50" s="13" t="s">
        <v>227</v>
      </c>
      <c r="B50" s="13" t="s">
        <v>4850</v>
      </c>
      <c r="C50" s="13" t="s">
        <v>229</v>
      </c>
      <c r="D50" s="14">
        <v>66</v>
      </c>
      <c r="E50" s="13" t="s">
        <v>21</v>
      </c>
      <c r="F50" s="13" t="s">
        <v>4851</v>
      </c>
      <c r="G50" s="13" t="s">
        <v>4852</v>
      </c>
      <c r="H50" s="2"/>
      <c r="I50" s="2"/>
      <c r="J50" s="2"/>
      <c r="K50" s="2"/>
      <c r="L50" s="2"/>
      <c r="M50" s="2"/>
      <c r="N50" s="2"/>
      <c r="O50" s="2"/>
      <c r="P50" s="2"/>
      <c r="Q50" s="2"/>
      <c r="R50" s="2"/>
      <c r="S50" s="2"/>
      <c r="T50" s="2"/>
      <c r="U50" s="2"/>
      <c r="V50" s="2"/>
      <c r="W50" s="2"/>
      <c r="X50" s="2"/>
      <c r="Y50" s="2"/>
      <c r="Z50" s="2"/>
    </row>
    <row r="51" customHeight="1" spans="1:26">
      <c r="A51" s="13" t="s">
        <v>231</v>
      </c>
      <c r="B51" s="13" t="s">
        <v>4853</v>
      </c>
      <c r="C51" s="13" t="s">
        <v>224</v>
      </c>
      <c r="D51" s="14">
        <v>156</v>
      </c>
      <c r="E51" s="13" t="s">
        <v>21</v>
      </c>
      <c r="F51" s="13" t="s">
        <v>4854</v>
      </c>
      <c r="G51" s="13" t="s">
        <v>4855</v>
      </c>
      <c r="H51" s="2"/>
      <c r="I51" s="2"/>
      <c r="J51" s="2"/>
      <c r="K51" s="2"/>
      <c r="L51" s="2"/>
      <c r="M51" s="2"/>
      <c r="N51" s="2"/>
      <c r="O51" s="2"/>
      <c r="P51" s="2"/>
      <c r="Q51" s="2"/>
      <c r="R51" s="2"/>
      <c r="S51" s="2"/>
      <c r="T51" s="2"/>
      <c r="U51" s="2"/>
      <c r="V51" s="2"/>
      <c r="W51" s="2"/>
      <c r="X51" s="2"/>
      <c r="Y51" s="2"/>
      <c r="Z51" s="2"/>
    </row>
    <row r="52" customHeight="1" spans="1:26">
      <c r="A52" s="64" t="s">
        <v>234</v>
      </c>
      <c r="B52" s="13" t="s">
        <v>4856</v>
      </c>
      <c r="C52" s="13" t="s">
        <v>236</v>
      </c>
      <c r="D52" s="65">
        <v>30</v>
      </c>
      <c r="E52" s="13" t="s">
        <v>37</v>
      </c>
      <c r="F52" s="13" t="s">
        <v>4857</v>
      </c>
      <c r="G52" s="13" t="s">
        <v>4858</v>
      </c>
      <c r="H52" s="2"/>
      <c r="I52" s="2"/>
      <c r="J52" s="2"/>
      <c r="K52" s="2"/>
      <c r="L52" s="2"/>
      <c r="M52" s="2"/>
      <c r="N52" s="2"/>
      <c r="O52" s="2"/>
      <c r="P52" s="2"/>
      <c r="Q52" s="2"/>
      <c r="R52" s="2"/>
      <c r="S52" s="2"/>
      <c r="T52" s="2"/>
      <c r="U52" s="2"/>
      <c r="V52" s="2"/>
      <c r="W52" s="2"/>
      <c r="X52" s="2"/>
      <c r="Y52" s="2"/>
      <c r="Z52" s="2"/>
    </row>
    <row r="53" customHeight="1" spans="1:26">
      <c r="A53" s="13" t="s">
        <v>239</v>
      </c>
      <c r="B53" s="13" t="s">
        <v>4859</v>
      </c>
      <c r="C53" s="13" t="s">
        <v>236</v>
      </c>
      <c r="D53" s="14">
        <v>230</v>
      </c>
      <c r="E53" s="13" t="s">
        <v>21</v>
      </c>
      <c r="F53" s="13" t="s">
        <v>4860</v>
      </c>
      <c r="G53" s="13" t="s">
        <v>4861</v>
      </c>
      <c r="H53" s="2"/>
      <c r="I53" s="2"/>
      <c r="J53" s="2"/>
      <c r="K53" s="2"/>
      <c r="L53" s="2"/>
      <c r="M53" s="2"/>
      <c r="N53" s="2"/>
      <c r="O53" s="2"/>
      <c r="P53" s="2"/>
      <c r="Q53" s="2"/>
      <c r="R53" s="2"/>
      <c r="S53" s="2"/>
      <c r="T53" s="2"/>
      <c r="U53" s="2"/>
      <c r="V53" s="2"/>
      <c r="W53" s="2"/>
      <c r="X53" s="2"/>
      <c r="Y53" s="2"/>
      <c r="Z53" s="2"/>
    </row>
    <row r="54" customHeight="1" spans="1:26">
      <c r="A54" s="13" t="s">
        <v>243</v>
      </c>
      <c r="B54" s="13" t="s">
        <v>4862</v>
      </c>
      <c r="C54" s="13" t="s">
        <v>236</v>
      </c>
      <c r="D54" s="14">
        <v>100</v>
      </c>
      <c r="E54" s="13" t="s">
        <v>245</v>
      </c>
      <c r="F54" s="13" t="s">
        <v>4863</v>
      </c>
      <c r="G54" s="13" t="s">
        <v>4864</v>
      </c>
      <c r="H54" s="2"/>
      <c r="I54" s="2"/>
      <c r="J54" s="2"/>
      <c r="K54" s="2"/>
      <c r="L54" s="2"/>
      <c r="M54" s="2"/>
      <c r="N54" s="2"/>
      <c r="O54" s="2"/>
      <c r="P54" s="2"/>
      <c r="Q54" s="2"/>
      <c r="R54" s="2"/>
      <c r="S54" s="2"/>
      <c r="T54" s="2"/>
      <c r="U54" s="2"/>
      <c r="V54" s="2"/>
      <c r="W54" s="2"/>
      <c r="X54" s="2"/>
      <c r="Y54" s="2"/>
      <c r="Z54" s="2"/>
    </row>
    <row r="55" customHeight="1" spans="1:26">
      <c r="A55" s="66" t="s">
        <v>248</v>
      </c>
      <c r="B55" s="66" t="s">
        <v>4865</v>
      </c>
      <c r="C55" s="66" t="s">
        <v>236</v>
      </c>
      <c r="D55" s="160">
        <v>100</v>
      </c>
      <c r="E55" s="66" t="s">
        <v>245</v>
      </c>
      <c r="F55" s="66" t="s">
        <v>4866</v>
      </c>
      <c r="G55" s="66" t="s">
        <v>4867</v>
      </c>
      <c r="H55" s="69"/>
      <c r="I55" s="69"/>
      <c r="J55" s="69"/>
      <c r="K55" s="69"/>
      <c r="L55" s="69"/>
      <c r="M55" s="69"/>
      <c r="N55" s="69"/>
      <c r="O55" s="69"/>
      <c r="P55" s="69"/>
      <c r="Q55" s="69"/>
      <c r="R55" s="2"/>
      <c r="S55" s="2"/>
      <c r="T55" s="2"/>
      <c r="U55" s="2"/>
      <c r="V55" s="2"/>
      <c r="W55" s="2"/>
      <c r="X55" s="2"/>
      <c r="Y55" s="2"/>
      <c r="Z55" s="2"/>
    </row>
    <row r="56" customHeight="1" spans="1:26">
      <c r="A56" s="64" t="s">
        <v>252</v>
      </c>
      <c r="B56" s="13" t="s">
        <v>4868</v>
      </c>
      <c r="C56" s="13" t="s">
        <v>236</v>
      </c>
      <c r="D56" s="65">
        <v>35</v>
      </c>
      <c r="E56" s="13" t="s">
        <v>37</v>
      </c>
      <c r="F56" s="13" t="s">
        <v>4869</v>
      </c>
      <c r="G56" s="13" t="s">
        <v>4870</v>
      </c>
      <c r="H56" s="2"/>
      <c r="I56" s="2"/>
      <c r="J56" s="2"/>
      <c r="K56" s="2"/>
      <c r="L56" s="2"/>
      <c r="M56" s="2"/>
      <c r="N56" s="2"/>
      <c r="O56" s="2"/>
      <c r="P56" s="2"/>
      <c r="Q56" s="2"/>
      <c r="R56" s="2"/>
      <c r="S56" s="2"/>
      <c r="T56" s="2"/>
      <c r="U56" s="2"/>
      <c r="V56" s="2"/>
      <c r="W56" s="2"/>
      <c r="X56" s="2"/>
      <c r="Y56" s="2"/>
      <c r="Z56" s="2"/>
    </row>
    <row r="57" customHeight="1" spans="1:26">
      <c r="A57" s="64" t="s">
        <v>256</v>
      </c>
      <c r="B57" s="13" t="s">
        <v>4871</v>
      </c>
      <c r="C57" s="13" t="s">
        <v>236</v>
      </c>
      <c r="D57" s="65">
        <v>40</v>
      </c>
      <c r="E57" s="13" t="s">
        <v>37</v>
      </c>
      <c r="F57" s="13" t="s">
        <v>4872</v>
      </c>
      <c r="G57" s="13" t="s">
        <v>4873</v>
      </c>
      <c r="H57" s="2"/>
      <c r="I57" s="2"/>
      <c r="J57" s="2"/>
      <c r="K57" s="2"/>
      <c r="L57" s="2"/>
      <c r="M57" s="2"/>
      <c r="N57" s="2"/>
      <c r="O57" s="2"/>
      <c r="P57" s="2"/>
      <c r="Q57" s="2"/>
      <c r="R57" s="2"/>
      <c r="S57" s="2"/>
      <c r="T57" s="2"/>
      <c r="U57" s="2"/>
      <c r="V57" s="2"/>
      <c r="W57" s="2"/>
      <c r="X57" s="2"/>
      <c r="Y57" s="2"/>
      <c r="Z57" s="2"/>
    </row>
    <row r="58" customHeight="1" spans="1:26">
      <c r="A58" s="64" t="s">
        <v>260</v>
      </c>
      <c r="B58" s="13" t="s">
        <v>261</v>
      </c>
      <c r="C58" s="13" t="s">
        <v>236</v>
      </c>
      <c r="D58" s="65">
        <v>8</v>
      </c>
      <c r="E58" s="13" t="s">
        <v>262</v>
      </c>
      <c r="F58" s="13" t="s">
        <v>263</v>
      </c>
      <c r="G58" s="13" t="s">
        <v>4874</v>
      </c>
      <c r="H58" s="2"/>
      <c r="I58" s="2"/>
      <c r="J58" s="2"/>
      <c r="K58" s="2"/>
      <c r="L58" s="2"/>
      <c r="M58" s="2"/>
      <c r="N58" s="2"/>
      <c r="O58" s="2"/>
      <c r="P58" s="2"/>
      <c r="Q58" s="2"/>
      <c r="R58" s="2"/>
      <c r="S58" s="2"/>
      <c r="T58" s="2"/>
      <c r="U58" s="2"/>
      <c r="V58" s="2"/>
      <c r="W58" s="2"/>
      <c r="X58" s="2"/>
      <c r="Y58" s="2"/>
      <c r="Z58" s="2"/>
    </row>
    <row r="59" customHeight="1" spans="1:26">
      <c r="A59" s="64" t="s">
        <v>265</v>
      </c>
      <c r="B59" s="13" t="s">
        <v>4875</v>
      </c>
      <c r="C59" s="13" t="s">
        <v>236</v>
      </c>
      <c r="D59" s="65">
        <v>30</v>
      </c>
      <c r="E59" s="13" t="s">
        <v>37</v>
      </c>
      <c r="F59" s="13" t="s">
        <v>4876</v>
      </c>
      <c r="G59" s="13" t="s">
        <v>4877</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13" t="s">
        <v>4878</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4879</v>
      </c>
      <c r="H61" s="2"/>
      <c r="I61" s="2"/>
      <c r="J61" s="2"/>
      <c r="K61" s="2"/>
      <c r="L61" s="2"/>
      <c r="M61" s="2"/>
      <c r="N61" s="2"/>
      <c r="O61" s="2"/>
      <c r="P61" s="2"/>
      <c r="Q61" s="2"/>
      <c r="R61" s="2"/>
      <c r="S61" s="2"/>
      <c r="T61" s="2"/>
      <c r="U61" s="2"/>
      <c r="V61" s="2"/>
      <c r="W61" s="2"/>
      <c r="X61" s="2"/>
      <c r="Y61" s="2"/>
      <c r="Z61" s="2"/>
    </row>
    <row r="62" customHeight="1" spans="1:26">
      <c r="A62" s="64" t="s">
        <v>277</v>
      </c>
      <c r="B62" s="13" t="s">
        <v>4880</v>
      </c>
      <c r="C62" s="13" t="s">
        <v>236</v>
      </c>
      <c r="D62" s="65">
        <v>37</v>
      </c>
      <c r="E62" s="13" t="s">
        <v>37</v>
      </c>
      <c r="F62" s="13" t="s">
        <v>4881</v>
      </c>
      <c r="G62" s="13" t="s">
        <v>4882</v>
      </c>
      <c r="H62" s="2"/>
      <c r="I62" s="2"/>
      <c r="J62" s="2"/>
      <c r="K62" s="2"/>
      <c r="L62" s="2"/>
      <c r="M62" s="2"/>
      <c r="N62" s="2"/>
      <c r="O62" s="2"/>
      <c r="P62" s="2"/>
      <c r="Q62" s="2"/>
      <c r="R62" s="2"/>
      <c r="S62" s="2"/>
      <c r="T62" s="2"/>
      <c r="U62" s="2"/>
      <c r="V62" s="2"/>
      <c r="W62" s="2"/>
      <c r="X62" s="2"/>
      <c r="Y62" s="2"/>
      <c r="Z62" s="2"/>
    </row>
    <row r="63" ht="16.5" customHeight="1" spans="1:26">
      <c r="A63" s="64" t="s">
        <v>281</v>
      </c>
      <c r="B63" s="13" t="s">
        <v>4883</v>
      </c>
      <c r="C63" s="13" t="s">
        <v>236</v>
      </c>
      <c r="D63" s="65">
        <v>40</v>
      </c>
      <c r="E63" s="13" t="s">
        <v>37</v>
      </c>
      <c r="F63" s="13" t="s">
        <v>4884</v>
      </c>
      <c r="G63" s="13" t="s">
        <v>4885</v>
      </c>
      <c r="H63" s="2"/>
      <c r="I63" s="2"/>
      <c r="J63" s="2"/>
      <c r="K63" s="2"/>
      <c r="L63" s="2"/>
      <c r="M63" s="2"/>
      <c r="N63" s="2"/>
      <c r="O63" s="2"/>
      <c r="P63" s="2"/>
      <c r="Q63" s="2"/>
      <c r="R63" s="2"/>
      <c r="S63" s="2"/>
      <c r="T63" s="2"/>
      <c r="U63" s="2"/>
      <c r="V63" s="2"/>
      <c r="W63" s="2"/>
      <c r="X63" s="2"/>
      <c r="Y63" s="2"/>
      <c r="Z63" s="2"/>
    </row>
    <row r="64" customHeight="1" spans="1:26">
      <c r="A64" s="13" t="s">
        <v>285</v>
      </c>
      <c r="B64" s="13" t="s">
        <v>4886</v>
      </c>
      <c r="C64" s="13" t="s">
        <v>286</v>
      </c>
      <c r="D64" s="14">
        <v>35</v>
      </c>
      <c r="E64" s="13" t="s">
        <v>37</v>
      </c>
      <c r="F64" s="13" t="s">
        <v>4887</v>
      </c>
      <c r="G64" s="13" t="s">
        <v>4888</v>
      </c>
      <c r="H64" s="2"/>
      <c r="I64" s="2"/>
      <c r="J64" s="2"/>
      <c r="K64" s="2"/>
      <c r="L64" s="2"/>
      <c r="M64" s="2"/>
      <c r="N64" s="2"/>
      <c r="O64" s="2"/>
      <c r="P64" s="2"/>
      <c r="Q64" s="2"/>
      <c r="R64" s="2"/>
      <c r="S64" s="2"/>
      <c r="T64" s="2"/>
      <c r="U64" s="2"/>
      <c r="V64" s="2"/>
      <c r="W64" s="2"/>
      <c r="X64" s="2"/>
      <c r="Y64" s="2"/>
      <c r="Z64" s="2"/>
    </row>
    <row r="65" customHeight="1" spans="1:26">
      <c r="A65" s="64" t="s">
        <v>288</v>
      </c>
      <c r="B65" s="13" t="s">
        <v>4889</v>
      </c>
      <c r="C65" s="13" t="s">
        <v>290</v>
      </c>
      <c r="D65" s="65">
        <v>300</v>
      </c>
      <c r="E65" s="13" t="s">
        <v>37</v>
      </c>
      <c r="F65" s="13" t="s">
        <v>4890</v>
      </c>
      <c r="G65" s="13" t="s">
        <v>4891</v>
      </c>
      <c r="H65" s="2"/>
      <c r="I65" s="2"/>
      <c r="J65" s="2"/>
      <c r="K65" s="2"/>
      <c r="L65" s="2"/>
      <c r="M65" s="2"/>
      <c r="N65" s="2"/>
      <c r="O65" s="2"/>
      <c r="P65" s="2"/>
      <c r="Q65" s="2"/>
      <c r="R65" s="2"/>
      <c r="S65" s="2"/>
      <c r="T65" s="2"/>
      <c r="U65" s="2"/>
      <c r="V65" s="2"/>
      <c r="W65" s="2"/>
      <c r="X65" s="2"/>
      <c r="Y65" s="2"/>
      <c r="Z65" s="2"/>
    </row>
    <row r="66" customHeight="1" spans="1:26">
      <c r="A66" s="64" t="s">
        <v>293</v>
      </c>
      <c r="B66" s="13" t="s">
        <v>4892</v>
      </c>
      <c r="C66" s="13" t="s">
        <v>290</v>
      </c>
      <c r="D66" s="65">
        <v>35</v>
      </c>
      <c r="E66" s="13" t="s">
        <v>37</v>
      </c>
      <c r="F66" s="13" t="s">
        <v>4893</v>
      </c>
      <c r="G66" s="13" t="s">
        <v>4894</v>
      </c>
      <c r="H66" s="2"/>
      <c r="I66" s="2"/>
      <c r="J66" s="2"/>
      <c r="K66" s="2"/>
      <c r="L66" s="2"/>
      <c r="M66" s="2"/>
      <c r="N66" s="2"/>
      <c r="O66" s="2"/>
      <c r="P66" s="2"/>
      <c r="Q66" s="2"/>
      <c r="R66" s="2"/>
      <c r="S66" s="2"/>
      <c r="T66" s="2"/>
      <c r="U66" s="2"/>
      <c r="V66" s="2"/>
      <c r="W66" s="2"/>
      <c r="X66" s="2"/>
      <c r="Y66" s="2"/>
      <c r="Z66" s="2"/>
    </row>
    <row r="67" customHeight="1" spans="1:26">
      <c r="A67" s="13" t="s">
        <v>297</v>
      </c>
      <c r="B67" s="13" t="s">
        <v>4895</v>
      </c>
      <c r="C67" s="13" t="s">
        <v>1807</v>
      </c>
      <c r="D67" s="14">
        <v>1000</v>
      </c>
      <c r="E67" s="13" t="s">
        <v>37</v>
      </c>
      <c r="F67" s="13" t="s">
        <v>4896</v>
      </c>
      <c r="G67" s="13" t="s">
        <v>4897</v>
      </c>
      <c r="H67" s="2"/>
      <c r="I67" s="2"/>
      <c r="J67" s="2"/>
      <c r="K67" s="2"/>
      <c r="L67" s="2"/>
      <c r="M67" s="2"/>
      <c r="N67" s="2"/>
      <c r="O67" s="2"/>
      <c r="P67" s="2"/>
      <c r="Q67" s="2"/>
      <c r="R67" s="2"/>
      <c r="S67" s="2"/>
      <c r="T67" s="2"/>
      <c r="U67" s="2"/>
      <c r="V67" s="2"/>
      <c r="W67" s="2"/>
      <c r="X67" s="2"/>
      <c r="Y67" s="2"/>
      <c r="Z67" s="2"/>
    </row>
    <row r="68" customHeight="1" spans="1:26">
      <c r="A68" s="13" t="s">
        <v>302</v>
      </c>
      <c r="B68" s="13" t="s">
        <v>4898</v>
      </c>
      <c r="C68" s="13" t="s">
        <v>304</v>
      </c>
      <c r="D68" s="57"/>
      <c r="E68" s="57"/>
      <c r="F68" s="13" t="s">
        <v>4899</v>
      </c>
      <c r="G68" s="13" t="s">
        <v>4900</v>
      </c>
      <c r="H68" s="2"/>
      <c r="I68" s="2"/>
      <c r="J68" s="2"/>
      <c r="K68" s="2"/>
      <c r="L68" s="2"/>
      <c r="M68" s="2"/>
      <c r="N68" s="2"/>
      <c r="O68" s="2"/>
      <c r="P68" s="2"/>
      <c r="Q68" s="2"/>
      <c r="R68" s="2"/>
      <c r="S68" s="2"/>
      <c r="T68" s="2"/>
      <c r="U68" s="2"/>
      <c r="V68" s="2"/>
      <c r="W68" s="2"/>
      <c r="X68" s="2"/>
      <c r="Y68" s="2"/>
      <c r="Z68" s="2"/>
    </row>
    <row r="69" customHeight="1" spans="1:26">
      <c r="A69" s="13" t="s">
        <v>307</v>
      </c>
      <c r="B69" s="13" t="s">
        <v>4901</v>
      </c>
      <c r="C69" s="13" t="s">
        <v>309</v>
      </c>
      <c r="D69" s="14">
        <v>45</v>
      </c>
      <c r="E69" s="13" t="s">
        <v>310</v>
      </c>
      <c r="F69" s="13" t="s">
        <v>4902</v>
      </c>
      <c r="G69" s="13" t="s">
        <v>4903</v>
      </c>
      <c r="H69" s="2"/>
      <c r="I69" s="2"/>
      <c r="J69" s="2"/>
      <c r="K69" s="2"/>
      <c r="L69" s="2"/>
      <c r="M69" s="2"/>
      <c r="N69" s="2"/>
      <c r="O69" s="2"/>
      <c r="P69" s="2"/>
      <c r="Q69" s="2"/>
      <c r="R69" s="2"/>
      <c r="S69" s="2"/>
      <c r="T69" s="2"/>
      <c r="U69" s="2"/>
      <c r="V69" s="2"/>
      <c r="W69" s="2"/>
      <c r="X69" s="2"/>
      <c r="Y69" s="2"/>
      <c r="Z69" s="2"/>
    </row>
    <row r="70" customHeight="1" spans="1:26">
      <c r="A70" s="13" t="s">
        <v>317</v>
      </c>
      <c r="B70" s="13" t="s">
        <v>4904</v>
      </c>
      <c r="C70" s="13" t="s">
        <v>319</v>
      </c>
      <c r="D70" s="65">
        <v>400</v>
      </c>
      <c r="E70" s="13" t="s">
        <v>245</v>
      </c>
      <c r="F70" s="13" t="s">
        <v>4905</v>
      </c>
      <c r="G70" s="13" t="s">
        <v>4906</v>
      </c>
      <c r="H70" s="2"/>
      <c r="I70" s="2"/>
      <c r="J70" s="2"/>
      <c r="K70" s="2"/>
      <c r="L70" s="2"/>
      <c r="M70" s="2"/>
      <c r="N70" s="2"/>
      <c r="O70" s="2"/>
      <c r="P70" s="2"/>
      <c r="Q70" s="2"/>
      <c r="R70" s="2"/>
      <c r="S70" s="2"/>
      <c r="T70" s="2"/>
      <c r="U70" s="2"/>
      <c r="V70" s="2"/>
      <c r="W70" s="2"/>
      <c r="X70" s="2"/>
      <c r="Y70" s="2"/>
      <c r="Z70" s="2"/>
    </row>
    <row r="71" customHeight="1" spans="1:26">
      <c r="A71" s="64" t="s">
        <v>321</v>
      </c>
      <c r="B71" s="13" t="s">
        <v>4907</v>
      </c>
      <c r="C71" s="13" t="s">
        <v>315</v>
      </c>
      <c r="D71" s="65">
        <v>13</v>
      </c>
      <c r="E71" s="13" t="s">
        <v>262</v>
      </c>
      <c r="F71" s="13" t="s">
        <v>4908</v>
      </c>
      <c r="G71" s="13" t="s">
        <v>4909</v>
      </c>
      <c r="H71" s="2"/>
      <c r="I71" s="2"/>
      <c r="J71" s="2"/>
      <c r="K71" s="2"/>
      <c r="L71" s="2"/>
      <c r="M71" s="2"/>
      <c r="N71" s="2"/>
      <c r="O71" s="2"/>
      <c r="P71" s="2"/>
      <c r="Q71" s="2"/>
      <c r="R71" s="2"/>
      <c r="S71" s="2"/>
      <c r="T71" s="2"/>
      <c r="U71" s="2"/>
      <c r="V71" s="2"/>
      <c r="W71" s="2"/>
      <c r="X71" s="2"/>
      <c r="Y71" s="2"/>
      <c r="Z71" s="2"/>
    </row>
    <row r="72" customHeight="1" spans="1:26">
      <c r="A72" s="13" t="s">
        <v>325</v>
      </c>
      <c r="B72" s="13" t="s">
        <v>4910</v>
      </c>
      <c r="C72" s="13" t="s">
        <v>327</v>
      </c>
      <c r="D72" s="14">
        <v>25</v>
      </c>
      <c r="E72" s="13" t="s">
        <v>310</v>
      </c>
      <c r="F72" s="13" t="s">
        <v>4911</v>
      </c>
      <c r="G72" s="13" t="s">
        <v>4912</v>
      </c>
      <c r="H72" s="2"/>
      <c r="I72" s="2"/>
      <c r="J72" s="2"/>
      <c r="K72" s="2"/>
      <c r="L72" s="2"/>
      <c r="M72" s="2"/>
      <c r="N72" s="2"/>
      <c r="O72" s="2"/>
      <c r="P72" s="2"/>
      <c r="Q72" s="2"/>
      <c r="R72" s="2"/>
      <c r="S72" s="2"/>
      <c r="T72" s="2"/>
      <c r="U72" s="2"/>
      <c r="V72" s="2"/>
      <c r="W72" s="2"/>
      <c r="X72" s="2"/>
      <c r="Y72" s="2"/>
      <c r="Z72" s="2"/>
    </row>
    <row r="73" customHeight="1" spans="1:26">
      <c r="A73" s="64" t="s">
        <v>330</v>
      </c>
      <c r="B73" s="13" t="s">
        <v>4913</v>
      </c>
      <c r="C73" s="13" t="s">
        <v>315</v>
      </c>
      <c r="D73" s="65">
        <v>50</v>
      </c>
      <c r="E73" s="13" t="s">
        <v>37</v>
      </c>
      <c r="F73" s="13" t="s">
        <v>4914</v>
      </c>
      <c r="G73" s="13" t="s">
        <v>4915</v>
      </c>
      <c r="H73" s="2"/>
      <c r="I73" s="2"/>
      <c r="J73" s="2"/>
      <c r="K73" s="2"/>
      <c r="L73" s="2"/>
      <c r="M73" s="2"/>
      <c r="N73" s="2"/>
      <c r="O73" s="2"/>
      <c r="P73" s="2"/>
      <c r="Q73" s="2"/>
      <c r="R73" s="2"/>
      <c r="S73" s="2"/>
      <c r="T73" s="2"/>
      <c r="U73" s="2"/>
      <c r="V73" s="2"/>
      <c r="W73" s="2"/>
      <c r="X73" s="2"/>
      <c r="Y73" s="2"/>
      <c r="Z73" s="2"/>
    </row>
    <row r="74" customHeight="1" spans="1:26">
      <c r="A74" s="64" t="s">
        <v>334</v>
      </c>
      <c r="B74" s="13" t="s">
        <v>4916</v>
      </c>
      <c r="C74" s="13" t="s">
        <v>315</v>
      </c>
      <c r="D74" s="65">
        <v>50</v>
      </c>
      <c r="E74" s="13" t="s">
        <v>37</v>
      </c>
      <c r="F74" s="13" t="s">
        <v>4917</v>
      </c>
      <c r="G74" s="101" t="s">
        <v>4918</v>
      </c>
      <c r="H74" s="2"/>
      <c r="I74" s="2"/>
      <c r="J74" s="2"/>
      <c r="K74" s="2"/>
      <c r="L74" s="2"/>
      <c r="M74" s="2"/>
      <c r="N74" s="2"/>
      <c r="O74" s="2"/>
      <c r="P74" s="2"/>
      <c r="Q74" s="2"/>
      <c r="R74" s="2"/>
      <c r="S74" s="2"/>
      <c r="T74" s="2"/>
      <c r="U74" s="2"/>
      <c r="V74" s="2"/>
      <c r="W74" s="2"/>
      <c r="X74" s="2"/>
      <c r="Y74" s="2"/>
      <c r="Z74" s="2"/>
    </row>
    <row r="75" customHeight="1" spans="1:26">
      <c r="A75" s="64" t="s">
        <v>338</v>
      </c>
      <c r="B75" s="13" t="s">
        <v>4919</v>
      </c>
      <c r="C75" s="13" t="s">
        <v>315</v>
      </c>
      <c r="D75" s="65">
        <v>125</v>
      </c>
      <c r="E75" s="13" t="s">
        <v>262</v>
      </c>
      <c r="F75" s="13" t="s">
        <v>4920</v>
      </c>
      <c r="G75" s="13" t="s">
        <v>4921</v>
      </c>
      <c r="H75" s="2"/>
      <c r="I75" s="2"/>
      <c r="J75" s="2"/>
      <c r="K75" s="2"/>
      <c r="L75" s="2"/>
      <c r="M75" s="2"/>
      <c r="N75" s="2"/>
      <c r="O75" s="2"/>
      <c r="P75" s="2"/>
      <c r="Q75" s="2"/>
      <c r="R75" s="2"/>
      <c r="S75" s="2"/>
      <c r="T75" s="2"/>
      <c r="U75" s="2"/>
      <c r="V75" s="2"/>
      <c r="W75" s="2"/>
      <c r="X75" s="2"/>
      <c r="Y75" s="2"/>
      <c r="Z75" s="2"/>
    </row>
    <row r="76" customHeight="1" spans="1:26">
      <c r="A76" s="64" t="s">
        <v>342</v>
      </c>
      <c r="B76" s="13" t="s">
        <v>4922</v>
      </c>
      <c r="C76" s="13" t="s">
        <v>315</v>
      </c>
      <c r="D76" s="65">
        <v>45</v>
      </c>
      <c r="E76" s="13" t="s">
        <v>262</v>
      </c>
      <c r="F76" s="68" t="str">
        <f>HYPERLINK("https://www.marrickvillemetro.com.au/Marrickville/media/contents/04_Stores/01_Store_Logos/Forcast-logo.jpg?width=640&amp;height=350&amp;ext=.jpg","https://www.marrickvillemetro.com.au/Marrickville/media/contents/04_Stores/01_Store_Logos/Forcast-logo.jpg?width=640&amp;height=350&amp;ext=.jpg")</f>
        <v>https://www.marrickvillemetro.com.au/Marrickville/media/contents/04_Stores/01_Store_Logos/Forcast-logo.jpg?width=640&amp;height=350&amp;ext=.jpg</v>
      </c>
      <c r="G76" s="68" t="str">
        <f>HYPERLINK("https://www.forcast.com.au","https://www.forcast.com.au")</f>
        <v>https://www.forcast.com.au</v>
      </c>
      <c r="H76" s="2"/>
      <c r="I76" s="2"/>
      <c r="J76" s="2"/>
      <c r="K76" s="2"/>
      <c r="L76" s="2"/>
      <c r="M76" s="2"/>
      <c r="N76" s="2"/>
      <c r="O76" s="2"/>
      <c r="P76" s="2"/>
      <c r="Q76" s="2"/>
      <c r="R76" s="2"/>
      <c r="S76" s="2"/>
      <c r="T76" s="2"/>
      <c r="U76" s="2"/>
      <c r="V76" s="2"/>
      <c r="W76" s="2"/>
      <c r="X76" s="2"/>
      <c r="Y76" s="2"/>
      <c r="Z76" s="2"/>
    </row>
    <row r="77" customHeight="1" spans="1:26">
      <c r="A77" s="64" t="s">
        <v>346</v>
      </c>
      <c r="B77" s="13" t="s">
        <v>347</v>
      </c>
      <c r="C77" s="13" t="s">
        <v>315</v>
      </c>
      <c r="D77" s="65">
        <v>55</v>
      </c>
      <c r="E77" s="13" t="s">
        <v>37</v>
      </c>
      <c r="F77" s="13" t="s">
        <v>348</v>
      </c>
      <c r="G77" s="100" t="str">
        <f>HYPERLINK("http://www.zara.com/au","http://www.zara.com/au")</f>
        <v>http://www.zara.com/au</v>
      </c>
      <c r="H77" s="2"/>
      <c r="I77" s="2"/>
      <c r="J77" s="2"/>
      <c r="K77" s="2"/>
      <c r="L77" s="2"/>
      <c r="M77" s="2"/>
      <c r="N77" s="2"/>
      <c r="O77" s="2"/>
      <c r="P77" s="2"/>
      <c r="Q77" s="2"/>
      <c r="R77" s="2"/>
      <c r="S77" s="2"/>
      <c r="T77" s="2"/>
      <c r="U77" s="2"/>
      <c r="V77" s="2"/>
      <c r="W77" s="2"/>
      <c r="X77" s="2"/>
      <c r="Y77" s="2"/>
      <c r="Z77" s="2"/>
    </row>
    <row r="78" customHeight="1" spans="1:26">
      <c r="A78" s="64" t="s">
        <v>350</v>
      </c>
      <c r="B78" s="13" t="s">
        <v>351</v>
      </c>
      <c r="C78" s="13" t="s">
        <v>315</v>
      </c>
      <c r="D78" s="65">
        <v>20</v>
      </c>
      <c r="E78" s="13" t="s">
        <v>262</v>
      </c>
      <c r="F78" s="13" t="s">
        <v>352</v>
      </c>
      <c r="G78" s="13" t="s">
        <v>4923</v>
      </c>
      <c r="H78" s="2"/>
      <c r="I78" s="2"/>
      <c r="J78" s="2"/>
      <c r="K78" s="2"/>
      <c r="L78" s="2"/>
      <c r="M78" s="2"/>
      <c r="N78" s="2"/>
      <c r="O78" s="2"/>
      <c r="P78" s="2"/>
      <c r="Q78" s="2"/>
      <c r="R78" s="2"/>
      <c r="S78" s="2"/>
      <c r="T78" s="2"/>
      <c r="U78" s="2"/>
      <c r="V78" s="2"/>
      <c r="W78" s="2"/>
      <c r="X78" s="2"/>
      <c r="Y78" s="2"/>
      <c r="Z78" s="2"/>
    </row>
    <row r="79" customHeight="1" spans="1:26">
      <c r="A79" s="13" t="s">
        <v>354</v>
      </c>
      <c r="B79" s="13" t="s">
        <v>355</v>
      </c>
      <c r="C79" s="13" t="s">
        <v>356</v>
      </c>
      <c r="D79" s="65">
        <v>123</v>
      </c>
      <c r="E79" s="13" t="s">
        <v>310</v>
      </c>
      <c r="F79" s="13" t="s">
        <v>357</v>
      </c>
      <c r="G79" s="13" t="s">
        <v>4924</v>
      </c>
      <c r="H79" s="2"/>
      <c r="I79" s="2"/>
      <c r="J79" s="2"/>
      <c r="K79" s="2"/>
      <c r="L79" s="2"/>
      <c r="M79" s="2"/>
      <c r="N79" s="2"/>
      <c r="O79" s="2"/>
      <c r="P79" s="2"/>
      <c r="Q79" s="2"/>
      <c r="R79" s="2"/>
      <c r="S79" s="2"/>
      <c r="T79" s="2"/>
      <c r="U79" s="2"/>
      <c r="V79" s="2"/>
      <c r="W79" s="2"/>
      <c r="X79" s="2"/>
      <c r="Y79" s="2"/>
      <c r="Z79" s="2"/>
    </row>
    <row r="80" customHeight="1" spans="1:26">
      <c r="A80" s="13" t="s">
        <v>359</v>
      </c>
      <c r="B80" s="13" t="s">
        <v>2379</v>
      </c>
      <c r="C80" s="13" t="s">
        <v>361</v>
      </c>
      <c r="D80" s="65">
        <v>55</v>
      </c>
      <c r="E80" s="13" t="s">
        <v>310</v>
      </c>
      <c r="F80" s="13" t="s">
        <v>4925</v>
      </c>
      <c r="G80" s="13" t="s">
        <v>4926</v>
      </c>
      <c r="H80" s="2"/>
      <c r="I80" s="2"/>
      <c r="J80" s="2"/>
      <c r="K80" s="2"/>
      <c r="L80" s="2"/>
      <c r="M80" s="2"/>
      <c r="N80" s="2"/>
      <c r="O80" s="2"/>
      <c r="P80" s="2"/>
      <c r="Q80" s="2"/>
      <c r="R80" s="2"/>
      <c r="S80" s="2"/>
      <c r="T80" s="2"/>
      <c r="U80" s="2"/>
      <c r="V80" s="2"/>
      <c r="W80" s="2"/>
      <c r="X80" s="2"/>
      <c r="Y80" s="2"/>
      <c r="Z80" s="2"/>
    </row>
    <row r="81" customHeight="1" spans="1:26">
      <c r="A81" s="64" t="s">
        <v>364</v>
      </c>
      <c r="B81" s="13" t="s">
        <v>365</v>
      </c>
      <c r="C81" s="13" t="s">
        <v>366</v>
      </c>
      <c r="D81" s="65">
        <v>35</v>
      </c>
      <c r="E81" s="13" t="s">
        <v>262</v>
      </c>
      <c r="F81" s="13" t="s">
        <v>367</v>
      </c>
      <c r="G81" s="13" t="s">
        <v>4927</v>
      </c>
      <c r="H81" s="2"/>
      <c r="I81" s="2"/>
      <c r="J81" s="2"/>
      <c r="K81" s="2"/>
      <c r="L81" s="2"/>
      <c r="M81" s="2"/>
      <c r="N81" s="2"/>
      <c r="O81" s="2"/>
      <c r="P81" s="2"/>
      <c r="Q81" s="2"/>
      <c r="R81" s="2"/>
      <c r="S81" s="2"/>
      <c r="T81" s="2"/>
      <c r="U81" s="2"/>
      <c r="V81" s="2"/>
      <c r="W81" s="2"/>
      <c r="X81" s="2"/>
      <c r="Y81" s="2"/>
      <c r="Z81" s="2"/>
    </row>
    <row r="82" customHeight="1" spans="1:26">
      <c r="A82" s="64" t="s">
        <v>368</v>
      </c>
      <c r="B82" s="13" t="s">
        <v>369</v>
      </c>
      <c r="C82" s="13" t="s">
        <v>366</v>
      </c>
      <c r="D82" s="65">
        <v>30</v>
      </c>
      <c r="E82" s="13" t="s">
        <v>262</v>
      </c>
      <c r="F82" s="13" t="s">
        <v>370</v>
      </c>
      <c r="G82" s="13" t="s">
        <v>4928</v>
      </c>
      <c r="H82" s="2"/>
      <c r="I82" s="2"/>
      <c r="J82" s="2"/>
      <c r="K82" s="2"/>
      <c r="L82" s="2"/>
      <c r="M82" s="2"/>
      <c r="N82" s="2"/>
      <c r="O82" s="2"/>
      <c r="P82" s="2"/>
      <c r="Q82" s="2"/>
      <c r="R82" s="2"/>
      <c r="S82" s="2"/>
      <c r="T82" s="2"/>
      <c r="U82" s="2"/>
      <c r="V82" s="2"/>
      <c r="W82" s="2"/>
      <c r="X82" s="2"/>
      <c r="Y82" s="2"/>
      <c r="Z82" s="2"/>
    </row>
    <row r="83" customHeight="1" spans="1:26">
      <c r="A83" s="64" t="s">
        <v>371</v>
      </c>
      <c r="B83" s="13" t="s">
        <v>4929</v>
      </c>
      <c r="C83" s="13" t="s">
        <v>373</v>
      </c>
      <c r="D83" s="65">
        <v>35</v>
      </c>
      <c r="E83" s="13" t="s">
        <v>37</v>
      </c>
      <c r="F83" s="13" t="s">
        <v>4930</v>
      </c>
      <c r="G83" s="13" t="s">
        <v>4931</v>
      </c>
      <c r="H83" s="2"/>
      <c r="I83" s="2"/>
      <c r="J83" s="2"/>
      <c r="K83" s="2"/>
      <c r="L83" s="2"/>
      <c r="M83" s="2"/>
      <c r="N83" s="2"/>
      <c r="O83" s="2"/>
      <c r="P83" s="2"/>
      <c r="Q83" s="2"/>
      <c r="R83" s="2"/>
      <c r="S83" s="2"/>
      <c r="T83" s="2"/>
      <c r="U83" s="2"/>
      <c r="V83" s="2"/>
      <c r="W83" s="2"/>
      <c r="X83" s="2"/>
      <c r="Y83" s="2"/>
      <c r="Z83" s="2"/>
    </row>
    <row r="84" customHeight="1" spans="1:26">
      <c r="A84" s="64" t="s">
        <v>375</v>
      </c>
      <c r="B84" s="13" t="s">
        <v>4932</v>
      </c>
      <c r="C84" s="13" t="s">
        <v>373</v>
      </c>
      <c r="D84" s="65">
        <v>90</v>
      </c>
      <c r="E84" s="13" t="s">
        <v>37</v>
      </c>
      <c r="F84" s="13" t="s">
        <v>4933</v>
      </c>
      <c r="G84" s="68" t="str">
        <f>HYPERLINK("https://www.dfs.com/en/tgalleria-sydney","https://www.dfs.com/en/tgalleria-sydney")</f>
        <v>https://www.dfs.com/en/tgalleria-sydney</v>
      </c>
      <c r="H84" s="2"/>
      <c r="I84" s="2"/>
      <c r="J84" s="2"/>
      <c r="K84" s="2"/>
      <c r="L84" s="2"/>
      <c r="M84" s="2"/>
      <c r="N84" s="2"/>
      <c r="O84" s="2"/>
      <c r="P84" s="2"/>
      <c r="Q84" s="2"/>
      <c r="R84" s="2"/>
      <c r="S84" s="2"/>
      <c r="T84" s="2"/>
      <c r="U84" s="2"/>
      <c r="V84" s="2"/>
      <c r="W84" s="2"/>
      <c r="X84" s="2"/>
      <c r="Y84" s="2"/>
      <c r="Z84" s="2"/>
    </row>
    <row r="85" customHeight="1" spans="1:26">
      <c r="A85" s="64" t="s">
        <v>379</v>
      </c>
      <c r="B85" s="13" t="s">
        <v>4934</v>
      </c>
      <c r="C85" s="13" t="s">
        <v>373</v>
      </c>
      <c r="D85" s="65">
        <v>66</v>
      </c>
      <c r="E85" s="13" t="s">
        <v>21</v>
      </c>
      <c r="F85" s="68" t="str">
        <f>HYPERLINK("http://myersupplier.myer.com.au/images/myer_logo_large.jpg","http://myersupplier.myer.com.au/images/myer_logo_large.jpg")</f>
        <v>http://myersupplier.myer.com.au/images/myer_logo_large.jpg</v>
      </c>
      <c r="G85" s="13" t="s">
        <v>4935</v>
      </c>
      <c r="H85" s="2"/>
      <c r="I85" s="2"/>
      <c r="J85" s="2"/>
      <c r="K85" s="2"/>
      <c r="L85" s="2"/>
      <c r="M85" s="2"/>
      <c r="N85" s="2"/>
      <c r="O85" s="2"/>
      <c r="P85" s="2"/>
      <c r="Q85" s="2"/>
      <c r="R85" s="2"/>
      <c r="S85" s="2"/>
      <c r="T85" s="2"/>
      <c r="U85" s="2"/>
      <c r="V85" s="2"/>
      <c r="W85" s="2"/>
      <c r="X85" s="2"/>
      <c r="Y85" s="2"/>
      <c r="Z85" s="2"/>
    </row>
    <row r="86" customHeight="1" spans="1:26">
      <c r="A86" s="13" t="s">
        <v>383</v>
      </c>
      <c r="B86" s="13" t="s">
        <v>4936</v>
      </c>
      <c r="C86" s="13" t="s">
        <v>373</v>
      </c>
      <c r="D86" s="65">
        <v>150</v>
      </c>
      <c r="E86" s="13" t="s">
        <v>310</v>
      </c>
      <c r="F86" s="13" t="s">
        <v>4937</v>
      </c>
      <c r="G86" s="13" t="s">
        <v>4938</v>
      </c>
      <c r="H86" s="2"/>
      <c r="I86" s="2"/>
      <c r="J86" s="2"/>
      <c r="K86" s="2"/>
      <c r="L86" s="2"/>
      <c r="M86" s="2"/>
      <c r="N86" s="2"/>
      <c r="O86" s="2"/>
      <c r="P86" s="2"/>
      <c r="Q86" s="2"/>
      <c r="R86" s="2"/>
      <c r="S86" s="2"/>
      <c r="T86" s="2"/>
      <c r="U86" s="2"/>
      <c r="V86" s="2"/>
      <c r="W86" s="2"/>
      <c r="X86" s="2"/>
      <c r="Y86" s="2"/>
      <c r="Z86" s="2"/>
    </row>
    <row r="87" customHeight="1" spans="1:26">
      <c r="A87" s="13" t="s">
        <v>387</v>
      </c>
      <c r="B87" s="13" t="s">
        <v>4939</v>
      </c>
      <c r="C87" s="13" t="s">
        <v>373</v>
      </c>
      <c r="D87" s="65">
        <v>76</v>
      </c>
      <c r="E87" s="13" t="s">
        <v>37</v>
      </c>
      <c r="F87" s="13" t="s">
        <v>4940</v>
      </c>
      <c r="G87" s="13" t="s">
        <v>4941</v>
      </c>
      <c r="H87" s="2"/>
      <c r="I87" s="2"/>
      <c r="J87" s="2"/>
      <c r="K87" s="2"/>
      <c r="L87" s="2"/>
      <c r="M87" s="2"/>
      <c r="N87" s="2"/>
      <c r="O87" s="2"/>
      <c r="P87" s="2"/>
      <c r="Q87" s="2"/>
      <c r="R87" s="2"/>
      <c r="S87" s="2"/>
      <c r="T87" s="2"/>
      <c r="U87" s="2"/>
      <c r="V87" s="2"/>
      <c r="W87" s="2"/>
      <c r="X87" s="2"/>
      <c r="Y87" s="2"/>
      <c r="Z87" s="2"/>
    </row>
    <row r="88" customHeight="1" spans="1:26">
      <c r="A88" s="13" t="s">
        <v>391</v>
      </c>
      <c r="B88" s="13" t="s">
        <v>392</v>
      </c>
      <c r="C88" s="13" t="s">
        <v>393</v>
      </c>
      <c r="D88" s="14">
        <v>3500</v>
      </c>
      <c r="E88" s="13" t="s">
        <v>21</v>
      </c>
      <c r="F88" s="13" t="s">
        <v>394</v>
      </c>
      <c r="G88" s="13" t="s">
        <v>4942</v>
      </c>
      <c r="H88" s="2"/>
      <c r="I88" s="2"/>
      <c r="J88" s="2"/>
      <c r="K88" s="2"/>
      <c r="L88" s="2"/>
      <c r="M88" s="2"/>
      <c r="N88" s="2"/>
      <c r="O88" s="2"/>
      <c r="P88" s="2"/>
      <c r="Q88" s="2"/>
      <c r="R88" s="2"/>
      <c r="S88" s="2"/>
      <c r="T88" s="2"/>
      <c r="U88" s="2"/>
      <c r="V88" s="2"/>
      <c r="W88" s="2"/>
      <c r="X88" s="2"/>
      <c r="Y88" s="2"/>
      <c r="Z88" s="2"/>
    </row>
    <row r="89" customHeight="1" spans="1:26">
      <c r="A89" s="13" t="s">
        <v>395</v>
      </c>
      <c r="B89" s="13" t="s">
        <v>396</v>
      </c>
      <c r="C89" s="13" t="s">
        <v>393</v>
      </c>
      <c r="D89" s="14">
        <v>1230</v>
      </c>
      <c r="E89" s="13" t="s">
        <v>21</v>
      </c>
      <c r="F89" s="13" t="s">
        <v>397</v>
      </c>
      <c r="G89" s="13" t="s">
        <v>398</v>
      </c>
      <c r="H89" s="2"/>
      <c r="I89" s="2"/>
      <c r="J89" s="2"/>
      <c r="K89" s="2"/>
      <c r="L89" s="2"/>
      <c r="M89" s="2"/>
      <c r="N89" s="2"/>
      <c r="O89" s="2"/>
      <c r="P89" s="2"/>
      <c r="Q89" s="2"/>
      <c r="R89" s="2"/>
      <c r="S89" s="2"/>
      <c r="T89" s="2"/>
      <c r="U89" s="2"/>
      <c r="V89" s="2"/>
      <c r="W89" s="2"/>
      <c r="X89" s="2"/>
      <c r="Y89" s="2"/>
      <c r="Z89" s="2"/>
    </row>
    <row r="90" customHeight="1" spans="1:26">
      <c r="A90" s="13" t="s">
        <v>399</v>
      </c>
      <c r="B90" s="13" t="s">
        <v>4943</v>
      </c>
      <c r="C90" s="13" t="s">
        <v>224</v>
      </c>
      <c r="D90" s="65">
        <v>130</v>
      </c>
      <c r="E90" s="13" t="s">
        <v>262</v>
      </c>
      <c r="F90" s="13" t="s">
        <v>4944</v>
      </c>
      <c r="G90" s="13" t="s">
        <v>4945</v>
      </c>
      <c r="H90" s="2"/>
      <c r="I90" s="2"/>
      <c r="J90" s="2"/>
      <c r="K90" s="2"/>
      <c r="L90" s="2"/>
      <c r="M90" s="2"/>
      <c r="N90" s="2"/>
      <c r="O90" s="2"/>
      <c r="P90" s="2"/>
      <c r="Q90" s="2"/>
      <c r="R90" s="2"/>
      <c r="S90" s="2"/>
      <c r="T90" s="2"/>
      <c r="U90" s="2"/>
      <c r="V90" s="2"/>
      <c r="W90" s="2"/>
      <c r="X90" s="2"/>
      <c r="Y90" s="2"/>
      <c r="Z90" s="2"/>
    </row>
    <row r="91" customHeight="1" spans="1:26">
      <c r="A91" s="13" t="s">
        <v>403</v>
      </c>
      <c r="B91" s="13" t="s">
        <v>4946</v>
      </c>
      <c r="C91" s="13" t="s">
        <v>229</v>
      </c>
      <c r="D91" s="65">
        <v>500</v>
      </c>
      <c r="E91" s="13" t="s">
        <v>21</v>
      </c>
      <c r="F91" s="13" t="s">
        <v>4947</v>
      </c>
      <c r="G91" s="13" t="s">
        <v>4948</v>
      </c>
      <c r="H91" s="2"/>
      <c r="I91" s="2"/>
      <c r="J91" s="2"/>
      <c r="K91" s="2"/>
      <c r="L91" s="2"/>
      <c r="M91" s="2"/>
      <c r="N91" s="2"/>
      <c r="O91" s="2"/>
      <c r="P91" s="2"/>
      <c r="Q91" s="2"/>
      <c r="R91" s="2"/>
      <c r="S91" s="2"/>
      <c r="T91" s="2"/>
      <c r="U91" s="2"/>
      <c r="V91" s="2"/>
      <c r="W91" s="2"/>
      <c r="X91" s="2"/>
      <c r="Y91" s="2"/>
      <c r="Z91" s="2"/>
    </row>
    <row r="92" customHeight="1" spans="1:26">
      <c r="A92" s="13" t="s">
        <v>407</v>
      </c>
      <c r="B92" s="13" t="s">
        <v>4949</v>
      </c>
      <c r="C92" s="13" t="s">
        <v>229</v>
      </c>
      <c r="D92" s="65">
        <v>350</v>
      </c>
      <c r="E92" s="13" t="s">
        <v>21</v>
      </c>
      <c r="F92" s="68" t="str">
        <f>HYPERLINK("https://upload.wikimedia.org/wikipedia/en/thumb/3/3d/Jaycar-brand.svg/1200px-Jaycar-brand.svg.png","https://upload.wikimedia.org/wikipedia/en/thumb/3/3d/Jaycar-brand.svg/1200px-Jaycar-brand.svg.png")</f>
        <v>https://upload.wikimedia.org/wikipedia/en/thumb/3/3d/Jaycar-brand.svg/1200px-Jaycar-brand.svg.png</v>
      </c>
      <c r="G92" s="68" t="str">
        <f>HYPERLINK("https://www.jaycar.com.au","https://www.jaycar.com.au")</f>
        <v>https://www.jaycar.com.au</v>
      </c>
      <c r="H92" s="2"/>
      <c r="I92" s="2"/>
      <c r="J92" s="2"/>
      <c r="K92" s="2"/>
      <c r="L92" s="2"/>
      <c r="M92" s="2"/>
      <c r="N92" s="2"/>
      <c r="O92" s="2"/>
      <c r="P92" s="2"/>
      <c r="Q92" s="2"/>
      <c r="R92" s="2"/>
      <c r="S92" s="2"/>
      <c r="T92" s="2"/>
      <c r="U92" s="2"/>
      <c r="V92" s="2"/>
      <c r="W92" s="2"/>
      <c r="X92" s="2"/>
      <c r="Y92" s="2"/>
      <c r="Z92" s="2"/>
    </row>
    <row r="93" customHeight="1" spans="1:26">
      <c r="A93" s="13" t="s">
        <v>411</v>
      </c>
      <c r="B93" s="13" t="s">
        <v>2239</v>
      </c>
      <c r="C93" s="13" t="s">
        <v>413</v>
      </c>
      <c r="D93" s="14">
        <v>50</v>
      </c>
      <c r="E93" s="13" t="s">
        <v>310</v>
      </c>
      <c r="F93" s="13" t="s">
        <v>2240</v>
      </c>
      <c r="G93" s="13" t="s">
        <v>4950</v>
      </c>
      <c r="H93" s="2"/>
      <c r="I93" s="2"/>
      <c r="J93" s="2"/>
      <c r="K93" s="2"/>
      <c r="L93" s="2"/>
      <c r="M93" s="2"/>
      <c r="N93" s="2"/>
      <c r="O93" s="2"/>
      <c r="P93" s="2"/>
      <c r="Q93" s="2"/>
      <c r="R93" s="2"/>
      <c r="S93" s="2"/>
      <c r="T93" s="2"/>
      <c r="U93" s="2"/>
      <c r="V93" s="2"/>
      <c r="W93" s="2"/>
      <c r="X93" s="2"/>
      <c r="Y93" s="2"/>
      <c r="Z93" s="2"/>
    </row>
    <row r="94" customHeight="1" spans="1:26">
      <c r="A94" s="13" t="s">
        <v>416</v>
      </c>
      <c r="B94" s="13" t="s">
        <v>4951</v>
      </c>
      <c r="C94" s="13" t="s">
        <v>418</v>
      </c>
      <c r="D94" s="14">
        <v>35</v>
      </c>
      <c r="E94" s="13" t="s">
        <v>310</v>
      </c>
      <c r="F94" s="13" t="s">
        <v>4952</v>
      </c>
      <c r="G94" s="13" t="s">
        <v>4953</v>
      </c>
      <c r="H94" s="2"/>
      <c r="I94" s="2"/>
      <c r="J94" s="2"/>
      <c r="K94" s="2"/>
      <c r="L94" s="2"/>
      <c r="M94" s="2"/>
      <c r="N94" s="2"/>
      <c r="O94" s="2"/>
      <c r="P94" s="2"/>
      <c r="Q94" s="2"/>
      <c r="R94" s="2"/>
      <c r="S94" s="2"/>
      <c r="T94" s="2"/>
      <c r="U94" s="2"/>
      <c r="V94" s="2"/>
      <c r="W94" s="2"/>
      <c r="X94" s="2"/>
      <c r="Y94" s="2"/>
      <c r="Z94" s="2"/>
    </row>
    <row r="95" customHeight="1" spans="1:26">
      <c r="A95" s="13" t="s">
        <v>421</v>
      </c>
      <c r="B95" s="13" t="s">
        <v>4954</v>
      </c>
      <c r="C95" s="13" t="s">
        <v>423</v>
      </c>
      <c r="D95" s="14">
        <v>67</v>
      </c>
      <c r="E95" s="13" t="s">
        <v>310</v>
      </c>
      <c r="F95" s="13" t="s">
        <v>4955</v>
      </c>
      <c r="G95" s="13" t="s">
        <v>4956</v>
      </c>
      <c r="H95" s="2"/>
      <c r="I95" s="2"/>
      <c r="J95" s="2"/>
      <c r="K95" s="2"/>
      <c r="L95" s="2"/>
      <c r="M95" s="2"/>
      <c r="N95" s="2"/>
      <c r="O95" s="2"/>
      <c r="P95" s="2"/>
      <c r="Q95" s="2"/>
      <c r="R95" s="2"/>
      <c r="S95" s="2"/>
      <c r="T95" s="2"/>
      <c r="U95" s="2"/>
      <c r="V95" s="2"/>
      <c r="W95" s="2"/>
      <c r="X95" s="2"/>
      <c r="Y95" s="2"/>
      <c r="Z95" s="2"/>
    </row>
    <row r="96" customHeight="1" spans="1:26">
      <c r="A96" s="13" t="s">
        <v>426</v>
      </c>
      <c r="B96" s="13" t="s">
        <v>4957</v>
      </c>
      <c r="C96" s="13" t="s">
        <v>428</v>
      </c>
      <c r="D96" s="65">
        <v>13</v>
      </c>
      <c r="E96" s="13" t="s">
        <v>262</v>
      </c>
      <c r="F96" s="13" t="s">
        <v>4958</v>
      </c>
      <c r="G96" s="13" t="s">
        <v>4959</v>
      </c>
      <c r="H96" s="2"/>
      <c r="I96" s="2"/>
      <c r="J96" s="2"/>
      <c r="K96" s="2"/>
      <c r="L96" s="2"/>
      <c r="M96" s="2"/>
      <c r="N96" s="2"/>
      <c r="O96" s="2"/>
      <c r="P96" s="2"/>
      <c r="Q96" s="2"/>
      <c r="R96" s="2"/>
      <c r="S96" s="2"/>
      <c r="T96" s="2"/>
      <c r="U96" s="2"/>
      <c r="V96" s="2"/>
      <c r="W96" s="2"/>
      <c r="X96" s="2"/>
      <c r="Y96" s="2"/>
      <c r="Z96" s="2"/>
    </row>
    <row r="97" customHeight="1" spans="1:26">
      <c r="A97" s="13" t="s">
        <v>431</v>
      </c>
      <c r="B97" s="13" t="s">
        <v>4960</v>
      </c>
      <c r="C97" s="13" t="s">
        <v>428</v>
      </c>
      <c r="D97" s="65">
        <v>879</v>
      </c>
      <c r="E97" s="13" t="s">
        <v>21</v>
      </c>
      <c r="F97" s="68" t="str">
        <f>HYPERLINK("https://cdn.shopify.com/s/files/1/1441/5358/t/4/assets/logo.png?8780003744099327859","https://cdn.shopify.com/s/files/1/1441/5358/t/4/assets/logo.png?8780003744099327859")</f>
        <v>https://cdn.shopify.com/s/files/1/1441/5358/t/4/assets/logo.png?8780003744099327859</v>
      </c>
      <c r="G97" s="68" t="str">
        <f>HYPERLINK("https://hfoc.com.au","https://hfoc.com.au")</f>
        <v>https://hfoc.com.au</v>
      </c>
      <c r="H97" s="2"/>
      <c r="I97" s="2"/>
      <c r="J97" s="2"/>
      <c r="K97" s="2"/>
      <c r="L97" s="2"/>
      <c r="M97" s="2"/>
      <c r="N97" s="2"/>
      <c r="O97" s="2"/>
      <c r="P97" s="2"/>
      <c r="Q97" s="2"/>
      <c r="R97" s="2"/>
      <c r="S97" s="2"/>
      <c r="T97" s="2"/>
      <c r="U97" s="2"/>
      <c r="V97" s="2"/>
      <c r="W97" s="2"/>
      <c r="X97" s="2"/>
      <c r="Y97" s="2"/>
      <c r="Z97" s="2"/>
    </row>
    <row r="98" customHeight="1" spans="1:26">
      <c r="A98" s="13" t="s">
        <v>435</v>
      </c>
      <c r="B98" s="13" t="s">
        <v>4961</v>
      </c>
      <c r="C98" s="13" t="s">
        <v>428</v>
      </c>
      <c r="D98" s="14">
        <v>1000</v>
      </c>
      <c r="E98" s="13" t="s">
        <v>21</v>
      </c>
      <c r="F98" s="68" t="str">
        <f>HYPERLINK("http://www.thecollectiononline.com.au/uploads/supplier-image/256.jpg","http://www.thecollectiononline.com.au/uploads/supplier-image/256.jpg")</f>
        <v>http://www.thecollectiononline.com.au/uploads/supplier-image/256.jpg</v>
      </c>
      <c r="G98" s="68" t="str">
        <f>HYPERLINK("https://www.fanuli.com.au","https://www.fanuli.com.au")</f>
        <v>https://www.fanuli.com.au</v>
      </c>
      <c r="H98" s="2"/>
      <c r="I98" s="2"/>
      <c r="J98" s="2"/>
      <c r="K98" s="2"/>
      <c r="L98" s="2"/>
      <c r="M98" s="2"/>
      <c r="N98" s="2"/>
      <c r="O98" s="2"/>
      <c r="P98" s="2"/>
      <c r="Q98" s="2"/>
      <c r="R98" s="2"/>
      <c r="S98" s="2"/>
      <c r="T98" s="2"/>
      <c r="U98" s="2"/>
      <c r="V98" s="2"/>
      <c r="W98" s="2"/>
      <c r="X98" s="2"/>
      <c r="Y98" s="2"/>
      <c r="Z98" s="2"/>
    </row>
    <row r="99" customHeight="1" spans="1:26">
      <c r="A99" s="64" t="s">
        <v>439</v>
      </c>
      <c r="B99" s="13" t="s">
        <v>4962</v>
      </c>
      <c r="C99" s="13" t="s">
        <v>315</v>
      </c>
      <c r="D99" s="65">
        <v>15</v>
      </c>
      <c r="E99" s="13" t="s">
        <v>37</v>
      </c>
      <c r="F99" s="13" t="s">
        <v>4963</v>
      </c>
      <c r="G99" s="13" t="s">
        <v>4964</v>
      </c>
      <c r="H99" s="2"/>
      <c r="I99" s="2"/>
      <c r="J99" s="2"/>
      <c r="K99" s="2"/>
      <c r="L99" s="2"/>
      <c r="M99" s="2"/>
      <c r="N99" s="2"/>
      <c r="O99" s="2"/>
      <c r="P99" s="2"/>
      <c r="Q99" s="2"/>
      <c r="R99" s="2"/>
      <c r="S99" s="2"/>
      <c r="T99" s="2"/>
      <c r="U99" s="2"/>
      <c r="V99" s="2"/>
      <c r="W99" s="2"/>
      <c r="X99" s="2"/>
      <c r="Y99" s="2"/>
      <c r="Z99" s="2"/>
    </row>
    <row r="100" customHeight="1" spans="1:26">
      <c r="A100" s="13" t="s">
        <v>443</v>
      </c>
      <c r="B100" s="13" t="s">
        <v>4965</v>
      </c>
      <c r="C100" s="13" t="s">
        <v>445</v>
      </c>
      <c r="D100" s="14">
        <v>188</v>
      </c>
      <c r="E100" s="13" t="s">
        <v>310</v>
      </c>
      <c r="F100" s="68" t="str">
        <f>HYPERLINK("http://perthbridalfair.com.au/wp-content/uploads/2013/02/Moi-Moi-logo-JPEG.-1jpg2.jpg","http://perthbridalfair.com.au/wp-content/uploads/2013/02/Moi-Moi-logo-JPEG.-1jpg2.jpg")</f>
        <v>http://perthbridalfair.com.au/wp-content/uploads/2013/02/Moi-Moi-logo-JPEG.-1jpg2.jpg</v>
      </c>
      <c r="G100" s="68" t="str">
        <f>HYPERLINK("https://www.moimoi.com.au/Default.aspx","https://www.moimoi.com.au/Default.aspx")</f>
        <v>https://www.moimoi.com.au/Default.aspx</v>
      </c>
      <c r="H100" s="2"/>
      <c r="I100" s="2"/>
      <c r="J100" s="2"/>
      <c r="K100" s="2"/>
      <c r="L100" s="2"/>
      <c r="M100" s="2"/>
      <c r="N100" s="2"/>
      <c r="O100" s="2"/>
      <c r="P100" s="2"/>
      <c r="Q100" s="2"/>
      <c r="R100" s="2"/>
      <c r="S100" s="2"/>
      <c r="T100" s="2"/>
      <c r="U100" s="2"/>
      <c r="V100" s="2"/>
      <c r="W100" s="2"/>
      <c r="X100" s="2"/>
      <c r="Y100" s="2"/>
      <c r="Z100" s="2"/>
    </row>
    <row r="101" customHeight="1" spans="1:26">
      <c r="A101" s="13" t="s">
        <v>448</v>
      </c>
      <c r="B101" s="13" t="s">
        <v>4966</v>
      </c>
      <c r="C101" s="13" t="s">
        <v>450</v>
      </c>
      <c r="D101" s="65">
        <v>95</v>
      </c>
      <c r="E101" s="13" t="s">
        <v>310</v>
      </c>
      <c r="F101" s="68" t="str">
        <f>HYPERLINK("https://cdn.shopify.com/s/files/1/0992/2074/files/1760x1008_top.jpg?v=1499816828","https://cdn.shopify.com/s/files/1/0992/2074/files/1760x1008_top.jpg?v=1499816828")</f>
        <v>https://cdn.shopify.com/s/files/1/0992/2074/files/1760x1008_top.jpg?v=1499816828</v>
      </c>
      <c r="G101" s="68" t="str">
        <f>HYPERLINK("https://www.infancy.com.au","https://www.infancy.com.au")</f>
        <v>https://www.infancy.com.au</v>
      </c>
      <c r="H101" s="2"/>
      <c r="I101" s="2"/>
      <c r="J101" s="2"/>
      <c r="K101" s="2"/>
      <c r="L101" s="2"/>
      <c r="M101" s="2"/>
      <c r="N101" s="2"/>
      <c r="O101" s="2"/>
      <c r="P101" s="2"/>
      <c r="Q101" s="2"/>
      <c r="R101" s="2"/>
      <c r="S101" s="2"/>
      <c r="T101" s="2"/>
      <c r="U101" s="2"/>
      <c r="V101" s="2"/>
      <c r="W101" s="2"/>
      <c r="X101" s="2"/>
      <c r="Y101" s="2"/>
      <c r="Z101" s="2"/>
    </row>
    <row r="102" customHeight="1" spans="1:26">
      <c r="A102" s="13" t="s">
        <v>452</v>
      </c>
      <c r="B102" s="13" t="s">
        <v>314</v>
      </c>
      <c r="C102" s="13" t="s">
        <v>450</v>
      </c>
      <c r="D102" s="65">
        <v>89</v>
      </c>
      <c r="E102" s="13" t="s">
        <v>310</v>
      </c>
      <c r="F102" s="13" t="s">
        <v>1132</v>
      </c>
      <c r="G102" s="13" t="s">
        <v>4967</v>
      </c>
      <c r="H102" s="2"/>
      <c r="I102" s="2"/>
      <c r="J102" s="2"/>
      <c r="K102" s="2"/>
      <c r="L102" s="2"/>
      <c r="M102" s="2"/>
      <c r="N102" s="2"/>
      <c r="O102" s="2"/>
      <c r="P102" s="2"/>
      <c r="Q102" s="2"/>
      <c r="R102" s="2"/>
      <c r="S102" s="2"/>
      <c r="T102" s="2"/>
      <c r="U102" s="2"/>
      <c r="V102" s="2"/>
      <c r="W102" s="2"/>
      <c r="X102" s="2"/>
      <c r="Y102" s="2"/>
      <c r="Z102" s="2"/>
    </row>
    <row r="103" customHeight="1" spans="1:26">
      <c r="A103" s="13" t="s">
        <v>455</v>
      </c>
      <c r="B103" s="13" t="s">
        <v>4968</v>
      </c>
      <c r="C103" s="13" t="s">
        <v>457</v>
      </c>
      <c r="D103" s="14">
        <v>400</v>
      </c>
      <c r="E103" s="13" t="s">
        <v>21</v>
      </c>
      <c r="F103" s="13" t="s">
        <v>4969</v>
      </c>
      <c r="G103" s="13" t="s">
        <v>4970</v>
      </c>
      <c r="H103" s="2"/>
      <c r="I103" s="2"/>
      <c r="J103" s="2"/>
      <c r="K103" s="2"/>
      <c r="L103" s="2"/>
      <c r="M103" s="2"/>
      <c r="N103" s="2"/>
      <c r="O103" s="2"/>
      <c r="P103" s="2"/>
      <c r="Q103" s="2"/>
      <c r="R103" s="2"/>
      <c r="S103" s="2"/>
      <c r="T103" s="2"/>
      <c r="U103" s="2"/>
      <c r="V103" s="2"/>
      <c r="W103" s="2"/>
      <c r="X103" s="2"/>
      <c r="Y103" s="2"/>
      <c r="Z103" s="2"/>
    </row>
    <row r="104" customHeight="1" spans="1:26">
      <c r="A104" s="13" t="s">
        <v>460</v>
      </c>
      <c r="B104" s="13" t="s">
        <v>4971</v>
      </c>
      <c r="C104" s="13" t="s">
        <v>462</v>
      </c>
      <c r="D104" s="14">
        <v>8</v>
      </c>
      <c r="E104" s="13" t="s">
        <v>37</v>
      </c>
      <c r="F104" s="13" t="s">
        <v>4972</v>
      </c>
      <c r="G104" s="13" t="s">
        <v>4973</v>
      </c>
      <c r="H104" s="2"/>
      <c r="I104" s="2"/>
      <c r="J104" s="2"/>
      <c r="K104" s="2"/>
      <c r="L104" s="2"/>
      <c r="M104" s="2"/>
      <c r="N104" s="2"/>
      <c r="O104" s="2"/>
      <c r="P104" s="2"/>
      <c r="Q104" s="2"/>
      <c r="R104" s="2"/>
      <c r="S104" s="2"/>
      <c r="T104" s="2"/>
      <c r="U104" s="2"/>
      <c r="V104" s="2"/>
      <c r="W104" s="2"/>
      <c r="X104" s="2"/>
      <c r="Y104" s="2"/>
      <c r="Z104" s="2"/>
    </row>
    <row r="105" customHeight="1" spans="1:26">
      <c r="A105" s="64" t="s">
        <v>465</v>
      </c>
      <c r="B105" s="13" t="s">
        <v>466</v>
      </c>
      <c r="C105" s="13" t="s">
        <v>315</v>
      </c>
      <c r="D105" s="65">
        <v>30</v>
      </c>
      <c r="E105" s="13" t="s">
        <v>21</v>
      </c>
      <c r="F105" s="13" t="s">
        <v>467</v>
      </c>
      <c r="G105" s="13" t="s">
        <v>4974</v>
      </c>
      <c r="H105" s="2"/>
      <c r="I105" s="2"/>
      <c r="J105" s="2"/>
      <c r="K105" s="2"/>
      <c r="L105" s="2"/>
      <c r="M105" s="2"/>
      <c r="N105" s="2"/>
      <c r="O105" s="2"/>
      <c r="P105" s="2"/>
      <c r="Q105" s="2"/>
      <c r="R105" s="2"/>
      <c r="S105" s="2"/>
      <c r="T105" s="2"/>
      <c r="U105" s="2"/>
      <c r="V105" s="2"/>
      <c r="W105" s="2"/>
      <c r="X105" s="2"/>
      <c r="Y105" s="2"/>
      <c r="Z105" s="2"/>
    </row>
    <row r="106" customHeight="1" spans="1:26">
      <c r="A106" s="13" t="s">
        <v>469</v>
      </c>
      <c r="B106" s="13" t="s">
        <v>4975</v>
      </c>
      <c r="C106" s="13" t="s">
        <v>471</v>
      </c>
      <c r="D106" s="14">
        <v>43</v>
      </c>
      <c r="E106" s="13" t="s">
        <v>310</v>
      </c>
      <c r="F106" s="13" t="s">
        <v>4976</v>
      </c>
      <c r="G106" s="13" t="s">
        <v>4977</v>
      </c>
      <c r="H106" s="2"/>
      <c r="I106" s="2"/>
      <c r="J106" s="2"/>
      <c r="K106" s="2"/>
      <c r="L106" s="2"/>
      <c r="M106" s="2"/>
      <c r="N106" s="2"/>
      <c r="O106" s="2"/>
      <c r="P106" s="2"/>
      <c r="Q106" s="2"/>
      <c r="R106" s="2"/>
      <c r="S106" s="2"/>
      <c r="T106" s="2"/>
      <c r="U106" s="2"/>
      <c r="V106" s="2"/>
      <c r="W106" s="2"/>
      <c r="X106" s="2"/>
      <c r="Y106" s="2"/>
      <c r="Z106" s="2"/>
    </row>
    <row r="107" customHeight="1" spans="1:26">
      <c r="A107" s="13" t="s">
        <v>474</v>
      </c>
      <c r="B107" s="13" t="s">
        <v>4978</v>
      </c>
      <c r="C107" s="13" t="s">
        <v>476</v>
      </c>
      <c r="D107" s="65">
        <v>123</v>
      </c>
      <c r="E107" s="13" t="s">
        <v>310</v>
      </c>
      <c r="F107" s="13" t="s">
        <v>477</v>
      </c>
      <c r="G107" s="13" t="s">
        <v>4979</v>
      </c>
      <c r="H107" s="2"/>
      <c r="I107" s="2"/>
      <c r="J107" s="2"/>
      <c r="K107" s="2"/>
      <c r="L107" s="2"/>
      <c r="M107" s="2"/>
      <c r="N107" s="2"/>
      <c r="O107" s="2"/>
      <c r="P107" s="2"/>
      <c r="Q107" s="2"/>
      <c r="R107" s="2"/>
      <c r="S107" s="2"/>
      <c r="T107" s="2"/>
      <c r="U107" s="2"/>
      <c r="V107" s="2"/>
      <c r="W107" s="2"/>
      <c r="X107" s="2"/>
      <c r="Y107" s="2"/>
      <c r="Z107" s="2"/>
    </row>
    <row r="108" customHeight="1" spans="1:26">
      <c r="A108" s="13" t="s">
        <v>479</v>
      </c>
      <c r="B108" s="13" t="s">
        <v>4980</v>
      </c>
      <c r="C108" s="13" t="s">
        <v>476</v>
      </c>
      <c r="D108" s="65">
        <v>76</v>
      </c>
      <c r="E108" s="13" t="s">
        <v>310</v>
      </c>
      <c r="F108" s="13" t="s">
        <v>4981</v>
      </c>
      <c r="G108" s="13" t="s">
        <v>4982</v>
      </c>
      <c r="H108" s="2"/>
      <c r="I108" s="2"/>
      <c r="J108" s="2"/>
      <c r="K108" s="2"/>
      <c r="L108" s="2"/>
      <c r="M108" s="2"/>
      <c r="N108" s="2"/>
      <c r="O108" s="2"/>
      <c r="P108" s="2"/>
      <c r="Q108" s="2"/>
      <c r="R108" s="2"/>
      <c r="S108" s="2"/>
      <c r="T108" s="2"/>
      <c r="U108" s="2"/>
      <c r="V108" s="2"/>
      <c r="W108" s="2"/>
      <c r="X108" s="2"/>
      <c r="Y108" s="2"/>
      <c r="Z108" s="2"/>
    </row>
    <row r="109" customHeight="1" spans="1:26">
      <c r="A109" s="64" t="s">
        <v>483</v>
      </c>
      <c r="B109" s="13" t="s">
        <v>4983</v>
      </c>
      <c r="C109" s="13" t="s">
        <v>485</v>
      </c>
      <c r="D109" s="65">
        <v>77</v>
      </c>
      <c r="E109" s="13" t="s">
        <v>37</v>
      </c>
      <c r="F109" s="13" t="s">
        <v>4984</v>
      </c>
      <c r="G109" s="13" t="s">
        <v>4985</v>
      </c>
      <c r="H109" s="2"/>
      <c r="I109" s="2"/>
      <c r="J109" s="2"/>
      <c r="K109" s="2"/>
      <c r="L109" s="2"/>
      <c r="M109" s="2"/>
      <c r="N109" s="2"/>
      <c r="O109" s="2"/>
      <c r="P109" s="2"/>
      <c r="Q109" s="2"/>
      <c r="R109" s="2"/>
      <c r="S109" s="2"/>
      <c r="T109" s="2"/>
      <c r="U109" s="2"/>
      <c r="V109" s="2"/>
      <c r="W109" s="2"/>
      <c r="X109" s="2"/>
      <c r="Y109" s="2"/>
      <c r="Z109" s="2"/>
    </row>
    <row r="110" customHeight="1" spans="1:26">
      <c r="A110" s="13" t="s">
        <v>488</v>
      </c>
      <c r="B110" s="13" t="s">
        <v>4986</v>
      </c>
      <c r="C110" s="13" t="s">
        <v>490</v>
      </c>
      <c r="D110" s="14">
        <v>50</v>
      </c>
      <c r="E110" s="13" t="s">
        <v>37</v>
      </c>
      <c r="F110" s="13" t="s">
        <v>4987</v>
      </c>
      <c r="G110" s="13" t="s">
        <v>4988</v>
      </c>
      <c r="H110" s="2"/>
      <c r="I110" s="2"/>
      <c r="J110" s="2"/>
      <c r="K110" s="2"/>
      <c r="L110" s="2"/>
      <c r="M110" s="2"/>
      <c r="N110" s="2"/>
      <c r="O110" s="2"/>
      <c r="P110" s="2"/>
      <c r="Q110" s="2"/>
      <c r="R110" s="2"/>
      <c r="S110" s="2"/>
      <c r="T110" s="2"/>
      <c r="U110" s="2"/>
      <c r="V110" s="2"/>
      <c r="W110" s="2"/>
      <c r="X110" s="2"/>
      <c r="Y110" s="2"/>
      <c r="Z110" s="2"/>
    </row>
    <row r="111" customHeight="1" spans="1:26">
      <c r="A111" s="13" t="s">
        <v>493</v>
      </c>
      <c r="B111" s="13" t="s">
        <v>2273</v>
      </c>
      <c r="C111" s="13" t="s">
        <v>4989</v>
      </c>
      <c r="D111" s="65"/>
      <c r="E111" s="65"/>
      <c r="F111" s="13" t="s">
        <v>4990</v>
      </c>
      <c r="G111" s="13" t="s">
        <v>4991</v>
      </c>
      <c r="H111" s="2"/>
      <c r="I111" s="2"/>
      <c r="J111" s="2"/>
      <c r="K111" s="2"/>
      <c r="L111" s="2"/>
      <c r="M111" s="2"/>
      <c r="N111" s="2"/>
      <c r="O111" s="2"/>
      <c r="P111" s="2"/>
      <c r="Q111" s="2"/>
      <c r="R111" s="2"/>
      <c r="S111" s="2"/>
      <c r="T111" s="2"/>
      <c r="U111" s="2"/>
      <c r="V111" s="2"/>
      <c r="W111" s="2"/>
      <c r="X111" s="2"/>
      <c r="Y111" s="2"/>
      <c r="Z111" s="2"/>
    </row>
    <row r="112" customHeight="1" spans="1:26">
      <c r="A112" s="13" t="s">
        <v>498</v>
      </c>
      <c r="B112" s="13" t="s">
        <v>2960</v>
      </c>
      <c r="C112" s="13" t="s">
        <v>500</v>
      </c>
      <c r="D112" s="65"/>
      <c r="E112" s="65"/>
      <c r="F112" s="13" t="s">
        <v>4992</v>
      </c>
      <c r="G112" s="13" t="s">
        <v>4993</v>
      </c>
      <c r="H112" s="2"/>
      <c r="I112" s="2"/>
      <c r="J112" s="2"/>
      <c r="K112" s="2"/>
      <c r="L112" s="2"/>
      <c r="M112" s="2"/>
      <c r="N112" s="2"/>
      <c r="O112" s="2"/>
      <c r="P112" s="2"/>
      <c r="Q112" s="2"/>
      <c r="R112" s="2"/>
      <c r="S112" s="2"/>
      <c r="T112" s="2"/>
      <c r="U112" s="2"/>
      <c r="V112" s="2"/>
      <c r="W112" s="2"/>
      <c r="X112" s="2"/>
      <c r="Y112" s="2"/>
      <c r="Z112" s="2"/>
    </row>
    <row r="113" customHeight="1" spans="1:26">
      <c r="A113" s="64" t="s">
        <v>503</v>
      </c>
      <c r="B113" s="13" t="s">
        <v>504</v>
      </c>
      <c r="C113" s="13" t="s">
        <v>505</v>
      </c>
      <c r="D113" s="65">
        <v>38</v>
      </c>
      <c r="E113" s="13" t="s">
        <v>37</v>
      </c>
      <c r="F113" s="13" t="s">
        <v>506</v>
      </c>
      <c r="G113" s="13" t="s">
        <v>4994</v>
      </c>
      <c r="H113" s="2"/>
      <c r="I113" s="2"/>
      <c r="J113" s="2"/>
      <c r="K113" s="2"/>
      <c r="L113" s="2"/>
      <c r="M113" s="2"/>
      <c r="N113" s="2"/>
      <c r="O113" s="2"/>
      <c r="P113" s="2"/>
      <c r="Q113" s="2"/>
      <c r="R113" s="2"/>
      <c r="S113" s="2"/>
      <c r="T113" s="2"/>
      <c r="U113" s="2"/>
      <c r="V113" s="2"/>
      <c r="W113" s="2"/>
      <c r="X113" s="2"/>
      <c r="Y113" s="2"/>
      <c r="Z113" s="2"/>
    </row>
    <row r="114" customHeight="1" spans="1:26">
      <c r="A114" s="13" t="s">
        <v>508</v>
      </c>
      <c r="B114" s="13" t="s">
        <v>4995</v>
      </c>
      <c r="C114" s="13" t="s">
        <v>510</v>
      </c>
      <c r="D114" s="14">
        <v>40</v>
      </c>
      <c r="E114" s="13" t="s">
        <v>37</v>
      </c>
      <c r="F114" s="13" t="s">
        <v>4996</v>
      </c>
      <c r="G114" s="13" t="s">
        <v>4997</v>
      </c>
      <c r="H114" s="2"/>
      <c r="I114" s="2"/>
      <c r="J114" s="2"/>
      <c r="K114" s="2"/>
      <c r="L114" s="2"/>
      <c r="M114" s="2"/>
      <c r="N114" s="2"/>
      <c r="O114" s="2"/>
      <c r="P114" s="2"/>
      <c r="Q114" s="2"/>
      <c r="R114" s="2"/>
      <c r="S114" s="2"/>
      <c r="T114" s="2"/>
      <c r="U114" s="2"/>
      <c r="V114" s="2"/>
      <c r="W114" s="2"/>
      <c r="X114" s="2"/>
      <c r="Y114" s="2"/>
      <c r="Z114" s="2"/>
    </row>
    <row r="115" customHeight="1" spans="1:26">
      <c r="A115" s="13" t="s">
        <v>513</v>
      </c>
      <c r="B115" s="13" t="s">
        <v>972</v>
      </c>
      <c r="C115" s="13" t="s">
        <v>515</v>
      </c>
      <c r="D115" s="14">
        <v>40</v>
      </c>
      <c r="E115" s="13" t="s">
        <v>37</v>
      </c>
      <c r="F115" s="13" t="s">
        <v>1167</v>
      </c>
      <c r="G115" s="13" t="s">
        <v>4998</v>
      </c>
      <c r="H115" s="2"/>
      <c r="I115" s="2"/>
      <c r="J115" s="2"/>
      <c r="K115" s="2"/>
      <c r="L115" s="2"/>
      <c r="M115" s="2"/>
      <c r="N115" s="2"/>
      <c r="O115" s="2"/>
      <c r="P115" s="2"/>
      <c r="Q115" s="2"/>
      <c r="R115" s="2"/>
      <c r="S115" s="2"/>
      <c r="T115" s="2"/>
      <c r="U115" s="2"/>
      <c r="V115" s="2"/>
      <c r="W115" s="2"/>
      <c r="X115" s="2"/>
      <c r="Y115" s="2"/>
      <c r="Z115" s="2"/>
    </row>
    <row r="116" customHeight="1" spans="1:26">
      <c r="A116" s="13" t="s">
        <v>518</v>
      </c>
      <c r="B116" s="13" t="s">
        <v>4819</v>
      </c>
      <c r="C116" s="13" t="s">
        <v>519</v>
      </c>
      <c r="D116" s="14">
        <v>45</v>
      </c>
      <c r="E116" s="13" t="s">
        <v>37</v>
      </c>
      <c r="F116" s="68" t="str">
        <f>HYPERLINK("http://www.israeltrade.org.au/wp-content/uploads/2012/12/telstra_logo.jpg","http://www.israeltrade.org.au/wp-content/uploads/2012/12/telstra_logo.jpg")</f>
        <v>http://www.israeltrade.org.au/wp-content/uploads/2012/12/telstra_logo.jpg</v>
      </c>
      <c r="G116" s="13" t="s">
        <v>4999</v>
      </c>
      <c r="H116" s="2"/>
      <c r="I116" s="2"/>
      <c r="J116" s="2"/>
      <c r="K116" s="2"/>
      <c r="L116" s="2"/>
      <c r="M116" s="2"/>
      <c r="N116" s="2"/>
      <c r="O116" s="2"/>
      <c r="P116" s="2"/>
      <c r="Q116" s="2"/>
      <c r="R116" s="2"/>
      <c r="S116" s="2"/>
      <c r="T116" s="2"/>
      <c r="U116" s="2"/>
      <c r="V116" s="2"/>
      <c r="W116" s="2"/>
      <c r="X116" s="2"/>
      <c r="Y116" s="2"/>
      <c r="Z116" s="2"/>
    </row>
    <row r="117" customHeight="1" spans="1:26">
      <c r="A117" s="13" t="s">
        <v>520</v>
      </c>
      <c r="B117" s="13" t="s">
        <v>5000</v>
      </c>
      <c r="C117" s="13" t="s">
        <v>515</v>
      </c>
      <c r="D117" s="14">
        <v>50</v>
      </c>
      <c r="E117" s="13" t="s">
        <v>37</v>
      </c>
      <c r="F117" s="13" t="s">
        <v>5001</v>
      </c>
      <c r="G117" s="13" t="s">
        <v>5002</v>
      </c>
      <c r="H117" s="2"/>
      <c r="I117" s="2"/>
      <c r="J117" s="2"/>
      <c r="K117" s="2"/>
      <c r="L117" s="2"/>
      <c r="M117" s="2"/>
      <c r="N117" s="2"/>
      <c r="O117" s="2"/>
      <c r="P117" s="2"/>
      <c r="Q117" s="2"/>
      <c r="R117" s="2"/>
      <c r="S117" s="2"/>
      <c r="T117" s="2"/>
      <c r="U117" s="2"/>
      <c r="V117" s="2"/>
      <c r="W117" s="2"/>
      <c r="X117" s="2"/>
      <c r="Y117" s="2"/>
      <c r="Z117" s="2"/>
    </row>
    <row r="118" customHeight="1" spans="1:26">
      <c r="A118" s="64" t="s">
        <v>522</v>
      </c>
      <c r="B118" s="13" t="s">
        <v>523</v>
      </c>
      <c r="C118" s="13" t="s">
        <v>524</v>
      </c>
      <c r="D118" s="65">
        <v>90</v>
      </c>
      <c r="E118" s="13" t="s">
        <v>21</v>
      </c>
      <c r="F118" s="13" t="s">
        <v>525</v>
      </c>
      <c r="G118" s="101" t="s">
        <v>5003</v>
      </c>
      <c r="H118" s="2"/>
      <c r="I118" s="2"/>
      <c r="J118" s="2"/>
      <c r="K118" s="2"/>
      <c r="L118" s="2"/>
      <c r="M118" s="2"/>
      <c r="N118" s="2"/>
      <c r="O118" s="2"/>
      <c r="P118" s="2"/>
      <c r="Q118" s="2"/>
      <c r="R118" s="2"/>
      <c r="S118" s="2"/>
      <c r="T118" s="2"/>
      <c r="U118" s="2"/>
      <c r="V118" s="2"/>
      <c r="W118" s="2"/>
      <c r="X118" s="2"/>
      <c r="Y118" s="2"/>
      <c r="Z118" s="2"/>
    </row>
    <row r="119" customHeight="1" spans="1:26">
      <c r="A119" s="13" t="s">
        <v>527</v>
      </c>
      <c r="B119" s="13" t="s">
        <v>5004</v>
      </c>
      <c r="C119" s="13" t="s">
        <v>529</v>
      </c>
      <c r="D119" s="65"/>
      <c r="E119" s="65"/>
      <c r="F119" s="13" t="s">
        <v>5005</v>
      </c>
      <c r="G119" s="13" t="s">
        <v>5006</v>
      </c>
      <c r="H119" s="2"/>
      <c r="I119" s="2"/>
      <c r="J119" s="2"/>
      <c r="K119" s="2"/>
      <c r="L119" s="2"/>
      <c r="M119" s="2"/>
      <c r="N119" s="2"/>
      <c r="O119" s="2"/>
      <c r="P119" s="2"/>
      <c r="Q119" s="2"/>
      <c r="R119" s="2"/>
      <c r="S119" s="2"/>
      <c r="T119" s="2"/>
      <c r="U119" s="2"/>
      <c r="V119" s="2"/>
      <c r="W119" s="2"/>
      <c r="X119" s="2"/>
      <c r="Y119" s="2"/>
      <c r="Z119" s="2"/>
    </row>
    <row r="120" customHeight="1" spans="1:26">
      <c r="A120" s="13" t="s">
        <v>532</v>
      </c>
      <c r="B120" s="13" t="s">
        <v>5007</v>
      </c>
      <c r="C120" s="13" t="s">
        <v>534</v>
      </c>
      <c r="D120" s="14">
        <v>120</v>
      </c>
      <c r="E120" s="13" t="s">
        <v>37</v>
      </c>
      <c r="F120" s="13" t="s">
        <v>5008</v>
      </c>
      <c r="G120" s="13" t="s">
        <v>5009</v>
      </c>
      <c r="H120" s="2"/>
      <c r="I120" s="2"/>
      <c r="J120" s="2"/>
      <c r="K120" s="2"/>
      <c r="L120" s="2"/>
      <c r="M120" s="2"/>
      <c r="N120" s="2"/>
      <c r="O120" s="2"/>
      <c r="P120" s="2"/>
      <c r="Q120" s="2"/>
      <c r="R120" s="2"/>
      <c r="S120" s="2"/>
      <c r="T120" s="2"/>
      <c r="U120" s="2"/>
      <c r="V120" s="2"/>
      <c r="W120" s="2"/>
      <c r="X120" s="2"/>
      <c r="Y120" s="2"/>
      <c r="Z120" s="2"/>
    </row>
    <row r="121" customHeight="1" spans="1:26">
      <c r="A121" s="64" t="s">
        <v>537</v>
      </c>
      <c r="B121" s="13" t="s">
        <v>5010</v>
      </c>
      <c r="C121" s="13" t="s">
        <v>539</v>
      </c>
      <c r="D121" s="65">
        <v>60</v>
      </c>
      <c r="E121" s="13" t="s">
        <v>37</v>
      </c>
      <c r="F121" s="68" t="str">
        <f>HYPERLINK("https://www.agl.com.au/Content/tactical/img/logo-agl.svg","https://www.agl.com.au/Content/tactical/img/logo-agl.svg")</f>
        <v>https://www.agl.com.au/Content/tactical/img/logo-agl.svg</v>
      </c>
      <c r="G121" s="13" t="s">
        <v>5011</v>
      </c>
      <c r="H121" s="2"/>
      <c r="I121" s="2"/>
      <c r="J121" s="2"/>
      <c r="K121" s="2"/>
      <c r="L121" s="2"/>
      <c r="M121" s="2"/>
      <c r="N121" s="2"/>
      <c r="O121" s="2"/>
      <c r="P121" s="2"/>
      <c r="Q121" s="2"/>
      <c r="R121" s="2"/>
      <c r="S121" s="2"/>
      <c r="T121" s="2"/>
      <c r="U121" s="2"/>
      <c r="V121" s="2"/>
      <c r="W121" s="2"/>
      <c r="X121" s="2"/>
      <c r="Y121" s="2"/>
      <c r="Z121" s="2"/>
    </row>
    <row r="122" customHeight="1" spans="1:26">
      <c r="A122" s="64" t="s">
        <v>542</v>
      </c>
      <c r="B122" s="13" t="s">
        <v>5012</v>
      </c>
      <c r="C122" s="13" t="s">
        <v>539</v>
      </c>
      <c r="D122" s="65">
        <v>50</v>
      </c>
      <c r="E122" s="13" t="s">
        <v>37</v>
      </c>
      <c r="F122" s="13" t="s">
        <v>5013</v>
      </c>
      <c r="G122" s="13" t="s">
        <v>5014</v>
      </c>
      <c r="H122" s="2"/>
      <c r="I122" s="2"/>
      <c r="J122" s="2"/>
      <c r="K122" s="2"/>
      <c r="L122" s="2"/>
      <c r="M122" s="2"/>
      <c r="N122" s="2"/>
      <c r="O122" s="2"/>
      <c r="P122" s="2"/>
      <c r="Q122" s="2"/>
      <c r="R122" s="2"/>
      <c r="S122" s="2"/>
      <c r="T122" s="2"/>
      <c r="U122" s="2"/>
      <c r="V122" s="2"/>
      <c r="W122" s="2"/>
      <c r="X122" s="2"/>
      <c r="Y122" s="2"/>
      <c r="Z122" s="2"/>
    </row>
    <row r="123" customHeight="1" spans="1:26">
      <c r="A123" s="13" t="s">
        <v>546</v>
      </c>
      <c r="B123" s="13" t="s">
        <v>5015</v>
      </c>
      <c r="C123" s="13" t="s">
        <v>548</v>
      </c>
      <c r="D123" s="14">
        <v>100</v>
      </c>
      <c r="E123" s="13" t="s">
        <v>37</v>
      </c>
      <c r="F123" s="13" t="s">
        <v>5016</v>
      </c>
      <c r="G123" s="13" t="s">
        <v>5017</v>
      </c>
      <c r="H123" s="2"/>
      <c r="I123" s="2"/>
      <c r="J123" s="2"/>
      <c r="K123" s="2"/>
      <c r="L123" s="2"/>
      <c r="M123" s="2"/>
      <c r="N123" s="2"/>
      <c r="O123" s="2"/>
      <c r="P123" s="2"/>
      <c r="Q123" s="2"/>
      <c r="R123" s="2"/>
      <c r="S123" s="2"/>
      <c r="T123" s="2"/>
      <c r="U123" s="2"/>
      <c r="V123" s="2"/>
      <c r="W123" s="2"/>
      <c r="X123" s="2"/>
      <c r="Y123" s="2"/>
      <c r="Z123" s="2"/>
    </row>
    <row r="124" customHeight="1" spans="1:26">
      <c r="A124" s="64" t="s">
        <v>551</v>
      </c>
      <c r="B124" s="13" t="s">
        <v>5018</v>
      </c>
      <c r="C124" s="13" t="s">
        <v>553</v>
      </c>
      <c r="D124" s="65">
        <v>30</v>
      </c>
      <c r="E124" s="13" t="s">
        <v>37</v>
      </c>
      <c r="F124" s="13" t="s">
        <v>5019</v>
      </c>
      <c r="G124" s="13" t="s">
        <v>5020</v>
      </c>
      <c r="H124" s="2"/>
      <c r="I124" s="2"/>
      <c r="J124" s="2"/>
      <c r="K124" s="2"/>
      <c r="L124" s="2"/>
      <c r="M124" s="2"/>
      <c r="N124" s="2"/>
      <c r="O124" s="2"/>
      <c r="P124" s="2"/>
      <c r="Q124" s="2"/>
      <c r="R124" s="2"/>
      <c r="S124" s="2"/>
      <c r="T124" s="2"/>
      <c r="U124" s="2"/>
      <c r="V124" s="2"/>
      <c r="W124" s="2"/>
      <c r="X124" s="2"/>
      <c r="Y124" s="2"/>
      <c r="Z124" s="2"/>
    </row>
    <row r="125" customHeight="1" spans="1:26">
      <c r="A125" s="13" t="s">
        <v>556</v>
      </c>
      <c r="B125" s="13" t="s">
        <v>5021</v>
      </c>
      <c r="C125" s="13" t="s">
        <v>557</v>
      </c>
      <c r="D125" s="14">
        <v>30</v>
      </c>
      <c r="E125" s="13" t="s">
        <v>37</v>
      </c>
      <c r="F125" s="13" t="s">
        <v>5022</v>
      </c>
      <c r="G125" s="13" t="s">
        <v>5023</v>
      </c>
      <c r="H125" s="2"/>
      <c r="I125" s="2"/>
      <c r="J125" s="2"/>
      <c r="K125" s="2"/>
      <c r="L125" s="2"/>
      <c r="M125" s="2"/>
      <c r="N125" s="2"/>
      <c r="O125" s="2"/>
      <c r="P125" s="2"/>
      <c r="Q125" s="2"/>
      <c r="R125" s="2"/>
      <c r="S125" s="2"/>
      <c r="T125" s="2"/>
      <c r="U125" s="2"/>
      <c r="V125" s="2"/>
      <c r="W125" s="2"/>
      <c r="X125" s="2"/>
      <c r="Y125" s="2"/>
      <c r="Z125" s="2"/>
    </row>
    <row r="126" customHeight="1" spans="1:26">
      <c r="A126" s="13" t="s">
        <v>558</v>
      </c>
      <c r="B126" s="13" t="s">
        <v>5024</v>
      </c>
      <c r="C126" s="13" t="s">
        <v>560</v>
      </c>
      <c r="D126" s="14">
        <v>40</v>
      </c>
      <c r="E126" s="13" t="s">
        <v>37</v>
      </c>
      <c r="F126" s="13" t="s">
        <v>5025</v>
      </c>
      <c r="G126" s="13" t="s">
        <v>5026</v>
      </c>
      <c r="H126" s="2"/>
      <c r="I126" s="2"/>
      <c r="J126" s="2"/>
      <c r="K126" s="2"/>
      <c r="L126" s="2"/>
      <c r="M126" s="2"/>
      <c r="N126" s="2"/>
      <c r="O126" s="2"/>
      <c r="P126" s="2"/>
      <c r="Q126" s="2"/>
      <c r="R126" s="2"/>
      <c r="S126" s="2"/>
      <c r="T126" s="2"/>
      <c r="U126" s="2"/>
      <c r="V126" s="2"/>
      <c r="W126" s="2"/>
      <c r="X126" s="2"/>
      <c r="Y126" s="2"/>
      <c r="Z126" s="2"/>
    </row>
    <row r="127" customHeight="1" spans="1:26">
      <c r="A127" s="13" t="s">
        <v>563</v>
      </c>
      <c r="B127" s="13" t="s">
        <v>5027</v>
      </c>
      <c r="C127" s="13" t="s">
        <v>565</v>
      </c>
      <c r="D127" s="14">
        <v>80</v>
      </c>
      <c r="E127" s="13" t="s">
        <v>37</v>
      </c>
      <c r="F127" s="13" t="s">
        <v>5028</v>
      </c>
      <c r="G127" s="13" t="s">
        <v>5029</v>
      </c>
      <c r="H127" s="2"/>
      <c r="I127" s="2"/>
      <c r="J127" s="2"/>
      <c r="K127" s="2"/>
      <c r="L127" s="2"/>
      <c r="M127" s="2"/>
      <c r="N127" s="2"/>
      <c r="O127" s="2"/>
      <c r="P127" s="2"/>
      <c r="Q127" s="2"/>
      <c r="R127" s="2"/>
      <c r="S127" s="2"/>
      <c r="T127" s="2"/>
      <c r="U127" s="2"/>
      <c r="V127" s="2"/>
      <c r="W127" s="2"/>
      <c r="X127" s="2"/>
      <c r="Y127" s="2"/>
      <c r="Z127" s="2"/>
    </row>
    <row r="128" customHeight="1" spans="1:26">
      <c r="A128" s="13" t="s">
        <v>313</v>
      </c>
      <c r="B128" s="13" t="s">
        <v>5030</v>
      </c>
      <c r="C128" s="13" t="s">
        <v>117</v>
      </c>
      <c r="D128" s="65">
        <v>90</v>
      </c>
      <c r="E128" s="13" t="s">
        <v>32</v>
      </c>
      <c r="F128" s="13" t="s">
        <v>5031</v>
      </c>
      <c r="G128" s="13" t="s">
        <v>5032</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5033</v>
      </c>
      <c r="C129" s="10" t="s">
        <v>570</v>
      </c>
      <c r="D129" s="2"/>
      <c r="E129" s="2"/>
      <c r="F129" s="9" t="str">
        <f>HYPERLINK("http://sterlingatms.com.au/product_images/home_slider/5568-landing_page_NAB.jpg","http://sterlingatms.com.au/product_images/home_slider/5568-landing_page_NAB.jpg")</f>
        <v>http://sterlingatms.com.au/product_images/home_slider/5568-landing_page_NAB.jpg</v>
      </c>
      <c r="G129" s="9" t="str">
        <f>HYPERLINK("https://www.nab.com.au","https://www.nab.com.au")</f>
        <v>https://www.nab.com.au</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4892</v>
      </c>
      <c r="C130" s="2" t="s">
        <v>570</v>
      </c>
      <c r="D130" s="2"/>
      <c r="E130" s="2"/>
      <c r="F130" s="9" t="str">
        <f>HYPERLINK("https://cdn.theconversation.com/files/155585/wide_article/width1356x668/7gzxt7ny-1486346466.jpg","https://cdn.theconversation.com/files/155585/wide_article/width1356x668/7gzxt7ny-1486346466.jpg")</f>
        <v>https://cdn.theconversation.com/files/155585/wide_article/width1356x668/7gzxt7ny-1486346466.jpg</v>
      </c>
      <c r="G130" s="9" t="str">
        <f>HYPERLINK("https://bankaust.com.au/personal/","https://bankaust.com.au/personal/")</f>
        <v>https://bankaust.com.au/personal/</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5034</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5035</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5036</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5037</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5038</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5039</v>
      </c>
      <c r="C136" s="11" t="s">
        <v>578</v>
      </c>
      <c r="D136" s="2"/>
      <c r="E136" s="2"/>
      <c r="F136" s="2" t="s">
        <v>589</v>
      </c>
      <c r="G136" s="2" t="s">
        <v>1933</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5040</v>
      </c>
      <c r="C137" s="11" t="s">
        <v>578</v>
      </c>
      <c r="D137" s="2"/>
      <c r="E137" s="2"/>
      <c r="F137" s="9" t="str">
        <f>HYPERLINK("https://5826938d5e307a148129-f7e3bee6e12f242d6fa0f9d1a0093421.ssl.cf5.rackcdn.com/18no83dzx5gr8.jpg","https://5826938d5e307a148129-f7e3bee6e12f242d6fa0f9d1a0093421.ssl.cf5.rackcdn.com/18no83dzx5gr8.jpg")</f>
        <v>https://5826938d5e307a148129-f7e3bee6e12f242d6fa0f9d1a0093421.ssl.cf5.rackcdn.com/18no83dzx5gr8.jpg</v>
      </c>
      <c r="G137" s="9" t="str">
        <f>HYPERLINK("http://www.curecancer.com.au","http://www.curecancer.com.au")</f>
        <v>http://www.curecancer.com.au</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5041</v>
      </c>
      <c r="C138" s="11" t="s">
        <v>578</v>
      </c>
      <c r="D138" s="2"/>
      <c r="E138" s="2"/>
      <c r="F138" s="9" t="str">
        <f>HYPERLINK("http://sydneyeyehospitalfoundation.org.au/wp-content/themes/sehf/images/headerlogo.png","http://sydneyeyehospitalfoundation.org.au/wp-content/themes/sehf/images/headerlogo.png")</f>
        <v>http://sydneyeyehospitalfoundation.org.au/wp-content/themes/sehf/images/headerlogo.png</v>
      </c>
      <c r="G138" s="9" t="str">
        <f>HYPERLINK("http://sydneyeyehospitalfoundation.org.au","http://sydneyeyehospitalfoundation.org.au")</f>
        <v>http://sydneyeyehospitalfoundation.org.au</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5042</v>
      </c>
      <c r="C139" s="11" t="s">
        <v>578</v>
      </c>
      <c r="D139" s="2"/>
      <c r="E139" s="2"/>
      <c r="F139" s="9" t="str">
        <f>HYPERLINK("https://shelternsw.org.au/sites/shelternsw.org.au/files/styles/header_image/public/public/header/shelternsw-banner-home.png?itok=dGzJ5V3l","https://shelternsw.org.au/sites/shelternsw.org.au/files/styles/header_image/public/public/header/shelternsw-banner-home.png?itok=dGzJ5V3l")</f>
        <v>https://shelternsw.org.au/sites/shelternsw.org.au/files/styles/header_image/public/public/header/shelternsw-banner-home.png?itok=dGzJ5V3l</v>
      </c>
      <c r="G139" s="9" t="str">
        <f>HYPERLINK("https://shelternsw.org.au","https://shelternsw.org.au")</f>
        <v>https://shelternsw.org.au</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5043</v>
      </c>
      <c r="C140" s="11" t="s">
        <v>578</v>
      </c>
      <c r="D140" s="2"/>
      <c r="E140" s="2"/>
      <c r="F140" s="9" t="str">
        <f>HYPERLINK("https://media.licdn.com/mpr/mpr/shrink_200_200/AAEAAQAAAAAAAAb9AAAAJGY0NGFkMTBhLTk2YWMtNDk3ZS04YWY2LTU5NzgxMzIyYjE5ZQ.png","https://media.licdn.com/mpr/mpr/shrink_200_200/AAEAAQAAAAAAAAb9AAAAJGY0NGFkMTBhLTk2YWMtNDk3ZS04YWY2LTU5NzgxMzIyYjE5ZQ.png")</f>
        <v>https://media.licdn.com/mpr/mpr/shrink_200_200/AAEAAQAAAAAAAAb9AAAAJGY0NGFkMTBhLTk2YWMtNDk3ZS04YWY2LTU5NzgxMzIyYjE5ZQ.png</v>
      </c>
      <c r="G140" s="9" t="str">
        <f>HYPERLINK("https://www.wesleymission.org.au/home/our-services/wesley-homeless-services/wesley-accommodation-support/accommodation-support/crisis-accommodation/","https://www.wesleymission.org.au/home/our-services/wesley-homeless-services/wesley-accommodation-support/accommodation-support/crisis-accommodation/")</f>
        <v>https://www.wesleymission.org.au/home/our-services/wesley-homeless-services/wesley-accommodation-support/accommodation-support/crisis-accommodation/</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5044</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5045</v>
      </c>
      <c r="C145" s="11" t="s">
        <v>612</v>
      </c>
      <c r="D145" s="2"/>
      <c r="E145" s="2"/>
      <c r="F145" s="9" t="str">
        <f>HYPERLINK("http://palliativecare.org.au/wp-content/uploads/2017/04/PCA-logo_VIC_small.jpg","http://palliativecare.org.au/wp-content/uploads/2017/04/PCA-logo_VIC_small.jpg")</f>
        <v>http://palliativecare.org.au/wp-content/uploads/2017/04/PCA-logo_VIC_small.jpg</v>
      </c>
      <c r="G145" s="9" t="str">
        <f>HYPERLINK("http://palliativecare.org.au","http://palliativecare.org.au")</f>
        <v>http://palliativecare.org.au</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5046</v>
      </c>
      <c r="C146" s="11" t="s">
        <v>612</v>
      </c>
      <c r="D146" s="2"/>
      <c r="E146" s="2"/>
      <c r="F146" s="9" t="str">
        <f>HYPERLINK("https://mns.org.au/wps/wcm/connect/2fddfc1b-3577-4846-9d9d-7619c3177982/logo-mns-mobile.png?MOD=AJPERES&amp;CACHEID=2fddfc1b-3577-4846-9d9d-7619c3177982","https://mns.org.au/wps/wcm/connect/2fddfc1b-3577-4846-9d9d-7619c3177982/logo-mns-mobile.png?MOD=AJPERES&amp;CACHEID=2fddfc1b-3577-4846-9d9d-7619c3177982")</f>
        <v>https://mns.org.au/wps/wcm/connect/2fddfc1b-3577-4846-9d9d-7619c3177982/logo-mns-mobile.png?MOD=AJPERES&amp;CACHEID=2fddfc1b-3577-4846-9d9d-7619c3177982</v>
      </c>
      <c r="G146" s="9" t="str">
        <f>HYPERLINK("https://mns.org.au/home","https://mns.org.au/home")</f>
        <v>https://mns.org.au/home</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5047</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5048</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5049</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5050</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5051</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5052</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5053</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5054</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644</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20" t="s">
        <v>5055</v>
      </c>
      <c r="C157" s="13" t="s">
        <v>648</v>
      </c>
      <c r="D157" s="14">
        <v>120</v>
      </c>
      <c r="E157" s="13" t="s">
        <v>37</v>
      </c>
      <c r="F157" s="68" t="str">
        <f>HYPERLINK("http://www.nswtrainlink.info/__data/assets/image/0015/24036/logo-print.jpg","http://www.nswtrainlink.info/__data/assets/image/0015/24036/logo-print.jpg")</f>
        <v>http://www.nswtrainlink.info/__data/assets/image/0015/24036/logo-print.jpg</v>
      </c>
      <c r="G157" s="68" t="str">
        <f>HYPERLINK("http://www.nswtrainlink.info","http://www.nswtrainlink.info")</f>
        <v>http://www.nswtrainlink.info</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3538</v>
      </c>
      <c r="C158" s="11" t="s">
        <v>653</v>
      </c>
      <c r="D158" s="2"/>
      <c r="E158" s="2"/>
      <c r="F158" s="9" t="str">
        <f>HYPERLINK("https://www.allianz.com.my/html/allianz/images/logo-allianz.svg","https://www.allianz.com.my/html/allianz/images/logo-allianz.svg")</f>
        <v>https://www.allianz.com.my/html/allianz/images/logo-allianz.svg</v>
      </c>
      <c r="G158" s="9" t="str">
        <f>HYPERLINK("https://www.allianz.com.au/business/business-insurance/?ef_id=WEqysQAAAT0aaRLt:20170724100415:s&amp;gclid=EAIaIQobChMIpe3FsNWh1QIVIrHtCh3axgJ_EAAYAiAAEgJKs_D_BwE&amp;gclsrc=aw.ds","https://www.allianz.com.au/business/business-insurance/?ef_id=WEqysQAAAT0aaRLt:20170724100415:s&amp;gclid=EAIaIQobChMIpe3FsNWh1QIVIrHtCh3axgJ_EAAYAiAAEgJKs_D_BwE&amp;gclsrc=aw.ds")</f>
        <v>https://www.allianz.com.au/business/business-insurance/?ef_id=WEqysQAAAT0aaRLt:20170724100415:s&amp;gclid=EAIaIQobChMIpe3FsNWh1QIVIrHtCh3axgJ_EAAYAiAAEgJKs_D_BwE&amp;gclsrc=aw.ds</v>
      </c>
      <c r="H158" s="2"/>
      <c r="I158" s="2"/>
      <c r="J158" s="2"/>
      <c r="K158" s="2"/>
      <c r="L158" s="2"/>
      <c r="M158" s="2"/>
      <c r="N158" s="2"/>
      <c r="O158" s="2"/>
      <c r="P158" s="2"/>
      <c r="Q158" s="2"/>
      <c r="R158" s="2"/>
      <c r="S158" s="2"/>
      <c r="T158" s="2"/>
      <c r="U158" s="2"/>
      <c r="V158" s="2"/>
      <c r="W158" s="2"/>
      <c r="X158" s="2"/>
      <c r="Y158" s="2"/>
      <c r="Z158" s="2"/>
    </row>
    <row r="159" ht="13.5" customHeight="1" spans="1:26">
      <c r="A159" s="37" t="s">
        <v>656</v>
      </c>
      <c r="B159" s="2" t="s">
        <v>3788</v>
      </c>
      <c r="C159" s="37" t="s">
        <v>658</v>
      </c>
      <c r="D159" s="38"/>
      <c r="E159" s="39"/>
      <c r="F159" s="9" t="str">
        <f>HYPERLINK("https://cdn3.mobiletransaction.org/wp-content/uploads/2015/07/eftpos-logo.png","https://cdn3.mobiletransaction.org/wp-content/uploads/2015/07/eftpos-logo.png")</f>
        <v>https://cdn3.mobiletransaction.org/wp-content/uploads/2015/07/eftpos-logo.png</v>
      </c>
      <c r="G159" s="9" t="str">
        <f>HYPERLINK("https://eftposwin.com.au","https://eftposwin.com.au")</f>
        <v>https://eftposwin.com.au</v>
      </c>
      <c r="H159" s="40"/>
      <c r="I159" s="39"/>
      <c r="J159" s="39"/>
      <c r="K159" s="39"/>
      <c r="L159" s="39"/>
      <c r="M159" s="39"/>
      <c r="N159" s="39"/>
      <c r="O159" s="39"/>
      <c r="P159" s="39"/>
      <c r="Q159" s="39"/>
      <c r="R159" s="2"/>
      <c r="S159" s="2"/>
      <c r="T159" s="2"/>
      <c r="U159" s="2"/>
      <c r="V159" s="2"/>
      <c r="W159" s="2"/>
      <c r="X159" s="2"/>
      <c r="Y159" s="2"/>
      <c r="Z159" s="2"/>
    </row>
    <row r="160" ht="13.5" customHeight="1" spans="1:26">
      <c r="A160" s="2" t="s">
        <v>661</v>
      </c>
      <c r="B160" s="2" t="s">
        <v>2344</v>
      </c>
      <c r="C160" s="2" t="s">
        <v>658</v>
      </c>
      <c r="D160" s="39"/>
      <c r="E160" s="39"/>
      <c r="F160" s="9" t="str">
        <f>HYPERLINK("https://seeklogo.com/images/M/mastercard-logo-473B8726A9-seeklogo.com.png","https://seeklogo.com/images/M/mastercard-logo-473B8726A9-seeklogo.com.png")</f>
        <v>https://seeklogo.com/images/M/mastercard-logo-473B8726A9-seeklogo.com.png</v>
      </c>
      <c r="G160" s="9" t="str">
        <f>HYPERLINK("https://www.mastercard.com.au/en-au.html","https://www.mastercard.com.au/en-au.html")</f>
        <v>https://www.mastercard.com.au/en-au.html</v>
      </c>
      <c r="H160" s="39"/>
      <c r="I160" s="39"/>
      <c r="J160" s="39"/>
      <c r="K160" s="39"/>
      <c r="L160" s="39"/>
      <c r="M160" s="39"/>
      <c r="N160" s="39"/>
      <c r="O160" s="39"/>
      <c r="P160" s="39"/>
      <c r="Q160" s="39"/>
      <c r="R160" s="2"/>
      <c r="S160" s="2"/>
      <c r="T160" s="2"/>
      <c r="U160" s="2"/>
      <c r="V160" s="2"/>
      <c r="W160" s="2"/>
      <c r="X160" s="2"/>
      <c r="Y160" s="2"/>
      <c r="Z160" s="2"/>
    </row>
    <row r="161" ht="13.5" customHeight="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formula1>ValidLondonCounterpartyNames</formula1>
    </dataValidation>
  </dataValidations>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AE1000"/>
  <sheetViews>
    <sheetView showGridLines="0" workbookViewId="0">
      <selection activeCell="A1" sqref="A1"/>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30" width="35.1607142857143" customWidth="1"/>
    <col min="31" max="31" width="8.66071428571429" customWidth="1"/>
  </cols>
  <sheetData>
    <row r="1" customHeight="1" spans="1:31">
      <c r="A1" s="56" t="s">
        <v>0</v>
      </c>
      <c r="B1" s="57"/>
      <c r="C1" s="57"/>
      <c r="D1" s="57"/>
      <c r="E1" s="57"/>
      <c r="F1" s="57"/>
      <c r="G1" s="57"/>
      <c r="H1" s="57"/>
      <c r="I1" s="57"/>
      <c r="J1" s="57"/>
      <c r="K1" s="57"/>
      <c r="L1" s="57"/>
      <c r="M1" s="57"/>
      <c r="N1" s="57"/>
      <c r="O1" s="57"/>
      <c r="P1" s="57"/>
      <c r="Q1" s="57"/>
      <c r="R1" s="57"/>
      <c r="S1" s="57"/>
      <c r="T1" s="57"/>
      <c r="U1" s="57"/>
      <c r="V1" s="2"/>
      <c r="W1" s="2"/>
      <c r="X1" s="2"/>
      <c r="Y1" s="2"/>
      <c r="Z1" s="2"/>
      <c r="AA1" s="2"/>
      <c r="AB1" s="2"/>
      <c r="AC1" s="2"/>
      <c r="AD1" s="2"/>
      <c r="AE1" s="2"/>
    </row>
    <row r="2" customHeight="1" spans="1:31">
      <c r="A2" s="58" t="s">
        <v>2070</v>
      </c>
      <c r="B2" s="49"/>
      <c r="C2" s="49"/>
      <c r="D2" s="59" t="s">
        <v>2</v>
      </c>
      <c r="E2" s="49"/>
      <c r="F2" s="49"/>
      <c r="G2" s="49"/>
      <c r="H2" s="49"/>
      <c r="I2" s="49"/>
      <c r="J2" s="49"/>
      <c r="K2" s="49"/>
      <c r="L2" s="49"/>
      <c r="M2" s="49"/>
      <c r="N2" s="49"/>
      <c r="O2" s="49"/>
      <c r="P2" s="49"/>
      <c r="Q2" s="49"/>
      <c r="R2" s="49"/>
      <c r="S2" s="49"/>
      <c r="T2" s="49"/>
      <c r="U2" s="49"/>
      <c r="V2" s="2"/>
      <c r="W2" s="2"/>
      <c r="X2" s="2"/>
      <c r="Y2" s="2"/>
      <c r="Z2" s="2"/>
      <c r="AA2" s="2"/>
      <c r="AB2" s="2"/>
      <c r="AC2" s="2"/>
      <c r="AD2" s="2"/>
      <c r="AE2" s="2"/>
    </row>
    <row r="3" customHeight="1" spans="1:31">
      <c r="A3" s="60" t="s">
        <v>3</v>
      </c>
      <c r="B3" s="61" t="s">
        <v>4</v>
      </c>
      <c r="C3" s="61" t="s">
        <v>5</v>
      </c>
      <c r="D3" s="61" t="s">
        <v>6</v>
      </c>
      <c r="E3" s="61" t="s">
        <v>7</v>
      </c>
      <c r="F3" s="61" t="s">
        <v>8</v>
      </c>
      <c r="G3" s="61" t="s">
        <v>9</v>
      </c>
      <c r="H3" s="61"/>
      <c r="I3" s="61"/>
      <c r="J3" s="61"/>
      <c r="K3" s="61"/>
      <c r="L3" s="61"/>
      <c r="M3" s="61"/>
      <c r="N3" s="61"/>
      <c r="O3" s="61"/>
      <c r="P3" s="61"/>
      <c r="Q3" s="61"/>
      <c r="R3" s="61"/>
      <c r="S3" s="61"/>
      <c r="T3" s="61"/>
      <c r="U3" s="61"/>
      <c r="V3" s="2"/>
      <c r="W3" s="2"/>
      <c r="X3" s="2"/>
      <c r="Y3" s="2"/>
      <c r="Z3" s="2"/>
      <c r="AA3" s="2"/>
      <c r="AB3" s="2"/>
      <c r="AC3" s="2"/>
      <c r="AD3" s="2"/>
      <c r="AE3" s="2"/>
    </row>
    <row r="4" customHeight="1" spans="1:31">
      <c r="A4" s="63" t="s">
        <v>10</v>
      </c>
      <c r="B4" s="63" t="s">
        <v>5056</v>
      </c>
      <c r="C4" s="63" t="s">
        <v>12</v>
      </c>
      <c r="D4" s="98"/>
      <c r="E4" s="98"/>
      <c r="F4" s="63" t="s">
        <v>5057</v>
      </c>
      <c r="G4" s="63" t="s">
        <v>5058</v>
      </c>
      <c r="H4" s="63"/>
      <c r="I4" s="63"/>
      <c r="J4" s="63"/>
      <c r="K4" s="63"/>
      <c r="L4" s="63"/>
      <c r="M4" s="63"/>
      <c r="N4" s="63"/>
      <c r="O4" s="63"/>
      <c r="P4" s="63"/>
      <c r="Q4" s="63"/>
      <c r="R4" s="63"/>
      <c r="S4" s="63"/>
      <c r="T4" s="63"/>
      <c r="U4" s="63"/>
      <c r="V4" s="2"/>
      <c r="W4" s="2"/>
      <c r="X4" s="2"/>
      <c r="Y4" s="2"/>
      <c r="Z4" s="2"/>
      <c r="AA4" s="2"/>
      <c r="AB4" s="2"/>
      <c r="AC4" s="2"/>
      <c r="AD4" s="2"/>
      <c r="AE4" s="2"/>
    </row>
    <row r="5" customHeight="1" spans="1:31">
      <c r="A5" s="13" t="s">
        <v>15</v>
      </c>
      <c r="B5" s="13" t="s">
        <v>16</v>
      </c>
      <c r="C5" s="13" t="s">
        <v>12</v>
      </c>
      <c r="D5" s="57"/>
      <c r="E5" s="57"/>
      <c r="F5" s="13" t="s">
        <v>17</v>
      </c>
      <c r="G5" s="13" t="s">
        <v>5059</v>
      </c>
      <c r="H5" s="13"/>
      <c r="I5" s="13"/>
      <c r="J5" s="13"/>
      <c r="K5" s="13"/>
      <c r="L5" s="13"/>
      <c r="M5" s="13"/>
      <c r="N5" s="13"/>
      <c r="O5" s="13"/>
      <c r="P5" s="13"/>
      <c r="Q5" s="13"/>
      <c r="R5" s="13"/>
      <c r="S5" s="13"/>
      <c r="T5" s="13"/>
      <c r="U5" s="13"/>
      <c r="V5" s="2"/>
      <c r="W5" s="2"/>
      <c r="X5" s="2"/>
      <c r="Y5" s="2"/>
      <c r="Z5" s="2"/>
      <c r="AA5" s="2"/>
      <c r="AB5" s="2"/>
      <c r="AC5" s="2"/>
      <c r="AD5" s="2"/>
      <c r="AE5" s="2"/>
    </row>
    <row r="6" customHeight="1" spans="1:31">
      <c r="A6" s="13" t="s">
        <v>18</v>
      </c>
      <c r="B6" s="13" t="s">
        <v>5060</v>
      </c>
      <c r="C6" s="13" t="s">
        <v>20</v>
      </c>
      <c r="D6" s="14">
        <v>340</v>
      </c>
      <c r="E6" s="13" t="s">
        <v>21</v>
      </c>
      <c r="F6" s="13" t="s">
        <v>5061</v>
      </c>
      <c r="G6" s="13" t="s">
        <v>5062</v>
      </c>
      <c r="H6" s="13"/>
      <c r="I6" s="13"/>
      <c r="J6" s="13"/>
      <c r="K6" s="13"/>
      <c r="L6" s="13"/>
      <c r="M6" s="13"/>
      <c r="N6" s="13"/>
      <c r="O6" s="13"/>
      <c r="P6" s="13"/>
      <c r="Q6" s="13"/>
      <c r="R6" s="13"/>
      <c r="S6" s="13"/>
      <c r="T6" s="13"/>
      <c r="U6" s="13"/>
      <c r="V6" s="2"/>
      <c r="W6" s="2"/>
      <c r="X6" s="2"/>
      <c r="Y6" s="2"/>
      <c r="Z6" s="2"/>
      <c r="AA6" s="2"/>
      <c r="AB6" s="2"/>
      <c r="AC6" s="2"/>
      <c r="AD6" s="2"/>
      <c r="AE6" s="2"/>
    </row>
    <row r="7" customHeight="1" spans="1:31">
      <c r="A7" s="13" t="s">
        <v>24</v>
      </c>
      <c r="B7" s="13" t="s">
        <v>5063</v>
      </c>
      <c r="C7" s="13" t="s">
        <v>2512</v>
      </c>
      <c r="D7" s="14">
        <v>85</v>
      </c>
      <c r="E7" s="13" t="s">
        <v>21</v>
      </c>
      <c r="F7" s="13" t="s">
        <v>5064</v>
      </c>
      <c r="G7" s="13" t="s">
        <v>5065</v>
      </c>
      <c r="H7" s="13"/>
      <c r="I7" s="13"/>
      <c r="J7" s="13"/>
      <c r="K7" s="13"/>
      <c r="L7" s="13"/>
      <c r="M7" s="13"/>
      <c r="N7" s="13"/>
      <c r="O7" s="13"/>
      <c r="P7" s="13"/>
      <c r="Q7" s="13"/>
      <c r="R7" s="13"/>
      <c r="S7" s="13"/>
      <c r="T7" s="13"/>
      <c r="U7" s="13"/>
      <c r="V7" s="2"/>
      <c r="W7" s="2"/>
      <c r="X7" s="2"/>
      <c r="Y7" s="2"/>
      <c r="Z7" s="2"/>
      <c r="AA7" s="2"/>
      <c r="AB7" s="2"/>
      <c r="AC7" s="2"/>
      <c r="AD7" s="2"/>
      <c r="AE7" s="2"/>
    </row>
    <row r="8" customHeight="1" spans="1:31">
      <c r="A8" s="64" t="s">
        <v>29</v>
      </c>
      <c r="B8" s="13" t="s">
        <v>5066</v>
      </c>
      <c r="C8" s="13" t="s">
        <v>31</v>
      </c>
      <c r="D8" s="65">
        <v>30</v>
      </c>
      <c r="E8" s="13" t="s">
        <v>32</v>
      </c>
      <c r="F8" s="13" t="s">
        <v>5067</v>
      </c>
      <c r="G8" s="13" t="s">
        <v>5068</v>
      </c>
      <c r="H8" s="13"/>
      <c r="I8" s="13"/>
      <c r="J8" s="13"/>
      <c r="K8" s="13"/>
      <c r="L8" s="13"/>
      <c r="M8" s="13"/>
      <c r="N8" s="13"/>
      <c r="O8" s="13"/>
      <c r="P8" s="13"/>
      <c r="Q8" s="13"/>
      <c r="R8" s="13"/>
      <c r="S8" s="13"/>
      <c r="T8" s="13"/>
      <c r="U8" s="13"/>
      <c r="V8" s="2"/>
      <c r="W8" s="2"/>
      <c r="X8" s="2"/>
      <c r="Y8" s="2"/>
      <c r="Z8" s="2"/>
      <c r="AA8" s="2"/>
      <c r="AB8" s="2"/>
      <c r="AC8" s="2"/>
      <c r="AD8" s="2"/>
      <c r="AE8" s="2"/>
    </row>
    <row r="9" customHeight="1" spans="1:31">
      <c r="A9" s="64" t="s">
        <v>35</v>
      </c>
      <c r="B9" s="13" t="s">
        <v>5069</v>
      </c>
      <c r="C9" s="13" t="s">
        <v>31</v>
      </c>
      <c r="D9" s="65">
        <v>30</v>
      </c>
      <c r="E9" s="13" t="s">
        <v>37</v>
      </c>
      <c r="F9" s="13" t="s">
        <v>5070</v>
      </c>
      <c r="G9" s="13" t="s">
        <v>5071</v>
      </c>
      <c r="H9" s="13"/>
      <c r="I9" s="13"/>
      <c r="J9" s="13"/>
      <c r="K9" s="13"/>
      <c r="L9" s="13"/>
      <c r="M9" s="13"/>
      <c r="N9" s="13"/>
      <c r="O9" s="13"/>
      <c r="P9" s="13"/>
      <c r="Q9" s="13"/>
      <c r="R9" s="13"/>
      <c r="S9" s="13"/>
      <c r="T9" s="13"/>
      <c r="U9" s="13"/>
      <c r="V9" s="2"/>
      <c r="W9" s="2"/>
      <c r="X9" s="2"/>
      <c r="Y9" s="2"/>
      <c r="Z9" s="2"/>
      <c r="AA9" s="2"/>
      <c r="AB9" s="2"/>
      <c r="AC9" s="2"/>
      <c r="AD9" s="2"/>
      <c r="AE9" s="2"/>
    </row>
    <row r="10" customHeight="1" spans="1:31">
      <c r="A10" s="64" t="s">
        <v>40</v>
      </c>
      <c r="B10" s="13" t="s">
        <v>41</v>
      </c>
      <c r="C10" s="13" t="s">
        <v>41</v>
      </c>
      <c r="D10" s="65">
        <v>106</v>
      </c>
      <c r="E10" s="13" t="s">
        <v>21</v>
      </c>
      <c r="F10" s="13" t="s">
        <v>42</v>
      </c>
      <c r="G10" s="13" t="s">
        <v>5072</v>
      </c>
      <c r="H10" s="13"/>
      <c r="I10" s="13"/>
      <c r="J10" s="13"/>
      <c r="K10" s="13"/>
      <c r="L10" s="13"/>
      <c r="M10" s="13"/>
      <c r="N10" s="13"/>
      <c r="O10" s="13"/>
      <c r="P10" s="13"/>
      <c r="Q10" s="13"/>
      <c r="R10" s="13"/>
      <c r="S10" s="13"/>
      <c r="T10" s="13"/>
      <c r="U10" s="13"/>
      <c r="V10" s="2"/>
      <c r="W10" s="2"/>
      <c r="X10" s="2"/>
      <c r="Y10" s="2"/>
      <c r="Z10" s="2"/>
      <c r="AA10" s="2"/>
      <c r="AB10" s="2"/>
      <c r="AC10" s="2"/>
      <c r="AD10" s="2"/>
      <c r="AE10" s="2"/>
    </row>
    <row r="11" customHeight="1" spans="1:31">
      <c r="A11" s="59" t="s">
        <v>44</v>
      </c>
      <c r="B11" s="13" t="s">
        <v>893</v>
      </c>
      <c r="C11" s="13" t="s">
        <v>46</v>
      </c>
      <c r="D11" s="57"/>
      <c r="E11" s="57"/>
      <c r="F11" s="13" t="s">
        <v>47</v>
      </c>
      <c r="G11" s="13" t="s">
        <v>5073</v>
      </c>
      <c r="H11" s="13"/>
      <c r="I11" s="13"/>
      <c r="J11" s="13"/>
      <c r="K11" s="13"/>
      <c r="L11" s="13"/>
      <c r="M11" s="13"/>
      <c r="N11" s="13"/>
      <c r="O11" s="13"/>
      <c r="P11" s="13"/>
      <c r="Q11" s="13"/>
      <c r="R11" s="13"/>
      <c r="S11" s="13"/>
      <c r="T11" s="13"/>
      <c r="U11" s="13"/>
      <c r="V11" s="2"/>
      <c r="W11" s="2"/>
      <c r="X11" s="2"/>
      <c r="Y11" s="2"/>
      <c r="Z11" s="2"/>
      <c r="AA11" s="2"/>
      <c r="AB11" s="2"/>
      <c r="AC11" s="2"/>
      <c r="AD11" s="2"/>
      <c r="AE11" s="2"/>
    </row>
    <row r="12" customHeight="1" spans="1:31">
      <c r="A12" s="52" t="s">
        <v>49</v>
      </c>
      <c r="B12" s="62" t="s">
        <v>5074</v>
      </c>
      <c r="C12" s="13" t="s">
        <v>3483</v>
      </c>
      <c r="D12" s="57"/>
      <c r="E12" s="57"/>
      <c r="F12" s="13" t="s">
        <v>5075</v>
      </c>
      <c r="G12" s="13" t="s">
        <v>5076</v>
      </c>
      <c r="H12" s="13"/>
      <c r="I12" s="13"/>
      <c r="J12" s="13"/>
      <c r="K12" s="13"/>
      <c r="L12" s="13"/>
      <c r="M12" s="13"/>
      <c r="N12" s="13"/>
      <c r="O12" s="13"/>
      <c r="P12" s="13"/>
      <c r="Q12" s="13"/>
      <c r="R12" s="13"/>
      <c r="S12" s="13"/>
      <c r="T12" s="13"/>
      <c r="U12" s="13"/>
      <c r="V12" s="2"/>
      <c r="W12" s="2"/>
      <c r="X12" s="2"/>
      <c r="Y12" s="2"/>
      <c r="Z12" s="2"/>
      <c r="AA12" s="2"/>
      <c r="AB12" s="2"/>
      <c r="AC12" s="2"/>
      <c r="AD12" s="2"/>
      <c r="AE12" s="2"/>
    </row>
    <row r="13" customHeight="1" spans="1:31">
      <c r="A13" s="63" t="s">
        <v>54</v>
      </c>
      <c r="B13" s="13" t="s">
        <v>5077</v>
      </c>
      <c r="C13" s="13" t="s">
        <v>56</v>
      </c>
      <c r="D13" s="57"/>
      <c r="E13" s="57"/>
      <c r="F13" s="13" t="s">
        <v>5078</v>
      </c>
      <c r="G13" s="13" t="s">
        <v>5079</v>
      </c>
      <c r="H13" s="13"/>
      <c r="I13" s="13"/>
      <c r="J13" s="13"/>
      <c r="K13" s="13"/>
      <c r="L13" s="13"/>
      <c r="M13" s="13"/>
      <c r="N13" s="13"/>
      <c r="O13" s="13"/>
      <c r="P13" s="13"/>
      <c r="Q13" s="13"/>
      <c r="R13" s="13"/>
      <c r="S13" s="13"/>
      <c r="T13" s="13"/>
      <c r="U13" s="13"/>
      <c r="V13" s="2"/>
      <c r="W13" s="2"/>
      <c r="X13" s="2"/>
      <c r="Y13" s="2"/>
      <c r="Z13" s="2"/>
      <c r="AA13" s="2"/>
      <c r="AB13" s="2"/>
      <c r="AC13" s="2"/>
      <c r="AD13" s="2"/>
      <c r="AE13" s="2"/>
    </row>
    <row r="14" customHeight="1" spans="1:31">
      <c r="A14" s="64" t="s">
        <v>59</v>
      </c>
      <c r="B14" s="13" t="s">
        <v>5080</v>
      </c>
      <c r="C14" s="13" t="s">
        <v>61</v>
      </c>
      <c r="D14" s="65">
        <v>13</v>
      </c>
      <c r="E14" s="13" t="s">
        <v>37</v>
      </c>
      <c r="F14" s="13" t="s">
        <v>5081</v>
      </c>
      <c r="G14" s="13" t="s">
        <v>5082</v>
      </c>
      <c r="H14" s="13"/>
      <c r="I14" s="13"/>
      <c r="J14" s="13"/>
      <c r="K14" s="13"/>
      <c r="L14" s="13"/>
      <c r="M14" s="13"/>
      <c r="N14" s="13"/>
      <c r="O14" s="13"/>
      <c r="P14" s="13"/>
      <c r="Q14" s="13"/>
      <c r="R14" s="13"/>
      <c r="S14" s="13"/>
      <c r="T14" s="13"/>
      <c r="U14" s="13"/>
      <c r="V14" s="2"/>
      <c r="W14" s="2"/>
      <c r="X14" s="2"/>
      <c r="Y14" s="2"/>
      <c r="Z14" s="2"/>
      <c r="AA14" s="2"/>
      <c r="AB14" s="2"/>
      <c r="AC14" s="2"/>
      <c r="AD14" s="2"/>
      <c r="AE14" s="2"/>
    </row>
    <row r="15" customHeight="1" spans="1:31">
      <c r="A15" s="64" t="s">
        <v>64</v>
      </c>
      <c r="B15" s="13" t="s">
        <v>5083</v>
      </c>
      <c r="C15" s="13" t="s">
        <v>66</v>
      </c>
      <c r="D15" s="65">
        <v>13</v>
      </c>
      <c r="E15" s="13" t="s">
        <v>32</v>
      </c>
      <c r="F15" s="13" t="s">
        <v>5084</v>
      </c>
      <c r="G15" s="13" t="s">
        <v>5085</v>
      </c>
      <c r="H15" s="13"/>
      <c r="I15" s="13"/>
      <c r="J15" s="13"/>
      <c r="K15" s="13"/>
      <c r="L15" s="13"/>
      <c r="M15" s="13"/>
      <c r="N15" s="13"/>
      <c r="O15" s="13"/>
      <c r="P15" s="13"/>
      <c r="Q15" s="13"/>
      <c r="R15" s="13"/>
      <c r="S15" s="13"/>
      <c r="T15" s="13"/>
      <c r="U15" s="13"/>
      <c r="V15" s="2"/>
      <c r="W15" s="2"/>
      <c r="X15" s="2"/>
      <c r="Y15" s="2"/>
      <c r="Z15" s="2"/>
      <c r="AA15" s="2"/>
      <c r="AB15" s="2"/>
      <c r="AC15" s="2"/>
      <c r="AD15" s="2"/>
      <c r="AE15" s="2"/>
    </row>
    <row r="16" customHeight="1" spans="1:31">
      <c r="A16" s="64" t="s">
        <v>69</v>
      </c>
      <c r="B16" s="13" t="s">
        <v>5086</v>
      </c>
      <c r="C16" s="13" t="s">
        <v>66</v>
      </c>
      <c r="D16" s="65">
        <v>12</v>
      </c>
      <c r="E16" s="13" t="s">
        <v>71</v>
      </c>
      <c r="F16" s="13" t="s">
        <v>5087</v>
      </c>
      <c r="G16" s="13" t="s">
        <v>5088</v>
      </c>
      <c r="H16" s="13"/>
      <c r="I16" s="13"/>
      <c r="J16" s="13"/>
      <c r="K16" s="13"/>
      <c r="L16" s="13"/>
      <c r="M16" s="13"/>
      <c r="N16" s="13"/>
      <c r="O16" s="13"/>
      <c r="P16" s="13"/>
      <c r="Q16" s="13"/>
      <c r="R16" s="13"/>
      <c r="S16" s="13"/>
      <c r="T16" s="13"/>
      <c r="U16" s="13"/>
      <c r="V16" s="2"/>
      <c r="W16" s="2"/>
      <c r="X16" s="2"/>
      <c r="Y16" s="2"/>
      <c r="Z16" s="2"/>
      <c r="AA16" s="2"/>
      <c r="AB16" s="2"/>
      <c r="AC16" s="2"/>
      <c r="AD16" s="2"/>
      <c r="AE16" s="2"/>
    </row>
    <row r="17" customHeight="1" spans="1:31">
      <c r="A17" s="13" t="s">
        <v>74</v>
      </c>
      <c r="B17" s="13" t="s">
        <v>5089</v>
      </c>
      <c r="C17" s="13" t="s">
        <v>76</v>
      </c>
      <c r="D17" s="57"/>
      <c r="E17" s="57"/>
      <c r="F17" s="13" t="s">
        <v>5090</v>
      </c>
      <c r="G17" s="13" t="s">
        <v>5091</v>
      </c>
      <c r="H17" s="13"/>
      <c r="I17" s="13"/>
      <c r="J17" s="13"/>
      <c r="K17" s="13"/>
      <c r="L17" s="13"/>
      <c r="M17" s="13"/>
      <c r="N17" s="13"/>
      <c r="O17" s="13"/>
      <c r="P17" s="13"/>
      <c r="Q17" s="13"/>
      <c r="R17" s="13"/>
      <c r="S17" s="13"/>
      <c r="T17" s="13"/>
      <c r="U17" s="13"/>
      <c r="V17" s="2"/>
      <c r="W17" s="2"/>
      <c r="X17" s="2"/>
      <c r="Y17" s="2"/>
      <c r="Z17" s="2"/>
      <c r="AA17" s="2"/>
      <c r="AB17" s="2"/>
      <c r="AC17" s="2"/>
      <c r="AD17" s="2"/>
      <c r="AE17" s="2"/>
    </row>
    <row r="18" customHeight="1" spans="1:31">
      <c r="A18" s="64" t="s">
        <v>79</v>
      </c>
      <c r="B18" s="13" t="s">
        <v>915</v>
      </c>
      <c r="C18" s="13" t="s">
        <v>915</v>
      </c>
      <c r="D18" s="65">
        <v>30</v>
      </c>
      <c r="E18" s="13" t="s">
        <v>37</v>
      </c>
      <c r="F18" s="13" t="s">
        <v>5092</v>
      </c>
      <c r="G18" s="13" t="s">
        <v>5092</v>
      </c>
      <c r="H18" s="13"/>
      <c r="I18" s="13"/>
      <c r="J18" s="13"/>
      <c r="K18" s="13"/>
      <c r="L18" s="13"/>
      <c r="M18" s="13"/>
      <c r="N18" s="13"/>
      <c r="O18" s="13"/>
      <c r="P18" s="13"/>
      <c r="Q18" s="13"/>
      <c r="R18" s="13"/>
      <c r="S18" s="13"/>
      <c r="T18" s="13"/>
      <c r="U18" s="13"/>
      <c r="V18" s="2"/>
      <c r="W18" s="2"/>
      <c r="X18" s="2"/>
      <c r="Y18" s="2"/>
      <c r="Z18" s="2"/>
      <c r="AA18" s="2"/>
      <c r="AB18" s="2"/>
      <c r="AC18" s="2"/>
      <c r="AD18" s="2"/>
      <c r="AE18" s="2"/>
    </row>
    <row r="19" customHeight="1" spans="1:31">
      <c r="A19" s="13" t="s">
        <v>84</v>
      </c>
      <c r="B19" s="13" t="s">
        <v>5093</v>
      </c>
      <c r="C19" s="13" t="s">
        <v>86</v>
      </c>
      <c r="D19" s="14">
        <v>134</v>
      </c>
      <c r="E19" s="13" t="s">
        <v>21</v>
      </c>
      <c r="F19" s="13" t="s">
        <v>5094</v>
      </c>
      <c r="G19" s="13" t="s">
        <v>5095</v>
      </c>
      <c r="H19" s="13"/>
      <c r="I19" s="13"/>
      <c r="J19" s="13"/>
      <c r="K19" s="13"/>
      <c r="L19" s="13"/>
      <c r="M19" s="13"/>
      <c r="N19" s="13"/>
      <c r="O19" s="13"/>
      <c r="P19" s="13"/>
      <c r="Q19" s="13"/>
      <c r="R19" s="13"/>
      <c r="S19" s="13"/>
      <c r="T19" s="13"/>
      <c r="U19" s="13"/>
      <c r="V19" s="2"/>
      <c r="W19" s="2"/>
      <c r="X19" s="2"/>
      <c r="Y19" s="2"/>
      <c r="Z19" s="2"/>
      <c r="AA19" s="2"/>
      <c r="AB19" s="2"/>
      <c r="AC19" s="2"/>
      <c r="AD19" s="2"/>
      <c r="AE19" s="2"/>
    </row>
    <row r="20" customHeight="1" spans="1:31">
      <c r="A20" s="13" t="s">
        <v>89</v>
      </c>
      <c r="B20" s="13" t="s">
        <v>5096</v>
      </c>
      <c r="C20" s="13" t="s">
        <v>91</v>
      </c>
      <c r="D20" s="57"/>
      <c r="E20" s="57"/>
      <c r="F20" s="13" t="s">
        <v>5097</v>
      </c>
      <c r="G20" s="13" t="s">
        <v>5098</v>
      </c>
      <c r="H20" s="13"/>
      <c r="I20" s="13"/>
      <c r="J20" s="13"/>
      <c r="K20" s="13"/>
      <c r="L20" s="13"/>
      <c r="M20" s="13"/>
      <c r="N20" s="13"/>
      <c r="O20" s="13"/>
      <c r="P20" s="13"/>
      <c r="Q20" s="13"/>
      <c r="R20" s="13"/>
      <c r="S20" s="13"/>
      <c r="T20" s="13"/>
      <c r="U20" s="13"/>
      <c r="V20" s="2"/>
      <c r="W20" s="2"/>
      <c r="X20" s="2"/>
      <c r="Y20" s="2"/>
      <c r="Z20" s="2"/>
      <c r="AA20" s="2"/>
      <c r="AB20" s="2"/>
      <c r="AC20" s="2"/>
      <c r="AD20" s="2"/>
      <c r="AE20" s="2"/>
    </row>
    <row r="21" customHeight="1" spans="1:31">
      <c r="A21" s="64" t="s">
        <v>94</v>
      </c>
      <c r="B21" s="13" t="s">
        <v>5099</v>
      </c>
      <c r="C21" s="13" t="s">
        <v>925</v>
      </c>
      <c r="D21" s="65">
        <v>60</v>
      </c>
      <c r="E21" s="13" t="s">
        <v>71</v>
      </c>
      <c r="F21" s="13" t="s">
        <v>5100</v>
      </c>
      <c r="G21" s="13" t="s">
        <v>5101</v>
      </c>
      <c r="H21" s="13"/>
      <c r="I21" s="13"/>
      <c r="J21" s="13"/>
      <c r="K21" s="13"/>
      <c r="L21" s="13"/>
      <c r="M21" s="13"/>
      <c r="N21" s="13"/>
      <c r="O21" s="13"/>
      <c r="P21" s="13"/>
      <c r="Q21" s="13"/>
      <c r="R21" s="13"/>
      <c r="S21" s="13"/>
      <c r="T21" s="13"/>
      <c r="U21" s="13"/>
      <c r="V21" s="2"/>
      <c r="W21" s="2"/>
      <c r="X21" s="2"/>
      <c r="Y21" s="2"/>
      <c r="Z21" s="2"/>
      <c r="AA21" s="2"/>
      <c r="AB21" s="2"/>
      <c r="AC21" s="2"/>
      <c r="AD21" s="2"/>
      <c r="AE21" s="2"/>
    </row>
    <row r="22" customHeight="1" spans="1:31">
      <c r="A22" s="64" t="s">
        <v>99</v>
      </c>
      <c r="B22" s="13" t="s">
        <v>928</v>
      </c>
      <c r="C22" s="13" t="s">
        <v>925</v>
      </c>
      <c r="D22" s="65">
        <v>70</v>
      </c>
      <c r="E22" s="13" t="s">
        <v>32</v>
      </c>
      <c r="F22" s="13" t="s">
        <v>929</v>
      </c>
      <c r="G22" s="13" t="s">
        <v>5102</v>
      </c>
      <c r="H22" s="13"/>
      <c r="I22" s="13"/>
      <c r="J22" s="13"/>
      <c r="K22" s="13"/>
      <c r="L22" s="13"/>
      <c r="M22" s="13"/>
      <c r="N22" s="13"/>
      <c r="O22" s="13"/>
      <c r="P22" s="13"/>
      <c r="Q22" s="13"/>
      <c r="R22" s="13"/>
      <c r="S22" s="13"/>
      <c r="T22" s="13"/>
      <c r="U22" s="13"/>
      <c r="V22" s="2"/>
      <c r="W22" s="2"/>
      <c r="X22" s="2"/>
      <c r="Y22" s="2"/>
      <c r="Z22" s="2"/>
      <c r="AA22" s="2"/>
      <c r="AB22" s="2"/>
      <c r="AC22" s="2"/>
      <c r="AD22" s="2"/>
      <c r="AE22" s="2"/>
    </row>
    <row r="23" customHeight="1" spans="1:31">
      <c r="A23" s="64" t="s">
        <v>102</v>
      </c>
      <c r="B23" s="13" t="s">
        <v>16</v>
      </c>
      <c r="C23" s="13" t="s">
        <v>108</v>
      </c>
      <c r="D23" s="65">
        <v>123</v>
      </c>
      <c r="E23" s="13" t="s">
        <v>21</v>
      </c>
      <c r="F23" s="13" t="s">
        <v>109</v>
      </c>
      <c r="G23" s="13" t="s">
        <v>5059</v>
      </c>
      <c r="H23" s="13"/>
      <c r="I23" s="13"/>
      <c r="J23" s="13"/>
      <c r="K23" s="13"/>
      <c r="L23" s="13"/>
      <c r="M23" s="13"/>
      <c r="N23" s="13"/>
      <c r="O23" s="13"/>
      <c r="P23" s="13"/>
      <c r="Q23" s="13"/>
      <c r="R23" s="13"/>
      <c r="S23" s="13"/>
      <c r="T23" s="13"/>
      <c r="U23" s="13"/>
      <c r="V23" s="2"/>
      <c r="W23" s="2"/>
      <c r="X23" s="2"/>
      <c r="Y23" s="2"/>
      <c r="Z23" s="2"/>
      <c r="AA23" s="2"/>
      <c r="AB23" s="2"/>
      <c r="AC23" s="2"/>
      <c r="AD23" s="2"/>
      <c r="AE23" s="2"/>
    </row>
    <row r="24" customHeight="1" spans="1:31">
      <c r="A24" s="13" t="s">
        <v>107</v>
      </c>
      <c r="B24" s="13" t="s">
        <v>931</v>
      </c>
      <c r="C24" s="13" t="s">
        <v>104</v>
      </c>
      <c r="D24" s="57"/>
      <c r="E24" s="57"/>
      <c r="F24" s="13" t="s">
        <v>932</v>
      </c>
      <c r="G24" s="13" t="s">
        <v>5103</v>
      </c>
      <c r="H24" s="13"/>
      <c r="I24" s="13"/>
      <c r="J24" s="13"/>
      <c r="K24" s="13"/>
      <c r="L24" s="13"/>
      <c r="M24" s="13"/>
      <c r="N24" s="13"/>
      <c r="O24" s="13"/>
      <c r="P24" s="13"/>
      <c r="Q24" s="13"/>
      <c r="R24" s="13"/>
      <c r="S24" s="13"/>
      <c r="T24" s="13"/>
      <c r="U24" s="13"/>
      <c r="V24" s="2"/>
      <c r="W24" s="2"/>
      <c r="X24" s="2"/>
      <c r="Y24" s="2"/>
      <c r="Z24" s="2"/>
      <c r="AA24" s="2"/>
      <c r="AB24" s="2"/>
      <c r="AC24" s="2"/>
      <c r="AD24" s="2"/>
      <c r="AE24" s="2"/>
    </row>
    <row r="25" customHeight="1" spans="1:31">
      <c r="A25" s="13" t="s">
        <v>110</v>
      </c>
      <c r="B25" s="13" t="s">
        <v>5104</v>
      </c>
      <c r="C25" s="13" t="s">
        <v>112</v>
      </c>
      <c r="D25" s="57"/>
      <c r="E25" s="57"/>
      <c r="F25" s="13" t="s">
        <v>5105</v>
      </c>
      <c r="G25" s="13" t="s">
        <v>5106</v>
      </c>
      <c r="H25" s="13"/>
      <c r="I25" s="13"/>
      <c r="J25" s="13"/>
      <c r="K25" s="13"/>
      <c r="L25" s="13"/>
      <c r="M25" s="13"/>
      <c r="N25" s="13"/>
      <c r="O25" s="13"/>
      <c r="P25" s="13"/>
      <c r="Q25" s="13"/>
      <c r="R25" s="13"/>
      <c r="S25" s="13"/>
      <c r="T25" s="13"/>
      <c r="U25" s="13"/>
      <c r="V25" s="2"/>
      <c r="W25" s="2"/>
      <c r="X25" s="2"/>
      <c r="Y25" s="2"/>
      <c r="Z25" s="2"/>
      <c r="AA25" s="2"/>
      <c r="AB25" s="2"/>
      <c r="AC25" s="2"/>
      <c r="AD25" s="2"/>
      <c r="AE25" s="2"/>
    </row>
    <row r="26" customHeight="1" spans="1:31">
      <c r="A26" s="13" t="s">
        <v>115</v>
      </c>
      <c r="B26" s="13" t="s">
        <v>5107</v>
      </c>
      <c r="C26" s="13" t="s">
        <v>117</v>
      </c>
      <c r="D26" s="65">
        <v>90</v>
      </c>
      <c r="E26" s="13" t="s">
        <v>32</v>
      </c>
      <c r="F26" s="13" t="s">
        <v>5108</v>
      </c>
      <c r="G26" s="13" t="s">
        <v>5109</v>
      </c>
      <c r="H26" s="13"/>
      <c r="I26" s="13"/>
      <c r="J26" s="13"/>
      <c r="K26" s="13"/>
      <c r="L26" s="13"/>
      <c r="M26" s="13"/>
      <c r="N26" s="13"/>
      <c r="O26" s="13"/>
      <c r="P26" s="13"/>
      <c r="Q26" s="13"/>
      <c r="R26" s="13"/>
      <c r="S26" s="13"/>
      <c r="T26" s="13"/>
      <c r="U26" s="13"/>
      <c r="V26" s="2"/>
      <c r="W26" s="2"/>
      <c r="X26" s="2"/>
      <c r="Y26" s="2"/>
      <c r="Z26" s="2"/>
      <c r="AA26" s="2"/>
      <c r="AB26" s="2"/>
      <c r="AC26" s="2"/>
      <c r="AD26" s="2"/>
      <c r="AE26" s="2"/>
    </row>
    <row r="27" customHeight="1" spans="1:31">
      <c r="A27" s="64" t="s">
        <v>120</v>
      </c>
      <c r="B27" s="13" t="s">
        <v>5110</v>
      </c>
      <c r="C27" s="13" t="s">
        <v>117</v>
      </c>
      <c r="D27" s="65">
        <v>60</v>
      </c>
      <c r="E27" s="13" t="s">
        <v>37</v>
      </c>
      <c r="F27" s="13" t="s">
        <v>5111</v>
      </c>
      <c r="G27" s="13" t="s">
        <v>5112</v>
      </c>
      <c r="H27" s="13"/>
      <c r="I27" s="13"/>
      <c r="J27" s="13"/>
      <c r="K27" s="13"/>
      <c r="L27" s="13"/>
      <c r="M27" s="13"/>
      <c r="N27" s="13"/>
      <c r="O27" s="13"/>
      <c r="P27" s="13"/>
      <c r="Q27" s="13"/>
      <c r="R27" s="13"/>
      <c r="S27" s="13"/>
      <c r="T27" s="13"/>
      <c r="U27" s="13"/>
      <c r="V27" s="2"/>
      <c r="W27" s="2"/>
      <c r="X27" s="2"/>
      <c r="Y27" s="2"/>
      <c r="Z27" s="2"/>
      <c r="AA27" s="2"/>
      <c r="AB27" s="2"/>
      <c r="AC27" s="2"/>
      <c r="AD27" s="2"/>
      <c r="AE27" s="2"/>
    </row>
    <row r="28" customHeight="1" spans="1:31">
      <c r="A28" s="13" t="s">
        <v>123</v>
      </c>
      <c r="B28" s="13" t="s">
        <v>5113</v>
      </c>
      <c r="C28" s="13" t="s">
        <v>117</v>
      </c>
      <c r="D28" s="65">
        <v>80</v>
      </c>
      <c r="E28" s="13" t="s">
        <v>245</v>
      </c>
      <c r="F28" s="13" t="s">
        <v>5114</v>
      </c>
      <c r="G28" s="13" t="s">
        <v>5115</v>
      </c>
      <c r="H28" s="13"/>
      <c r="I28" s="13"/>
      <c r="J28" s="13"/>
      <c r="K28" s="13"/>
      <c r="L28" s="13"/>
      <c r="M28" s="13"/>
      <c r="N28" s="13"/>
      <c r="O28" s="13"/>
      <c r="P28" s="13"/>
      <c r="Q28" s="13"/>
      <c r="R28" s="13"/>
      <c r="S28" s="13"/>
      <c r="T28" s="13"/>
      <c r="U28" s="13"/>
      <c r="V28" s="2"/>
      <c r="W28" s="2"/>
      <c r="X28" s="2"/>
      <c r="Y28" s="2"/>
      <c r="Z28" s="2"/>
      <c r="AA28" s="2"/>
      <c r="AB28" s="2"/>
      <c r="AC28" s="2"/>
      <c r="AD28" s="2"/>
      <c r="AE28" s="2"/>
    </row>
    <row r="29" customHeight="1" spans="1:31">
      <c r="A29" s="64" t="s">
        <v>127</v>
      </c>
      <c r="B29" s="13" t="s">
        <v>5116</v>
      </c>
      <c r="C29" s="13" t="s">
        <v>117</v>
      </c>
      <c r="D29" s="65">
        <v>50</v>
      </c>
      <c r="E29" s="13" t="s">
        <v>37</v>
      </c>
      <c r="F29" s="13" t="s">
        <v>5117</v>
      </c>
      <c r="G29" s="13" t="s">
        <v>5118</v>
      </c>
      <c r="H29" s="13"/>
      <c r="I29" s="13"/>
      <c r="J29" s="13"/>
      <c r="K29" s="13"/>
      <c r="L29" s="13"/>
      <c r="M29" s="13"/>
      <c r="N29" s="13"/>
      <c r="O29" s="13"/>
      <c r="P29" s="13"/>
      <c r="Q29" s="13"/>
      <c r="R29" s="13"/>
      <c r="S29" s="13"/>
      <c r="T29" s="13"/>
      <c r="U29" s="13"/>
      <c r="V29" s="2"/>
      <c r="W29" s="2"/>
      <c r="X29" s="2"/>
      <c r="Y29" s="2"/>
      <c r="Z29" s="2"/>
      <c r="AA29" s="2"/>
      <c r="AB29" s="2"/>
      <c r="AC29" s="2"/>
      <c r="AD29" s="2"/>
      <c r="AE29" s="2"/>
    </row>
    <row r="30" customHeight="1" spans="1:31">
      <c r="A30" s="64" t="s">
        <v>131</v>
      </c>
      <c r="B30" s="13" t="s">
        <v>5119</v>
      </c>
      <c r="C30" s="13" t="s">
        <v>117</v>
      </c>
      <c r="D30" s="65">
        <v>50</v>
      </c>
      <c r="E30" s="13" t="s">
        <v>32</v>
      </c>
      <c r="F30" s="13" t="s">
        <v>5120</v>
      </c>
      <c r="G30" s="13" t="s">
        <v>5121</v>
      </c>
      <c r="H30" s="13"/>
      <c r="I30" s="13"/>
      <c r="J30" s="13"/>
      <c r="K30" s="13"/>
      <c r="L30" s="13"/>
      <c r="M30" s="13"/>
      <c r="N30" s="13"/>
      <c r="O30" s="13"/>
      <c r="P30" s="13"/>
      <c r="Q30" s="13"/>
      <c r="R30" s="13"/>
      <c r="S30" s="13"/>
      <c r="T30" s="13"/>
      <c r="U30" s="13"/>
      <c r="V30" s="2"/>
      <c r="W30" s="2"/>
      <c r="X30" s="2"/>
      <c r="Y30" s="2"/>
      <c r="Z30" s="2"/>
      <c r="AA30" s="2"/>
      <c r="AB30" s="2"/>
      <c r="AC30" s="2"/>
      <c r="AD30" s="2"/>
      <c r="AE30" s="2"/>
    </row>
    <row r="31" customHeight="1" spans="1:31">
      <c r="A31" s="64" t="s">
        <v>135</v>
      </c>
      <c r="B31" s="13" t="s">
        <v>3797</v>
      </c>
      <c r="C31" s="13" t="s">
        <v>117</v>
      </c>
      <c r="D31" s="65">
        <v>30</v>
      </c>
      <c r="E31" s="13" t="s">
        <v>32</v>
      </c>
      <c r="F31" s="13" t="s">
        <v>5122</v>
      </c>
      <c r="G31" s="13" t="s">
        <v>5123</v>
      </c>
      <c r="H31" s="13"/>
      <c r="I31" s="13"/>
      <c r="J31" s="13"/>
      <c r="K31" s="13"/>
      <c r="L31" s="13"/>
      <c r="M31" s="13"/>
      <c r="N31" s="13"/>
      <c r="O31" s="13"/>
      <c r="P31" s="13"/>
      <c r="Q31" s="13"/>
      <c r="R31" s="13"/>
      <c r="S31" s="13"/>
      <c r="T31" s="13"/>
      <c r="U31" s="13"/>
      <c r="V31" s="2"/>
      <c r="W31" s="2"/>
      <c r="X31" s="2"/>
      <c r="Y31" s="2"/>
      <c r="Z31" s="2"/>
      <c r="AA31" s="2"/>
      <c r="AB31" s="2"/>
      <c r="AC31" s="2"/>
      <c r="AD31" s="2"/>
      <c r="AE31" s="2"/>
    </row>
    <row r="32" customHeight="1" spans="1:31">
      <c r="A32" s="13" t="s">
        <v>139</v>
      </c>
      <c r="B32" s="13" t="s">
        <v>5124</v>
      </c>
      <c r="C32" s="13" t="s">
        <v>141</v>
      </c>
      <c r="D32" s="14">
        <v>55</v>
      </c>
      <c r="E32" s="13" t="s">
        <v>37</v>
      </c>
      <c r="F32" s="13" t="s">
        <v>5125</v>
      </c>
      <c r="G32" s="13" t="s">
        <v>5126</v>
      </c>
      <c r="H32" s="13"/>
      <c r="I32" s="13"/>
      <c r="J32" s="13"/>
      <c r="K32" s="13"/>
      <c r="L32" s="13"/>
      <c r="M32" s="13"/>
      <c r="N32" s="13"/>
      <c r="O32" s="13"/>
      <c r="P32" s="13"/>
      <c r="Q32" s="13"/>
      <c r="R32" s="13"/>
      <c r="S32" s="13"/>
      <c r="T32" s="13"/>
      <c r="U32" s="13"/>
      <c r="V32" s="2"/>
      <c r="W32" s="2"/>
      <c r="X32" s="2"/>
      <c r="Y32" s="2"/>
      <c r="Z32" s="2"/>
      <c r="AA32" s="2"/>
      <c r="AB32" s="2"/>
      <c r="AC32" s="2"/>
      <c r="AD32" s="2"/>
      <c r="AE32" s="2"/>
    </row>
    <row r="33" customHeight="1" spans="1:31">
      <c r="A33" s="13" t="s">
        <v>144</v>
      </c>
      <c r="B33" s="13" t="s">
        <v>5127</v>
      </c>
      <c r="C33" s="13" t="s">
        <v>146</v>
      </c>
      <c r="D33" s="57"/>
      <c r="E33" s="57"/>
      <c r="F33" s="13" t="s">
        <v>5128</v>
      </c>
      <c r="G33" s="13" t="s">
        <v>5129</v>
      </c>
      <c r="H33" s="13"/>
      <c r="I33" s="13"/>
      <c r="J33" s="13"/>
      <c r="K33" s="13"/>
      <c r="L33" s="13"/>
      <c r="M33" s="13"/>
      <c r="N33" s="13"/>
      <c r="O33" s="13"/>
      <c r="P33" s="13"/>
      <c r="Q33" s="13"/>
      <c r="R33" s="13"/>
      <c r="S33" s="13"/>
      <c r="T33" s="13"/>
      <c r="U33" s="13"/>
      <c r="V33" s="2"/>
      <c r="W33" s="2"/>
      <c r="X33" s="2"/>
      <c r="Y33" s="2"/>
      <c r="Z33" s="2"/>
      <c r="AA33" s="2"/>
      <c r="AB33" s="2"/>
      <c r="AC33" s="2"/>
      <c r="AD33" s="2"/>
      <c r="AE33" s="2"/>
    </row>
    <row r="34" customHeight="1" spans="1:31">
      <c r="A34" s="13" t="s">
        <v>149</v>
      </c>
      <c r="B34" s="13" t="s">
        <v>5130</v>
      </c>
      <c r="C34" s="13" t="s">
        <v>151</v>
      </c>
      <c r="D34" s="57"/>
      <c r="E34" s="57"/>
      <c r="F34" s="13" t="s">
        <v>4521</v>
      </c>
      <c r="G34" s="13" t="s">
        <v>5131</v>
      </c>
      <c r="H34" s="13"/>
      <c r="I34" s="13"/>
      <c r="J34" s="13"/>
      <c r="K34" s="13"/>
      <c r="L34" s="13"/>
      <c r="M34" s="13"/>
      <c r="N34" s="13"/>
      <c r="O34" s="13"/>
      <c r="P34" s="13"/>
      <c r="Q34" s="13"/>
      <c r="R34" s="13"/>
      <c r="S34" s="13"/>
      <c r="T34" s="13"/>
      <c r="U34" s="13"/>
      <c r="V34" s="2"/>
      <c r="W34" s="2"/>
      <c r="X34" s="2"/>
      <c r="Y34" s="2"/>
      <c r="Z34" s="2"/>
      <c r="AA34" s="2"/>
      <c r="AB34" s="2"/>
      <c r="AC34" s="2"/>
      <c r="AD34" s="2"/>
      <c r="AE34" s="2"/>
    </row>
    <row r="35" customHeight="1" spans="1:31">
      <c r="A35" s="64" t="s">
        <v>154</v>
      </c>
      <c r="B35" s="13" t="s">
        <v>5132</v>
      </c>
      <c r="C35" s="13" t="s">
        <v>156</v>
      </c>
      <c r="D35" s="65">
        <v>30</v>
      </c>
      <c r="E35" s="13" t="s">
        <v>37</v>
      </c>
      <c r="F35" s="13" t="s">
        <v>5133</v>
      </c>
      <c r="G35" s="13" t="s">
        <v>5134</v>
      </c>
      <c r="H35" s="13"/>
      <c r="I35" s="13"/>
      <c r="J35" s="13"/>
      <c r="K35" s="13"/>
      <c r="L35" s="13"/>
      <c r="M35" s="13"/>
      <c r="N35" s="13"/>
      <c r="O35" s="13"/>
      <c r="P35" s="13"/>
      <c r="Q35" s="13"/>
      <c r="R35" s="13"/>
      <c r="S35" s="13"/>
      <c r="T35" s="13"/>
      <c r="U35" s="13"/>
      <c r="V35" s="2"/>
      <c r="W35" s="2"/>
      <c r="X35" s="2"/>
      <c r="Y35" s="2"/>
      <c r="Z35" s="2"/>
      <c r="AA35" s="2"/>
      <c r="AB35" s="2"/>
      <c r="AC35" s="2"/>
      <c r="AD35" s="2"/>
      <c r="AE35" s="2"/>
    </row>
    <row r="36" customHeight="1" spans="1:31">
      <c r="A36" s="13" t="s">
        <v>159</v>
      </c>
      <c r="B36" s="13" t="s">
        <v>5135</v>
      </c>
      <c r="C36" s="13" t="s">
        <v>161</v>
      </c>
      <c r="D36" s="57"/>
      <c r="E36" s="57"/>
      <c r="F36" s="13" t="s">
        <v>5136</v>
      </c>
      <c r="G36" s="13" t="s">
        <v>5137</v>
      </c>
      <c r="H36" s="13"/>
      <c r="I36" s="13"/>
      <c r="J36" s="13"/>
      <c r="K36" s="13"/>
      <c r="L36" s="13"/>
      <c r="M36" s="13"/>
      <c r="N36" s="13"/>
      <c r="O36" s="13"/>
      <c r="P36" s="13"/>
      <c r="Q36" s="13"/>
      <c r="R36" s="13"/>
      <c r="S36" s="13"/>
      <c r="T36" s="13"/>
      <c r="U36" s="13"/>
      <c r="V36" s="2"/>
      <c r="W36" s="2"/>
      <c r="X36" s="2"/>
      <c r="Y36" s="2"/>
      <c r="Z36" s="2"/>
      <c r="AA36" s="2"/>
      <c r="AB36" s="2"/>
      <c r="AC36" s="2"/>
      <c r="AD36" s="2"/>
      <c r="AE36" s="2"/>
    </row>
    <row r="37" customHeight="1" spans="1:31">
      <c r="A37" s="13" t="s">
        <v>164</v>
      </c>
      <c r="B37" s="13" t="s">
        <v>5138</v>
      </c>
      <c r="C37" s="13" t="s">
        <v>166</v>
      </c>
      <c r="D37" s="57"/>
      <c r="E37" s="57"/>
      <c r="F37" s="13" t="s">
        <v>5139</v>
      </c>
      <c r="G37" s="13" t="s">
        <v>5140</v>
      </c>
      <c r="H37" s="13"/>
      <c r="I37" s="13"/>
      <c r="J37" s="13"/>
      <c r="K37" s="13"/>
      <c r="L37" s="13"/>
      <c r="M37" s="13"/>
      <c r="N37" s="13"/>
      <c r="O37" s="13"/>
      <c r="P37" s="13"/>
      <c r="Q37" s="13"/>
      <c r="R37" s="13"/>
      <c r="S37" s="13"/>
      <c r="T37" s="13"/>
      <c r="U37" s="13"/>
      <c r="V37" s="2"/>
      <c r="W37" s="2"/>
      <c r="X37" s="2"/>
      <c r="Y37" s="2"/>
      <c r="Z37" s="2"/>
      <c r="AA37" s="2"/>
      <c r="AB37" s="2"/>
      <c r="AC37" s="2"/>
      <c r="AD37" s="2"/>
      <c r="AE37" s="2"/>
    </row>
    <row r="38" customHeight="1" spans="1:31">
      <c r="A38" s="64" t="s">
        <v>169</v>
      </c>
      <c r="B38" s="13" t="s">
        <v>5141</v>
      </c>
      <c r="C38" s="13" t="s">
        <v>171</v>
      </c>
      <c r="D38" s="65">
        <v>46</v>
      </c>
      <c r="E38" s="13" t="s">
        <v>37</v>
      </c>
      <c r="F38" s="13" t="s">
        <v>5142</v>
      </c>
      <c r="G38" s="13" t="s">
        <v>5143</v>
      </c>
      <c r="H38" s="13"/>
      <c r="I38" s="13"/>
      <c r="J38" s="13"/>
      <c r="K38" s="13"/>
      <c r="L38" s="13"/>
      <c r="M38" s="13"/>
      <c r="N38" s="13"/>
      <c r="O38" s="13"/>
      <c r="P38" s="13"/>
      <c r="Q38" s="13"/>
      <c r="R38" s="13"/>
      <c r="S38" s="13"/>
      <c r="T38" s="13"/>
      <c r="U38" s="13"/>
      <c r="V38" s="2"/>
      <c r="W38" s="2"/>
      <c r="X38" s="2"/>
      <c r="Y38" s="2"/>
      <c r="Z38" s="2"/>
      <c r="AA38" s="2"/>
      <c r="AB38" s="2"/>
      <c r="AC38" s="2"/>
      <c r="AD38" s="2"/>
      <c r="AE38" s="2"/>
    </row>
    <row r="39" customHeight="1" spans="1:31">
      <c r="A39" s="64" t="s">
        <v>174</v>
      </c>
      <c r="B39" s="13" t="s">
        <v>5144</v>
      </c>
      <c r="C39" s="13" t="s">
        <v>171</v>
      </c>
      <c r="D39" s="65">
        <v>30</v>
      </c>
      <c r="E39" s="13" t="s">
        <v>37</v>
      </c>
      <c r="F39" s="13" t="s">
        <v>5145</v>
      </c>
      <c r="G39" s="13" t="s">
        <v>5146</v>
      </c>
      <c r="H39" s="13"/>
      <c r="I39" s="13"/>
      <c r="J39" s="13"/>
      <c r="K39" s="13"/>
      <c r="L39" s="13"/>
      <c r="M39" s="13"/>
      <c r="N39" s="13"/>
      <c r="O39" s="13"/>
      <c r="P39" s="13"/>
      <c r="Q39" s="13"/>
      <c r="R39" s="13"/>
      <c r="S39" s="13"/>
      <c r="T39" s="13"/>
      <c r="U39" s="13"/>
      <c r="V39" s="2"/>
      <c r="W39" s="2"/>
      <c r="X39" s="2"/>
      <c r="Y39" s="2"/>
      <c r="Z39" s="2"/>
      <c r="AA39" s="2"/>
      <c r="AB39" s="2"/>
      <c r="AC39" s="2"/>
      <c r="AD39" s="2"/>
      <c r="AE39" s="2"/>
    </row>
    <row r="40" customHeight="1" spans="1:31">
      <c r="A40" s="64" t="s">
        <v>178</v>
      </c>
      <c r="B40" s="13" t="s">
        <v>5147</v>
      </c>
      <c r="C40" s="13" t="s">
        <v>180</v>
      </c>
      <c r="D40" s="65">
        <v>45</v>
      </c>
      <c r="E40" s="13" t="s">
        <v>37</v>
      </c>
      <c r="F40" s="149" t="s">
        <v>5148</v>
      </c>
      <c r="G40" s="13" t="s">
        <v>5149</v>
      </c>
      <c r="H40" s="13"/>
      <c r="I40" s="13"/>
      <c r="J40" s="13"/>
      <c r="K40" s="13"/>
      <c r="L40" s="13"/>
      <c r="M40" s="13"/>
      <c r="N40" s="13"/>
      <c r="O40" s="13"/>
      <c r="P40" s="13"/>
      <c r="Q40" s="13"/>
      <c r="R40" s="13"/>
      <c r="S40" s="13"/>
      <c r="T40" s="13"/>
      <c r="U40" s="13"/>
      <c r="V40" s="2"/>
      <c r="W40" s="2"/>
      <c r="X40" s="2"/>
      <c r="Y40" s="2"/>
      <c r="Z40" s="2"/>
      <c r="AA40" s="2"/>
      <c r="AB40" s="2"/>
      <c r="AC40" s="2"/>
      <c r="AD40" s="2"/>
      <c r="AE40" s="2"/>
    </row>
    <row r="41" customHeight="1" spans="1:31">
      <c r="A41" s="64" t="s">
        <v>183</v>
      </c>
      <c r="B41" s="13" t="s">
        <v>184</v>
      </c>
      <c r="C41" s="13" t="s">
        <v>185</v>
      </c>
      <c r="D41" s="65">
        <v>7</v>
      </c>
      <c r="E41" s="13" t="s">
        <v>37</v>
      </c>
      <c r="F41" s="13" t="s">
        <v>186</v>
      </c>
      <c r="G41" s="13" t="s">
        <v>5150</v>
      </c>
      <c r="H41" s="13"/>
      <c r="I41" s="13"/>
      <c r="J41" s="13"/>
      <c r="K41" s="13"/>
      <c r="L41" s="13"/>
      <c r="M41" s="13"/>
      <c r="N41" s="13"/>
      <c r="O41" s="13"/>
      <c r="P41" s="13"/>
      <c r="Q41" s="13"/>
      <c r="R41" s="13"/>
      <c r="S41" s="13"/>
      <c r="T41" s="13"/>
      <c r="U41" s="13"/>
      <c r="V41" s="2"/>
      <c r="W41" s="2"/>
      <c r="X41" s="2"/>
      <c r="Y41" s="2"/>
      <c r="Z41" s="2"/>
      <c r="AA41" s="2"/>
      <c r="AB41" s="2"/>
      <c r="AC41" s="2"/>
      <c r="AD41" s="2"/>
      <c r="AE41" s="2"/>
    </row>
    <row r="42" customHeight="1" spans="1:31">
      <c r="A42" s="64" t="s">
        <v>188</v>
      </c>
      <c r="B42" s="13" t="s">
        <v>5151</v>
      </c>
      <c r="C42" s="13" t="s">
        <v>190</v>
      </c>
      <c r="D42" s="65">
        <v>650</v>
      </c>
      <c r="E42" s="13" t="s">
        <v>37</v>
      </c>
      <c r="F42" s="13" t="s">
        <v>5152</v>
      </c>
      <c r="G42" s="13" t="s">
        <v>5153</v>
      </c>
      <c r="H42" s="13"/>
      <c r="I42" s="13"/>
      <c r="J42" s="13"/>
      <c r="K42" s="13"/>
      <c r="L42" s="13"/>
      <c r="M42" s="13"/>
      <c r="N42" s="13"/>
      <c r="O42" s="13"/>
      <c r="P42" s="13"/>
      <c r="Q42" s="13"/>
      <c r="R42" s="13"/>
      <c r="S42" s="13"/>
      <c r="T42" s="13"/>
      <c r="U42" s="13"/>
      <c r="V42" s="2"/>
      <c r="W42" s="2"/>
      <c r="X42" s="2"/>
      <c r="Y42" s="2"/>
      <c r="Z42" s="2"/>
      <c r="AA42" s="2"/>
      <c r="AB42" s="2"/>
      <c r="AC42" s="2"/>
      <c r="AD42" s="2"/>
      <c r="AE42" s="2"/>
    </row>
    <row r="43" customHeight="1" spans="1:31">
      <c r="A43" s="13" t="s">
        <v>193</v>
      </c>
      <c r="B43" s="13" t="s">
        <v>5154</v>
      </c>
      <c r="C43" s="13" t="s">
        <v>195</v>
      </c>
      <c r="D43" s="57"/>
      <c r="E43" s="57"/>
      <c r="F43" s="13" t="s">
        <v>5155</v>
      </c>
      <c r="G43" s="13" t="s">
        <v>5156</v>
      </c>
      <c r="H43" s="13"/>
      <c r="I43" s="13"/>
      <c r="J43" s="13"/>
      <c r="K43" s="13"/>
      <c r="L43" s="13"/>
      <c r="M43" s="13"/>
      <c r="N43" s="13"/>
      <c r="O43" s="13"/>
      <c r="P43" s="13"/>
      <c r="Q43" s="13"/>
      <c r="R43" s="13"/>
      <c r="S43" s="13"/>
      <c r="T43" s="13"/>
      <c r="U43" s="13"/>
      <c r="V43" s="2"/>
      <c r="W43" s="2"/>
      <c r="X43" s="2"/>
      <c r="Y43" s="2"/>
      <c r="Z43" s="2"/>
      <c r="AA43" s="2"/>
      <c r="AB43" s="2"/>
      <c r="AC43" s="2"/>
      <c r="AD43" s="2"/>
      <c r="AE43" s="2"/>
    </row>
    <row r="44" customHeight="1" spans="1:31">
      <c r="A44" s="64" t="s">
        <v>198</v>
      </c>
      <c r="B44" s="13" t="s">
        <v>5157</v>
      </c>
      <c r="C44" s="13" t="s">
        <v>200</v>
      </c>
      <c r="D44" s="65">
        <v>30</v>
      </c>
      <c r="E44" s="13" t="s">
        <v>21</v>
      </c>
      <c r="F44" s="13" t="s">
        <v>5158</v>
      </c>
      <c r="G44" s="13" t="s">
        <v>5159</v>
      </c>
      <c r="H44" s="13"/>
      <c r="I44" s="13"/>
      <c r="J44" s="13"/>
      <c r="K44" s="13"/>
      <c r="L44" s="13"/>
      <c r="M44" s="13"/>
      <c r="N44" s="13"/>
      <c r="O44" s="13"/>
      <c r="P44" s="13"/>
      <c r="Q44" s="13"/>
      <c r="R44" s="13"/>
      <c r="S44" s="13"/>
      <c r="T44" s="13"/>
      <c r="U44" s="13"/>
      <c r="V44" s="2"/>
      <c r="W44" s="2"/>
      <c r="X44" s="2"/>
      <c r="Y44" s="2"/>
      <c r="Z44" s="2"/>
      <c r="AA44" s="2"/>
      <c r="AB44" s="2"/>
      <c r="AC44" s="2"/>
      <c r="AD44" s="2"/>
      <c r="AE44" s="2"/>
    </row>
    <row r="45" customHeight="1" spans="1:31">
      <c r="A45" s="13" t="s">
        <v>203</v>
      </c>
      <c r="B45" s="13" t="s">
        <v>5160</v>
      </c>
      <c r="C45" s="13" t="s">
        <v>200</v>
      </c>
      <c r="D45" s="14">
        <v>80</v>
      </c>
      <c r="E45" s="13" t="s">
        <v>21</v>
      </c>
      <c r="F45" s="13" t="s">
        <v>5161</v>
      </c>
      <c r="G45" s="13" t="s">
        <v>5162</v>
      </c>
      <c r="H45" s="13"/>
      <c r="I45" s="13"/>
      <c r="J45" s="13"/>
      <c r="K45" s="13"/>
      <c r="L45" s="13"/>
      <c r="M45" s="13"/>
      <c r="N45" s="13"/>
      <c r="O45" s="13"/>
      <c r="P45" s="13"/>
      <c r="Q45" s="13"/>
      <c r="R45" s="13"/>
      <c r="S45" s="13"/>
      <c r="T45" s="13"/>
      <c r="U45" s="13"/>
      <c r="V45" s="2"/>
      <c r="W45" s="2"/>
      <c r="X45" s="2"/>
      <c r="Y45" s="2"/>
      <c r="Z45" s="2"/>
      <c r="AA45" s="2"/>
      <c r="AB45" s="2"/>
      <c r="AC45" s="2"/>
      <c r="AD45" s="2"/>
      <c r="AE45" s="2"/>
    </row>
    <row r="46" customHeight="1" spans="1:31">
      <c r="A46" s="64" t="s">
        <v>207</v>
      </c>
      <c r="B46" s="13" t="s">
        <v>5163</v>
      </c>
      <c r="C46" s="13" t="s">
        <v>209</v>
      </c>
      <c r="D46" s="65">
        <v>5</v>
      </c>
      <c r="E46" s="13" t="s">
        <v>37</v>
      </c>
      <c r="F46" s="13" t="s">
        <v>5164</v>
      </c>
      <c r="G46" s="13" t="s">
        <v>5165</v>
      </c>
      <c r="H46" s="13"/>
      <c r="I46" s="13"/>
      <c r="J46" s="13"/>
      <c r="K46" s="13"/>
      <c r="L46" s="13"/>
      <c r="M46" s="13"/>
      <c r="N46" s="13"/>
      <c r="O46" s="13"/>
      <c r="P46" s="13"/>
      <c r="Q46" s="13"/>
      <c r="R46" s="13"/>
      <c r="S46" s="13"/>
      <c r="T46" s="13"/>
      <c r="U46" s="13"/>
      <c r="V46" s="2"/>
      <c r="W46" s="2"/>
      <c r="X46" s="2"/>
      <c r="Y46" s="2"/>
      <c r="Z46" s="2"/>
      <c r="AA46" s="2"/>
      <c r="AB46" s="2"/>
      <c r="AC46" s="2"/>
      <c r="AD46" s="2"/>
      <c r="AE46" s="2"/>
    </row>
    <row r="47" customHeight="1" spans="1:31">
      <c r="A47" s="13" t="s">
        <v>212</v>
      </c>
      <c r="B47" s="13" t="s">
        <v>5166</v>
      </c>
      <c r="C47" s="13" t="s">
        <v>214</v>
      </c>
      <c r="D47" s="14">
        <v>20</v>
      </c>
      <c r="E47" s="13" t="s">
        <v>37</v>
      </c>
      <c r="F47" s="13" t="s">
        <v>5167</v>
      </c>
      <c r="G47" s="13" t="s">
        <v>5168</v>
      </c>
      <c r="H47" s="13"/>
      <c r="I47" s="13"/>
      <c r="J47" s="13"/>
      <c r="K47" s="13"/>
      <c r="L47" s="13"/>
      <c r="M47" s="13"/>
      <c r="N47" s="13"/>
      <c r="O47" s="13"/>
      <c r="P47" s="13"/>
      <c r="Q47" s="13"/>
      <c r="R47" s="13"/>
      <c r="S47" s="13"/>
      <c r="T47" s="13"/>
      <c r="U47" s="13"/>
      <c r="V47" s="2"/>
      <c r="W47" s="2"/>
      <c r="X47" s="2"/>
      <c r="Y47" s="2"/>
      <c r="Z47" s="2"/>
      <c r="AA47" s="2"/>
      <c r="AB47" s="2"/>
      <c r="AC47" s="2"/>
      <c r="AD47" s="2"/>
      <c r="AE47" s="2"/>
    </row>
    <row r="48" customHeight="1" spans="1:31">
      <c r="A48" s="13" t="s">
        <v>217</v>
      </c>
      <c r="B48" s="13" t="s">
        <v>5169</v>
      </c>
      <c r="C48" s="13" t="s">
        <v>219</v>
      </c>
      <c r="D48" s="57"/>
      <c r="E48" s="57"/>
      <c r="F48" s="13" t="s">
        <v>5170</v>
      </c>
      <c r="G48" s="13" t="s">
        <v>5171</v>
      </c>
      <c r="H48" s="13"/>
      <c r="I48" s="13"/>
      <c r="J48" s="13"/>
      <c r="K48" s="13"/>
      <c r="L48" s="13"/>
      <c r="M48" s="13"/>
      <c r="N48" s="13"/>
      <c r="O48" s="13"/>
      <c r="P48" s="13"/>
      <c r="Q48" s="13"/>
      <c r="R48" s="13"/>
      <c r="S48" s="13"/>
      <c r="T48" s="13"/>
      <c r="U48" s="13"/>
      <c r="V48" s="2"/>
      <c r="W48" s="2"/>
      <c r="X48" s="2"/>
      <c r="Y48" s="2"/>
      <c r="Z48" s="2"/>
      <c r="AA48" s="2"/>
      <c r="AB48" s="2"/>
      <c r="AC48" s="2"/>
      <c r="AD48" s="2"/>
      <c r="AE48" s="2"/>
    </row>
    <row r="49" customHeight="1" spans="1:31">
      <c r="A49" s="13" t="s">
        <v>222</v>
      </c>
      <c r="B49" s="13" t="s">
        <v>5172</v>
      </c>
      <c r="C49" s="13" t="s">
        <v>224</v>
      </c>
      <c r="D49" s="14">
        <v>96</v>
      </c>
      <c r="E49" s="13" t="s">
        <v>21</v>
      </c>
      <c r="F49" s="13" t="s">
        <v>5173</v>
      </c>
      <c r="G49" s="13" t="s">
        <v>5174</v>
      </c>
      <c r="H49" s="13"/>
      <c r="I49" s="13"/>
      <c r="J49" s="13"/>
      <c r="K49" s="13"/>
      <c r="L49" s="13"/>
      <c r="M49" s="13"/>
      <c r="N49" s="13"/>
      <c r="O49" s="13"/>
      <c r="P49" s="13"/>
      <c r="Q49" s="13"/>
      <c r="R49" s="13"/>
      <c r="S49" s="13"/>
      <c r="T49" s="13"/>
      <c r="U49" s="13"/>
      <c r="V49" s="2"/>
      <c r="W49" s="2"/>
      <c r="X49" s="2"/>
      <c r="Y49" s="2"/>
      <c r="Z49" s="2"/>
      <c r="AA49" s="2"/>
      <c r="AB49" s="2"/>
      <c r="AC49" s="2"/>
      <c r="AD49" s="2"/>
      <c r="AE49" s="2"/>
    </row>
    <row r="50" customHeight="1" spans="1:31">
      <c r="A50" s="13" t="s">
        <v>227</v>
      </c>
      <c r="B50" s="13" t="s">
        <v>5175</v>
      </c>
      <c r="C50" s="13" t="s">
        <v>229</v>
      </c>
      <c r="D50" s="14">
        <v>66</v>
      </c>
      <c r="E50" s="13" t="s">
        <v>21</v>
      </c>
      <c r="F50" s="13" t="s">
        <v>5176</v>
      </c>
      <c r="G50" s="13" t="s">
        <v>5177</v>
      </c>
      <c r="H50" s="13"/>
      <c r="I50" s="13"/>
      <c r="J50" s="13"/>
      <c r="K50" s="13"/>
      <c r="L50" s="13"/>
      <c r="M50" s="13"/>
      <c r="N50" s="13"/>
      <c r="O50" s="13"/>
      <c r="P50" s="13"/>
      <c r="Q50" s="13"/>
      <c r="R50" s="13"/>
      <c r="S50" s="13"/>
      <c r="T50" s="13"/>
      <c r="U50" s="13"/>
      <c r="V50" s="2"/>
      <c r="W50" s="2"/>
      <c r="X50" s="2"/>
      <c r="Y50" s="2"/>
      <c r="Z50" s="2"/>
      <c r="AA50" s="2"/>
      <c r="AB50" s="2"/>
      <c r="AC50" s="2"/>
      <c r="AD50" s="2"/>
      <c r="AE50" s="2"/>
    </row>
    <row r="51" customHeight="1" spans="1:31">
      <c r="A51" s="13" t="s">
        <v>231</v>
      </c>
      <c r="B51" s="13" t="s">
        <v>5178</v>
      </c>
      <c r="C51" s="13" t="s">
        <v>224</v>
      </c>
      <c r="D51" s="14">
        <v>156</v>
      </c>
      <c r="E51" s="13" t="s">
        <v>21</v>
      </c>
      <c r="F51" s="13" t="s">
        <v>5179</v>
      </c>
      <c r="G51" s="13" t="s">
        <v>5180</v>
      </c>
      <c r="H51" s="13"/>
      <c r="I51" s="13"/>
      <c r="J51" s="13"/>
      <c r="K51" s="13"/>
      <c r="L51" s="13"/>
      <c r="M51" s="13"/>
      <c r="N51" s="13"/>
      <c r="O51" s="13"/>
      <c r="P51" s="13"/>
      <c r="Q51" s="13"/>
      <c r="R51" s="13"/>
      <c r="S51" s="13"/>
      <c r="T51" s="13"/>
      <c r="U51" s="13"/>
      <c r="V51" s="2"/>
      <c r="W51" s="2"/>
      <c r="X51" s="2"/>
      <c r="Y51" s="2"/>
      <c r="Z51" s="2"/>
      <c r="AA51" s="2"/>
      <c r="AB51" s="2"/>
      <c r="AC51" s="2"/>
      <c r="AD51" s="2"/>
      <c r="AE51" s="2"/>
    </row>
    <row r="52" customHeight="1" spans="1:31">
      <c r="A52" s="64" t="s">
        <v>234</v>
      </c>
      <c r="B52" s="13" t="s">
        <v>5181</v>
      </c>
      <c r="C52" s="13" t="s">
        <v>236</v>
      </c>
      <c r="D52" s="65">
        <v>30</v>
      </c>
      <c r="E52" s="13" t="s">
        <v>37</v>
      </c>
      <c r="F52" s="13" t="s">
        <v>5182</v>
      </c>
      <c r="G52" s="149" t="s">
        <v>5183</v>
      </c>
      <c r="H52" s="149"/>
      <c r="I52" s="149"/>
      <c r="J52" s="149"/>
      <c r="K52" s="149"/>
      <c r="L52" s="149"/>
      <c r="M52" s="149"/>
      <c r="N52" s="149"/>
      <c r="O52" s="149"/>
      <c r="P52" s="149"/>
      <c r="Q52" s="149"/>
      <c r="R52" s="149"/>
      <c r="S52" s="149"/>
      <c r="T52" s="149"/>
      <c r="U52" s="149"/>
      <c r="V52" s="2"/>
      <c r="W52" s="2"/>
      <c r="X52" s="2"/>
      <c r="Y52" s="2"/>
      <c r="Z52" s="2"/>
      <c r="AA52" s="2"/>
      <c r="AB52" s="2"/>
      <c r="AC52" s="2"/>
      <c r="AD52" s="2"/>
      <c r="AE52" s="2"/>
    </row>
    <row r="53" customHeight="1" spans="1:31">
      <c r="A53" s="13" t="s">
        <v>239</v>
      </c>
      <c r="B53" s="13" t="s">
        <v>5184</v>
      </c>
      <c r="C53" s="13" t="s">
        <v>236</v>
      </c>
      <c r="D53" s="14">
        <v>230</v>
      </c>
      <c r="E53" s="13" t="s">
        <v>21</v>
      </c>
      <c r="F53" s="13" t="s">
        <v>5185</v>
      </c>
      <c r="G53" s="13" t="s">
        <v>5186</v>
      </c>
      <c r="H53" s="13"/>
      <c r="I53" s="13"/>
      <c r="J53" s="13"/>
      <c r="K53" s="13"/>
      <c r="L53" s="13"/>
      <c r="M53" s="13"/>
      <c r="N53" s="13"/>
      <c r="O53" s="13"/>
      <c r="P53" s="13"/>
      <c r="Q53" s="13"/>
      <c r="R53" s="13"/>
      <c r="S53" s="13"/>
      <c r="T53" s="13"/>
      <c r="U53" s="13"/>
      <c r="V53" s="2"/>
      <c r="W53" s="2"/>
      <c r="X53" s="2"/>
      <c r="Y53" s="2"/>
      <c r="Z53" s="2"/>
      <c r="AA53" s="2"/>
      <c r="AB53" s="2"/>
      <c r="AC53" s="2"/>
      <c r="AD53" s="2"/>
      <c r="AE53" s="2"/>
    </row>
    <row r="54" customHeight="1" spans="1:31">
      <c r="A54" s="13" t="s">
        <v>243</v>
      </c>
      <c r="B54" s="13" t="s">
        <v>5187</v>
      </c>
      <c r="C54" s="13" t="s">
        <v>236</v>
      </c>
      <c r="D54" s="14">
        <v>100</v>
      </c>
      <c r="E54" s="13" t="s">
        <v>245</v>
      </c>
      <c r="F54" s="149" t="s">
        <v>5188</v>
      </c>
      <c r="G54" s="149" t="s">
        <v>5189</v>
      </c>
      <c r="H54" s="149"/>
      <c r="I54" s="149"/>
      <c r="J54" s="149"/>
      <c r="K54" s="149"/>
      <c r="L54" s="149"/>
      <c r="M54" s="149"/>
      <c r="N54" s="149"/>
      <c r="O54" s="149"/>
      <c r="P54" s="149"/>
      <c r="Q54" s="149"/>
      <c r="R54" s="149"/>
      <c r="S54" s="149"/>
      <c r="T54" s="149"/>
      <c r="U54" s="149"/>
      <c r="V54" s="2"/>
      <c r="W54" s="2"/>
      <c r="X54" s="2"/>
      <c r="Y54" s="2"/>
      <c r="Z54" s="2"/>
      <c r="AA54" s="2"/>
      <c r="AB54" s="2"/>
      <c r="AC54" s="2"/>
      <c r="AD54" s="2"/>
      <c r="AE54" s="2"/>
    </row>
    <row r="55" customHeight="1" spans="1:31">
      <c r="A55" s="13" t="s">
        <v>248</v>
      </c>
      <c r="B55" s="13" t="s">
        <v>5190</v>
      </c>
      <c r="C55" s="13" t="s">
        <v>236</v>
      </c>
      <c r="D55" s="14">
        <v>100</v>
      </c>
      <c r="E55" s="13" t="s">
        <v>245</v>
      </c>
      <c r="F55" s="149" t="s">
        <v>5191</v>
      </c>
      <c r="G55" s="149" t="s">
        <v>5192</v>
      </c>
      <c r="H55" s="149"/>
      <c r="I55" s="149"/>
      <c r="J55" s="149"/>
      <c r="K55" s="149"/>
      <c r="L55" s="149"/>
      <c r="M55" s="149"/>
      <c r="N55" s="149"/>
      <c r="O55" s="149"/>
      <c r="P55" s="149"/>
      <c r="Q55" s="149"/>
      <c r="R55" s="149"/>
      <c r="S55" s="149"/>
      <c r="T55" s="149"/>
      <c r="U55" s="149"/>
      <c r="V55" s="2"/>
      <c r="W55" s="2"/>
      <c r="X55" s="2"/>
      <c r="Y55" s="2"/>
      <c r="Z55" s="2"/>
      <c r="AA55" s="2"/>
      <c r="AB55" s="2"/>
      <c r="AC55" s="2"/>
      <c r="AD55" s="2"/>
      <c r="AE55" s="2"/>
    </row>
    <row r="56" customHeight="1" spans="1:31">
      <c r="A56" s="64" t="s">
        <v>252</v>
      </c>
      <c r="B56" s="13" t="s">
        <v>5193</v>
      </c>
      <c r="C56" s="13" t="s">
        <v>236</v>
      </c>
      <c r="D56" s="65">
        <v>35</v>
      </c>
      <c r="E56" s="13" t="s">
        <v>37</v>
      </c>
      <c r="F56" s="13" t="s">
        <v>5194</v>
      </c>
      <c r="G56" s="13" t="s">
        <v>5195</v>
      </c>
      <c r="H56" s="13"/>
      <c r="I56" s="13"/>
      <c r="J56" s="13"/>
      <c r="K56" s="13"/>
      <c r="L56" s="13"/>
      <c r="M56" s="13"/>
      <c r="N56" s="13"/>
      <c r="O56" s="13"/>
      <c r="P56" s="13"/>
      <c r="Q56" s="13"/>
      <c r="R56" s="13"/>
      <c r="S56" s="13"/>
      <c r="T56" s="13"/>
      <c r="U56" s="13"/>
      <c r="V56" s="2"/>
      <c r="W56" s="2"/>
      <c r="X56" s="2"/>
      <c r="Y56" s="2"/>
      <c r="Z56" s="2"/>
      <c r="AA56" s="2"/>
      <c r="AB56" s="2"/>
      <c r="AC56" s="2"/>
      <c r="AD56" s="2"/>
      <c r="AE56" s="2"/>
    </row>
    <row r="57" customHeight="1" spans="1:31">
      <c r="A57" s="64" t="s">
        <v>256</v>
      </c>
      <c r="B57" s="13" t="s">
        <v>5196</v>
      </c>
      <c r="C57" s="13" t="s">
        <v>236</v>
      </c>
      <c r="D57" s="65">
        <v>40</v>
      </c>
      <c r="E57" s="13" t="s">
        <v>37</v>
      </c>
      <c r="F57" s="13" t="s">
        <v>5197</v>
      </c>
      <c r="G57" s="13" t="s">
        <v>5198</v>
      </c>
      <c r="H57" s="13"/>
      <c r="I57" s="13"/>
      <c r="J57" s="13"/>
      <c r="K57" s="13"/>
      <c r="L57" s="13"/>
      <c r="M57" s="13"/>
      <c r="N57" s="13"/>
      <c r="O57" s="13"/>
      <c r="P57" s="13"/>
      <c r="Q57" s="13"/>
      <c r="R57" s="13"/>
      <c r="S57" s="13"/>
      <c r="T57" s="13"/>
      <c r="U57" s="13"/>
      <c r="V57" s="2"/>
      <c r="W57" s="2"/>
      <c r="X57" s="2"/>
      <c r="Y57" s="2"/>
      <c r="Z57" s="2"/>
      <c r="AA57" s="2"/>
      <c r="AB57" s="2"/>
      <c r="AC57" s="2"/>
      <c r="AD57" s="2"/>
      <c r="AE57" s="2"/>
    </row>
    <row r="58" customHeight="1" spans="1:31">
      <c r="A58" s="64" t="s">
        <v>260</v>
      </c>
      <c r="B58" s="13" t="s">
        <v>261</v>
      </c>
      <c r="C58" s="13" t="s">
        <v>236</v>
      </c>
      <c r="D58" s="65">
        <v>8</v>
      </c>
      <c r="E58" s="13" t="s">
        <v>262</v>
      </c>
      <c r="F58" s="13" t="s">
        <v>263</v>
      </c>
      <c r="G58" s="13" t="s">
        <v>5199</v>
      </c>
      <c r="H58" s="13"/>
      <c r="I58" s="13"/>
      <c r="J58" s="13"/>
      <c r="K58" s="13"/>
      <c r="L58" s="13"/>
      <c r="M58" s="13"/>
      <c r="N58" s="13"/>
      <c r="O58" s="13"/>
      <c r="P58" s="13"/>
      <c r="Q58" s="13"/>
      <c r="R58" s="13"/>
      <c r="S58" s="13"/>
      <c r="T58" s="13"/>
      <c r="U58" s="13"/>
      <c r="V58" s="2"/>
      <c r="W58" s="2"/>
      <c r="X58" s="2"/>
      <c r="Y58" s="2"/>
      <c r="Z58" s="2"/>
      <c r="AA58" s="2"/>
      <c r="AB58" s="2"/>
      <c r="AC58" s="2"/>
      <c r="AD58" s="2"/>
      <c r="AE58" s="2"/>
    </row>
    <row r="59" customHeight="1" spans="1:31">
      <c r="A59" s="64" t="s">
        <v>265</v>
      </c>
      <c r="B59" s="13" t="s">
        <v>5200</v>
      </c>
      <c r="C59" s="13" t="s">
        <v>236</v>
      </c>
      <c r="D59" s="65">
        <v>30</v>
      </c>
      <c r="E59" s="13" t="s">
        <v>37</v>
      </c>
      <c r="F59" s="13" t="s">
        <v>5201</v>
      </c>
      <c r="G59" s="13" t="s">
        <v>5202</v>
      </c>
      <c r="H59" s="13"/>
      <c r="I59" s="13"/>
      <c r="J59" s="13"/>
      <c r="K59" s="13"/>
      <c r="L59" s="13"/>
      <c r="M59" s="13"/>
      <c r="N59" s="13"/>
      <c r="O59" s="13"/>
      <c r="P59" s="13"/>
      <c r="Q59" s="13"/>
      <c r="R59" s="13"/>
      <c r="S59" s="13"/>
      <c r="T59" s="13"/>
      <c r="U59" s="13"/>
      <c r="V59" s="2"/>
      <c r="W59" s="2"/>
      <c r="X59" s="2"/>
      <c r="Y59" s="2"/>
      <c r="Z59" s="2"/>
      <c r="AA59" s="2"/>
      <c r="AB59" s="2"/>
      <c r="AC59" s="2"/>
      <c r="AD59" s="2"/>
      <c r="AE59" s="2"/>
    </row>
    <row r="60" customHeight="1" spans="1:31">
      <c r="A60" s="64" t="s">
        <v>269</v>
      </c>
      <c r="B60" s="13" t="s">
        <v>5203</v>
      </c>
      <c r="C60" s="13" t="s">
        <v>236</v>
      </c>
      <c r="D60" s="65">
        <v>35</v>
      </c>
      <c r="E60" s="13" t="s">
        <v>37</v>
      </c>
      <c r="F60" s="13" t="s">
        <v>5204</v>
      </c>
      <c r="G60" s="13" t="s">
        <v>5205</v>
      </c>
      <c r="H60" s="13"/>
      <c r="I60" s="13"/>
      <c r="J60" s="13"/>
      <c r="K60" s="13"/>
      <c r="L60" s="13"/>
      <c r="M60" s="13"/>
      <c r="N60" s="13"/>
      <c r="O60" s="13"/>
      <c r="P60" s="13"/>
      <c r="Q60" s="13"/>
      <c r="R60" s="13"/>
      <c r="S60" s="13"/>
      <c r="T60" s="13"/>
      <c r="U60" s="13"/>
      <c r="V60" s="2"/>
      <c r="W60" s="2"/>
      <c r="X60" s="2"/>
      <c r="Y60" s="2"/>
      <c r="Z60" s="2"/>
      <c r="AA60" s="2"/>
      <c r="AB60" s="2"/>
      <c r="AC60" s="2"/>
      <c r="AD60" s="2"/>
      <c r="AE60" s="2"/>
    </row>
    <row r="61" customHeight="1" spans="1:31">
      <c r="A61" s="64" t="s">
        <v>273</v>
      </c>
      <c r="B61" s="13" t="s">
        <v>274</v>
      </c>
      <c r="C61" s="13" t="s">
        <v>236</v>
      </c>
      <c r="D61" s="65">
        <v>30</v>
      </c>
      <c r="E61" s="13" t="s">
        <v>32</v>
      </c>
      <c r="F61" s="13" t="s">
        <v>275</v>
      </c>
      <c r="G61" s="13" t="s">
        <v>5206</v>
      </c>
      <c r="H61" s="13"/>
      <c r="I61" s="13"/>
      <c r="J61" s="13"/>
      <c r="K61" s="13"/>
      <c r="L61" s="13"/>
      <c r="M61" s="13"/>
      <c r="N61" s="13"/>
      <c r="O61" s="13"/>
      <c r="P61" s="13"/>
      <c r="Q61" s="13"/>
      <c r="R61" s="13"/>
      <c r="S61" s="13"/>
      <c r="T61" s="13"/>
      <c r="U61" s="13"/>
      <c r="V61" s="2"/>
      <c r="W61" s="2"/>
      <c r="X61" s="2"/>
      <c r="Y61" s="2"/>
      <c r="Z61" s="2"/>
      <c r="AA61" s="2"/>
      <c r="AB61" s="2"/>
      <c r="AC61" s="2"/>
      <c r="AD61" s="2"/>
      <c r="AE61" s="2"/>
    </row>
    <row r="62" customHeight="1" spans="1:31">
      <c r="A62" s="64" t="s">
        <v>277</v>
      </c>
      <c r="B62" s="13" t="s">
        <v>5207</v>
      </c>
      <c r="C62" s="13" t="s">
        <v>236</v>
      </c>
      <c r="D62" s="65">
        <v>37</v>
      </c>
      <c r="E62" s="13" t="s">
        <v>37</v>
      </c>
      <c r="F62" s="13" t="s">
        <v>5208</v>
      </c>
      <c r="G62" s="13" t="s">
        <v>5209</v>
      </c>
      <c r="H62" s="13"/>
      <c r="I62" s="13"/>
      <c r="J62" s="13"/>
      <c r="K62" s="13"/>
      <c r="L62" s="13"/>
      <c r="M62" s="13"/>
      <c r="N62" s="13"/>
      <c r="O62" s="13"/>
      <c r="P62" s="13"/>
      <c r="Q62" s="13"/>
      <c r="R62" s="13"/>
      <c r="S62" s="13"/>
      <c r="T62" s="13"/>
      <c r="U62" s="13"/>
      <c r="V62" s="2"/>
      <c r="W62" s="2"/>
      <c r="X62" s="2"/>
      <c r="Y62" s="2"/>
      <c r="Z62" s="2"/>
      <c r="AA62" s="2"/>
      <c r="AB62" s="2"/>
      <c r="AC62" s="2"/>
      <c r="AD62" s="2"/>
      <c r="AE62" s="2"/>
    </row>
    <row r="63" customHeight="1" spans="1:31">
      <c r="A63" s="64" t="s">
        <v>281</v>
      </c>
      <c r="B63" s="13" t="s">
        <v>5210</v>
      </c>
      <c r="C63" s="13" t="s">
        <v>236</v>
      </c>
      <c r="D63" s="65">
        <v>40</v>
      </c>
      <c r="E63" s="13" t="s">
        <v>37</v>
      </c>
      <c r="F63" s="13" t="s">
        <v>5211</v>
      </c>
      <c r="G63" s="13" t="s">
        <v>5212</v>
      </c>
      <c r="H63" s="13"/>
      <c r="I63" s="13"/>
      <c r="J63" s="13"/>
      <c r="K63" s="13"/>
      <c r="L63" s="13"/>
      <c r="M63" s="13"/>
      <c r="N63" s="13"/>
      <c r="O63" s="13"/>
      <c r="P63" s="13"/>
      <c r="Q63" s="13"/>
      <c r="R63" s="13"/>
      <c r="S63" s="13"/>
      <c r="T63" s="13"/>
      <c r="U63" s="13"/>
      <c r="V63" s="2"/>
      <c r="W63" s="2"/>
      <c r="X63" s="2"/>
      <c r="Y63" s="2"/>
      <c r="Z63" s="2"/>
      <c r="AA63" s="2"/>
      <c r="AB63" s="2"/>
      <c r="AC63" s="2"/>
      <c r="AD63" s="2"/>
      <c r="AE63" s="2"/>
    </row>
    <row r="64" customHeight="1" spans="1:31">
      <c r="A64" s="13" t="s">
        <v>285</v>
      </c>
      <c r="B64" s="13" t="s">
        <v>5213</v>
      </c>
      <c r="C64" s="13" t="s">
        <v>286</v>
      </c>
      <c r="D64" s="14">
        <v>35</v>
      </c>
      <c r="E64" s="13" t="s">
        <v>37</v>
      </c>
      <c r="F64" s="13" t="s">
        <v>5214</v>
      </c>
      <c r="G64" s="13" t="s">
        <v>5215</v>
      </c>
      <c r="H64" s="13"/>
      <c r="I64" s="13"/>
      <c r="J64" s="13"/>
      <c r="K64" s="13"/>
      <c r="L64" s="13"/>
      <c r="M64" s="13"/>
      <c r="N64" s="13"/>
      <c r="O64" s="13"/>
      <c r="P64" s="13"/>
      <c r="Q64" s="13"/>
      <c r="R64" s="13"/>
      <c r="S64" s="13"/>
      <c r="T64" s="13"/>
      <c r="U64" s="13"/>
      <c r="V64" s="2"/>
      <c r="W64" s="2"/>
      <c r="X64" s="2"/>
      <c r="Y64" s="2"/>
      <c r="Z64" s="2"/>
      <c r="AA64" s="2"/>
      <c r="AB64" s="2"/>
      <c r="AC64" s="2"/>
      <c r="AD64" s="2"/>
      <c r="AE64" s="2"/>
    </row>
    <row r="65" customHeight="1" spans="1:31">
      <c r="A65" s="64" t="s">
        <v>288</v>
      </c>
      <c r="B65" s="13" t="s">
        <v>5216</v>
      </c>
      <c r="C65" s="13" t="s">
        <v>290</v>
      </c>
      <c r="D65" s="65">
        <v>300</v>
      </c>
      <c r="E65" s="13" t="s">
        <v>37</v>
      </c>
      <c r="F65" s="13" t="s">
        <v>5217</v>
      </c>
      <c r="G65" s="13" t="s">
        <v>5153</v>
      </c>
      <c r="H65" s="13"/>
      <c r="I65" s="13"/>
      <c r="J65" s="13"/>
      <c r="K65" s="13"/>
      <c r="L65" s="13"/>
      <c r="M65" s="13"/>
      <c r="N65" s="13"/>
      <c r="O65" s="13"/>
      <c r="P65" s="13"/>
      <c r="Q65" s="13"/>
      <c r="R65" s="13"/>
      <c r="S65" s="13"/>
      <c r="T65" s="13"/>
      <c r="U65" s="13"/>
      <c r="V65" s="2"/>
      <c r="W65" s="2"/>
      <c r="X65" s="2"/>
      <c r="Y65" s="2"/>
      <c r="Z65" s="2"/>
      <c r="AA65" s="2"/>
      <c r="AB65" s="2"/>
      <c r="AC65" s="2"/>
      <c r="AD65" s="2"/>
      <c r="AE65" s="2"/>
    </row>
    <row r="66" customHeight="1" spans="1:31">
      <c r="A66" s="64" t="s">
        <v>293</v>
      </c>
      <c r="B66" s="13" t="s">
        <v>4103</v>
      </c>
      <c r="C66" s="13" t="s">
        <v>290</v>
      </c>
      <c r="D66" s="65">
        <v>35</v>
      </c>
      <c r="E66" s="13" t="s">
        <v>37</v>
      </c>
      <c r="F66" s="68" t="str">
        <f>HYPERLINK("http://www.twyningstores.co.uk/js/plugins/imagemanager/files/instore/ourlogo_ENGLISH_COLOUR_LOGO_REF3_2.jpg","http://www.twyningstores.co.uk/js/plugins/imagemanager/files/instore/ourlogo_ENGLISH_COLOUR_LOGO_REF3_2.jpg")</f>
        <v>http://www.twyningstores.co.uk/js/plugins/imagemanager/files/instore/ourlogo_ENGLISH_COLOUR_LOGO_REF3_2.jpg</v>
      </c>
      <c r="G66" s="13" t="s">
        <v>5218</v>
      </c>
      <c r="H66" s="13"/>
      <c r="I66" s="13"/>
      <c r="J66" s="13"/>
      <c r="K66" s="13"/>
      <c r="L66" s="13"/>
      <c r="M66" s="13"/>
      <c r="N66" s="13"/>
      <c r="O66" s="13"/>
      <c r="P66" s="13"/>
      <c r="Q66" s="13"/>
      <c r="R66" s="13"/>
      <c r="S66" s="13"/>
      <c r="T66" s="13"/>
      <c r="U66" s="13"/>
      <c r="V66" s="2"/>
      <c r="W66" s="2"/>
      <c r="X66" s="2"/>
      <c r="Y66" s="2"/>
      <c r="Z66" s="2"/>
      <c r="AA66" s="2"/>
      <c r="AB66" s="2"/>
      <c r="AC66" s="2"/>
      <c r="AD66" s="2"/>
      <c r="AE66" s="2"/>
    </row>
    <row r="67" customHeight="1" spans="1:31">
      <c r="A67" s="13" t="s">
        <v>297</v>
      </c>
      <c r="B67" s="13" t="s">
        <v>5219</v>
      </c>
      <c r="C67" s="13" t="s">
        <v>1807</v>
      </c>
      <c r="D67" s="14">
        <v>1000</v>
      </c>
      <c r="E67" s="13" t="s">
        <v>37</v>
      </c>
      <c r="F67" s="13" t="s">
        <v>5220</v>
      </c>
      <c r="G67" s="13" t="s">
        <v>5221</v>
      </c>
      <c r="H67" s="13"/>
      <c r="I67" s="13"/>
      <c r="J67" s="13"/>
      <c r="K67" s="13"/>
      <c r="L67" s="13"/>
      <c r="M67" s="13"/>
      <c r="N67" s="13"/>
      <c r="O67" s="13"/>
      <c r="P67" s="13"/>
      <c r="Q67" s="13"/>
      <c r="R67" s="13"/>
      <c r="S67" s="13"/>
      <c r="T67" s="13"/>
      <c r="U67" s="13"/>
      <c r="V67" s="2"/>
      <c r="W67" s="2"/>
      <c r="X67" s="2"/>
      <c r="Y67" s="2"/>
      <c r="Z67" s="2"/>
      <c r="AA67" s="2"/>
      <c r="AB67" s="2"/>
      <c r="AC67" s="2"/>
      <c r="AD67" s="2"/>
      <c r="AE67" s="2"/>
    </row>
    <row r="68" customHeight="1" spans="1:31">
      <c r="A68" s="59" t="s">
        <v>302</v>
      </c>
      <c r="B68" s="59" t="s">
        <v>5222</v>
      </c>
      <c r="C68" s="59" t="s">
        <v>304</v>
      </c>
      <c r="D68" s="49"/>
      <c r="E68" s="49"/>
      <c r="F68" s="59" t="s">
        <v>5223</v>
      </c>
      <c r="G68" s="59" t="s">
        <v>5224</v>
      </c>
      <c r="H68" s="59"/>
      <c r="I68" s="59"/>
      <c r="J68" s="59"/>
      <c r="K68" s="59"/>
      <c r="L68" s="59"/>
      <c r="M68" s="59"/>
      <c r="N68" s="59"/>
      <c r="O68" s="59"/>
      <c r="P68" s="59"/>
      <c r="Q68" s="59"/>
      <c r="R68" s="59"/>
      <c r="S68" s="59"/>
      <c r="T68" s="59"/>
      <c r="U68" s="59"/>
      <c r="V68" s="2"/>
      <c r="W68" s="2"/>
      <c r="X68" s="2"/>
      <c r="Y68" s="2"/>
      <c r="Z68" s="2"/>
      <c r="AA68" s="2"/>
      <c r="AB68" s="2"/>
      <c r="AC68" s="2"/>
      <c r="AD68" s="2"/>
      <c r="AE68" s="2"/>
    </row>
    <row r="69" customHeight="1" spans="1:31">
      <c r="A69" s="70" t="s">
        <v>307</v>
      </c>
      <c r="B69" s="63" t="s">
        <v>5225</v>
      </c>
      <c r="C69" s="63" t="s">
        <v>309</v>
      </c>
      <c r="D69" s="71">
        <v>45</v>
      </c>
      <c r="E69" s="63" t="s">
        <v>310</v>
      </c>
      <c r="F69" s="63" t="s">
        <v>5226</v>
      </c>
      <c r="G69" s="63" t="s">
        <v>5227</v>
      </c>
      <c r="H69" s="63"/>
      <c r="I69" s="63"/>
      <c r="J69" s="63"/>
      <c r="K69" s="63"/>
      <c r="L69" s="63"/>
      <c r="M69" s="63"/>
      <c r="N69" s="63"/>
      <c r="O69" s="63"/>
      <c r="P69" s="63"/>
      <c r="Q69" s="63"/>
      <c r="R69" s="63"/>
      <c r="S69" s="63"/>
      <c r="T69" s="63"/>
      <c r="U69" s="63"/>
      <c r="V69" s="2"/>
      <c r="W69" s="2"/>
      <c r="X69" s="2"/>
      <c r="Y69" s="2"/>
      <c r="Z69" s="2"/>
      <c r="AA69" s="2"/>
      <c r="AB69" s="2"/>
      <c r="AC69" s="2"/>
      <c r="AD69" s="2"/>
      <c r="AE69" s="2"/>
    </row>
    <row r="70" customHeight="1" spans="1:31">
      <c r="A70" s="63" t="s">
        <v>313</v>
      </c>
      <c r="B70" s="13" t="s">
        <v>314</v>
      </c>
      <c r="C70" s="13" t="s">
        <v>315</v>
      </c>
      <c r="D70" s="65">
        <v>90</v>
      </c>
      <c r="E70" s="13" t="s">
        <v>32</v>
      </c>
      <c r="F70" s="13" t="s">
        <v>316</v>
      </c>
      <c r="G70" s="13" t="s">
        <v>5228</v>
      </c>
      <c r="H70" s="13"/>
      <c r="I70" s="13"/>
      <c r="J70" s="13"/>
      <c r="K70" s="13"/>
      <c r="L70" s="13"/>
      <c r="M70" s="13"/>
      <c r="N70" s="13"/>
      <c r="O70" s="13"/>
      <c r="P70" s="13"/>
      <c r="Q70" s="13"/>
      <c r="R70" s="13"/>
      <c r="S70" s="13"/>
      <c r="T70" s="13"/>
      <c r="U70" s="13"/>
      <c r="V70" s="2"/>
      <c r="W70" s="2"/>
      <c r="X70" s="2"/>
      <c r="Y70" s="2"/>
      <c r="Z70" s="2"/>
      <c r="AA70" s="2"/>
      <c r="AB70" s="2"/>
      <c r="AC70" s="2"/>
      <c r="AD70" s="2"/>
      <c r="AE70" s="2"/>
    </row>
    <row r="71" customHeight="1" spans="1:31">
      <c r="A71" s="13" t="s">
        <v>317</v>
      </c>
      <c r="B71" s="13" t="s">
        <v>5229</v>
      </c>
      <c r="C71" s="13" t="s">
        <v>319</v>
      </c>
      <c r="D71" s="65">
        <v>400</v>
      </c>
      <c r="E71" s="13" t="s">
        <v>245</v>
      </c>
      <c r="F71" s="13" t="s">
        <v>5230</v>
      </c>
      <c r="G71" s="13" t="s">
        <v>5231</v>
      </c>
      <c r="H71" s="13"/>
      <c r="I71" s="13"/>
      <c r="J71" s="13"/>
      <c r="K71" s="13"/>
      <c r="L71" s="13"/>
      <c r="M71" s="13"/>
      <c r="N71" s="13"/>
      <c r="O71" s="13"/>
      <c r="P71" s="13"/>
      <c r="Q71" s="13"/>
      <c r="R71" s="13"/>
      <c r="S71" s="13"/>
      <c r="T71" s="13"/>
      <c r="U71" s="13"/>
      <c r="V71" s="2"/>
      <c r="W71" s="2"/>
      <c r="X71" s="2"/>
      <c r="Y71" s="2"/>
      <c r="Z71" s="2"/>
      <c r="AA71" s="2"/>
      <c r="AB71" s="2"/>
      <c r="AC71" s="2"/>
      <c r="AD71" s="2"/>
      <c r="AE71" s="2"/>
    </row>
    <row r="72" customHeight="1" spans="1:31">
      <c r="A72" s="64" t="s">
        <v>321</v>
      </c>
      <c r="B72" s="13" t="s">
        <v>5232</v>
      </c>
      <c r="C72" s="13" t="s">
        <v>315</v>
      </c>
      <c r="D72" s="65">
        <v>13</v>
      </c>
      <c r="E72" s="13" t="s">
        <v>262</v>
      </c>
      <c r="F72" s="13" t="s">
        <v>5233</v>
      </c>
      <c r="G72" s="13" t="s">
        <v>5234</v>
      </c>
      <c r="H72" s="13"/>
      <c r="I72" s="13"/>
      <c r="J72" s="13"/>
      <c r="K72" s="13"/>
      <c r="L72" s="13"/>
      <c r="M72" s="13"/>
      <c r="N72" s="13"/>
      <c r="O72" s="13"/>
      <c r="P72" s="13"/>
      <c r="Q72" s="13"/>
      <c r="R72" s="13"/>
      <c r="S72" s="13"/>
      <c r="T72" s="13"/>
      <c r="U72" s="13"/>
      <c r="V72" s="2"/>
      <c r="W72" s="2"/>
      <c r="X72" s="2"/>
      <c r="Y72" s="2"/>
      <c r="Z72" s="2"/>
      <c r="AA72" s="2"/>
      <c r="AB72" s="2"/>
      <c r="AC72" s="2"/>
      <c r="AD72" s="2"/>
      <c r="AE72" s="2"/>
    </row>
    <row r="73" customHeight="1" spans="1:31">
      <c r="A73" s="13" t="s">
        <v>325</v>
      </c>
      <c r="B73" s="13" t="s">
        <v>5235</v>
      </c>
      <c r="C73" s="13" t="s">
        <v>327</v>
      </c>
      <c r="D73" s="14">
        <v>25</v>
      </c>
      <c r="E73" s="13" t="s">
        <v>310</v>
      </c>
      <c r="F73" s="13" t="s">
        <v>5236</v>
      </c>
      <c r="G73" s="13" t="s">
        <v>5237</v>
      </c>
      <c r="H73" s="13"/>
      <c r="I73" s="13"/>
      <c r="J73" s="13"/>
      <c r="K73" s="13"/>
      <c r="L73" s="13"/>
      <c r="M73" s="13"/>
      <c r="N73" s="13"/>
      <c r="O73" s="13"/>
      <c r="P73" s="13"/>
      <c r="Q73" s="13"/>
      <c r="R73" s="13"/>
      <c r="S73" s="13"/>
      <c r="T73" s="13"/>
      <c r="U73" s="13"/>
      <c r="V73" s="2"/>
      <c r="W73" s="2"/>
      <c r="X73" s="2"/>
      <c r="Y73" s="2"/>
      <c r="Z73" s="2"/>
      <c r="AA73" s="2"/>
      <c r="AB73" s="2"/>
      <c r="AC73" s="2"/>
      <c r="AD73" s="2"/>
      <c r="AE73" s="2"/>
    </row>
    <row r="74" customHeight="1" spans="1:31">
      <c r="A74" s="64" t="s">
        <v>330</v>
      </c>
      <c r="B74" s="13" t="s">
        <v>331</v>
      </c>
      <c r="C74" s="13" t="s">
        <v>315</v>
      </c>
      <c r="D74" s="65">
        <v>50</v>
      </c>
      <c r="E74" s="13" t="s">
        <v>37</v>
      </c>
      <c r="F74" s="13" t="s">
        <v>332</v>
      </c>
      <c r="G74" s="13" t="s">
        <v>2449</v>
      </c>
      <c r="H74" s="13"/>
      <c r="I74" s="13"/>
      <c r="J74" s="13"/>
      <c r="K74" s="13"/>
      <c r="L74" s="13"/>
      <c r="M74" s="13"/>
      <c r="N74" s="13"/>
      <c r="O74" s="13"/>
      <c r="P74" s="13"/>
      <c r="Q74" s="13"/>
      <c r="R74" s="13"/>
      <c r="S74" s="13"/>
      <c r="T74" s="13"/>
      <c r="U74" s="13"/>
      <c r="V74" s="2"/>
      <c r="W74" s="2"/>
      <c r="X74" s="2"/>
      <c r="Y74" s="2"/>
      <c r="Z74" s="2"/>
      <c r="AA74" s="2"/>
      <c r="AB74" s="2"/>
      <c r="AC74" s="2"/>
      <c r="AD74" s="2"/>
      <c r="AE74" s="2"/>
    </row>
    <row r="75" customHeight="1" spans="1:31">
      <c r="A75" s="150" t="s">
        <v>334</v>
      </c>
      <c r="B75" s="13" t="s">
        <v>335</v>
      </c>
      <c r="C75" s="13" t="s">
        <v>315</v>
      </c>
      <c r="D75" s="65">
        <v>50</v>
      </c>
      <c r="E75" s="13" t="s">
        <v>37</v>
      </c>
      <c r="F75" s="13" t="s">
        <v>336</v>
      </c>
      <c r="G75" s="101" t="s">
        <v>5238</v>
      </c>
      <c r="H75" s="101"/>
      <c r="I75" s="101"/>
      <c r="J75" s="101"/>
      <c r="K75" s="101"/>
      <c r="L75" s="101"/>
      <c r="M75" s="101"/>
      <c r="N75" s="101"/>
      <c r="O75" s="101"/>
      <c r="P75" s="101"/>
      <c r="Q75" s="101"/>
      <c r="R75" s="101"/>
      <c r="S75" s="101"/>
      <c r="T75" s="101"/>
      <c r="U75" s="101"/>
      <c r="V75" s="2"/>
      <c r="W75" s="2"/>
      <c r="X75" s="2"/>
      <c r="Y75" s="2"/>
      <c r="Z75" s="2"/>
      <c r="AA75" s="2"/>
      <c r="AB75" s="2"/>
      <c r="AC75" s="2"/>
      <c r="AD75" s="2"/>
      <c r="AE75" s="2"/>
    </row>
    <row r="76" customHeight="1" spans="1:31">
      <c r="A76" s="151" t="s">
        <v>338</v>
      </c>
      <c r="B76" s="13" t="s">
        <v>5239</v>
      </c>
      <c r="C76" s="13" t="s">
        <v>315</v>
      </c>
      <c r="D76" s="65">
        <v>125</v>
      </c>
      <c r="E76" s="13" t="s">
        <v>262</v>
      </c>
      <c r="F76" s="13" t="s">
        <v>5240</v>
      </c>
      <c r="G76" s="13" t="s">
        <v>5241</v>
      </c>
      <c r="H76" s="13"/>
      <c r="I76" s="13"/>
      <c r="J76" s="13"/>
      <c r="K76" s="13"/>
      <c r="L76" s="13"/>
      <c r="M76" s="13"/>
      <c r="N76" s="13"/>
      <c r="O76" s="13"/>
      <c r="P76" s="13"/>
      <c r="Q76" s="13"/>
      <c r="R76" s="13"/>
      <c r="S76" s="13"/>
      <c r="T76" s="13"/>
      <c r="U76" s="13"/>
      <c r="V76" s="2"/>
      <c r="W76" s="2"/>
      <c r="X76" s="2"/>
      <c r="Y76" s="2"/>
      <c r="Z76" s="2"/>
      <c r="AA76" s="2"/>
      <c r="AB76" s="2"/>
      <c r="AC76" s="2"/>
      <c r="AD76" s="2"/>
      <c r="AE76" s="2"/>
    </row>
    <row r="77" customHeight="1" spans="1:31">
      <c r="A77" s="64" t="s">
        <v>342</v>
      </c>
      <c r="B77" s="13" t="s">
        <v>343</v>
      </c>
      <c r="C77" s="13" t="s">
        <v>315</v>
      </c>
      <c r="D77" s="65">
        <v>45</v>
      </c>
      <c r="E77" s="13" t="s">
        <v>262</v>
      </c>
      <c r="F77" s="13" t="s">
        <v>344</v>
      </c>
      <c r="G77" s="13" t="s">
        <v>5242</v>
      </c>
      <c r="H77" s="13"/>
      <c r="I77" s="13"/>
      <c r="J77" s="13"/>
      <c r="K77" s="13"/>
      <c r="L77" s="13"/>
      <c r="M77" s="13"/>
      <c r="N77" s="13"/>
      <c r="O77" s="13"/>
      <c r="P77" s="13"/>
      <c r="Q77" s="13"/>
      <c r="R77" s="13"/>
      <c r="S77" s="13"/>
      <c r="T77" s="13"/>
      <c r="U77" s="13"/>
      <c r="V77" s="2"/>
      <c r="W77" s="2"/>
      <c r="X77" s="2"/>
      <c r="Y77" s="2"/>
      <c r="Z77" s="2"/>
      <c r="AA77" s="2"/>
      <c r="AB77" s="2"/>
      <c r="AC77" s="2"/>
      <c r="AD77" s="2"/>
      <c r="AE77" s="2"/>
    </row>
    <row r="78" customHeight="1" spans="1:31">
      <c r="A78" s="64" t="s">
        <v>346</v>
      </c>
      <c r="B78" s="13" t="s">
        <v>347</v>
      </c>
      <c r="C78" s="13" t="s">
        <v>315</v>
      </c>
      <c r="D78" s="65">
        <v>55</v>
      </c>
      <c r="E78" s="13" t="s">
        <v>37</v>
      </c>
      <c r="F78" s="13" t="s">
        <v>348</v>
      </c>
      <c r="G78" s="101" t="s">
        <v>5243</v>
      </c>
      <c r="H78" s="101"/>
      <c r="I78" s="101"/>
      <c r="J78" s="101"/>
      <c r="K78" s="101"/>
      <c r="L78" s="101"/>
      <c r="M78" s="101"/>
      <c r="N78" s="101"/>
      <c r="O78" s="101"/>
      <c r="P78" s="101"/>
      <c r="Q78" s="101"/>
      <c r="R78" s="101"/>
      <c r="S78" s="101"/>
      <c r="T78" s="101"/>
      <c r="U78" s="101"/>
      <c r="V78" s="2"/>
      <c r="W78" s="2"/>
      <c r="X78" s="2"/>
      <c r="Y78" s="2"/>
      <c r="Z78" s="2"/>
      <c r="AA78" s="2"/>
      <c r="AB78" s="2"/>
      <c r="AC78" s="2"/>
      <c r="AD78" s="2"/>
      <c r="AE78" s="2"/>
    </row>
    <row r="79" customHeight="1" spans="1:31">
      <c r="A79" s="64" t="s">
        <v>350</v>
      </c>
      <c r="B79" s="13" t="s">
        <v>351</v>
      </c>
      <c r="C79" s="13" t="s">
        <v>315</v>
      </c>
      <c r="D79" s="65">
        <v>20</v>
      </c>
      <c r="E79" s="13" t="s">
        <v>262</v>
      </c>
      <c r="F79" s="13" t="s">
        <v>352</v>
      </c>
      <c r="G79" s="13" t="s">
        <v>5244</v>
      </c>
      <c r="H79" s="13"/>
      <c r="I79" s="13"/>
      <c r="J79" s="13"/>
      <c r="K79" s="13"/>
      <c r="L79" s="13"/>
      <c r="M79" s="13"/>
      <c r="N79" s="13"/>
      <c r="O79" s="13"/>
      <c r="P79" s="13"/>
      <c r="Q79" s="13"/>
      <c r="R79" s="13"/>
      <c r="S79" s="13"/>
      <c r="T79" s="13"/>
      <c r="U79" s="13"/>
      <c r="V79" s="2"/>
      <c r="W79" s="2"/>
      <c r="X79" s="2"/>
      <c r="Y79" s="2"/>
      <c r="Z79" s="2"/>
      <c r="AA79" s="2"/>
      <c r="AB79" s="2"/>
      <c r="AC79" s="2"/>
      <c r="AD79" s="2"/>
      <c r="AE79" s="2"/>
    </row>
    <row r="80" customHeight="1" spans="1:31">
      <c r="A80" s="13" t="s">
        <v>354</v>
      </c>
      <c r="B80" s="13" t="s">
        <v>355</v>
      </c>
      <c r="C80" s="13" t="s">
        <v>356</v>
      </c>
      <c r="D80" s="65">
        <v>123</v>
      </c>
      <c r="E80" s="13" t="s">
        <v>310</v>
      </c>
      <c r="F80" s="13" t="s">
        <v>357</v>
      </c>
      <c r="G80" s="13" t="s">
        <v>5245</v>
      </c>
      <c r="H80" s="13"/>
      <c r="I80" s="13"/>
      <c r="J80" s="13"/>
      <c r="K80" s="13"/>
      <c r="L80" s="13"/>
      <c r="M80" s="13"/>
      <c r="N80" s="13"/>
      <c r="O80" s="13"/>
      <c r="P80" s="13"/>
      <c r="Q80" s="13"/>
      <c r="R80" s="13"/>
      <c r="S80" s="13"/>
      <c r="T80" s="13"/>
      <c r="U80" s="13"/>
      <c r="V80" s="2"/>
      <c r="W80" s="2"/>
      <c r="X80" s="2"/>
      <c r="Y80" s="2"/>
      <c r="Z80" s="2"/>
      <c r="AA80" s="2"/>
      <c r="AB80" s="2"/>
      <c r="AC80" s="2"/>
      <c r="AD80" s="2"/>
      <c r="AE80" s="2"/>
    </row>
    <row r="81" customHeight="1" spans="1:31">
      <c r="A81" s="13" t="s">
        <v>359</v>
      </c>
      <c r="B81" s="13" t="s">
        <v>5246</v>
      </c>
      <c r="C81" s="13" t="s">
        <v>361</v>
      </c>
      <c r="D81" s="65">
        <v>55</v>
      </c>
      <c r="E81" s="13" t="s">
        <v>310</v>
      </c>
      <c r="F81" s="13" t="s">
        <v>5247</v>
      </c>
      <c r="G81" s="13" t="s">
        <v>5248</v>
      </c>
      <c r="H81" s="13"/>
      <c r="I81" s="13"/>
      <c r="J81" s="13"/>
      <c r="K81" s="13"/>
      <c r="L81" s="13"/>
      <c r="M81" s="13"/>
      <c r="N81" s="13"/>
      <c r="O81" s="13"/>
      <c r="P81" s="13"/>
      <c r="Q81" s="13"/>
      <c r="R81" s="13"/>
      <c r="S81" s="13"/>
      <c r="T81" s="13"/>
      <c r="U81" s="13"/>
      <c r="V81" s="2"/>
      <c r="W81" s="2"/>
      <c r="X81" s="2"/>
      <c r="Y81" s="2"/>
      <c r="Z81" s="2"/>
      <c r="AA81" s="2"/>
      <c r="AB81" s="2"/>
      <c r="AC81" s="2"/>
      <c r="AD81" s="2"/>
      <c r="AE81" s="2"/>
    </row>
    <row r="82" customHeight="1" spans="1:31">
      <c r="A82" s="64" t="s">
        <v>364</v>
      </c>
      <c r="B82" s="13" t="s">
        <v>365</v>
      </c>
      <c r="C82" s="13" t="s">
        <v>366</v>
      </c>
      <c r="D82" s="65">
        <v>35</v>
      </c>
      <c r="E82" s="13" t="s">
        <v>262</v>
      </c>
      <c r="F82" s="13" t="s">
        <v>367</v>
      </c>
      <c r="G82" s="13" t="s">
        <v>5249</v>
      </c>
      <c r="H82" s="13"/>
      <c r="I82" s="13"/>
      <c r="J82" s="13"/>
      <c r="K82" s="13"/>
      <c r="L82" s="13"/>
      <c r="M82" s="13"/>
      <c r="N82" s="13"/>
      <c r="O82" s="13"/>
      <c r="P82" s="13"/>
      <c r="Q82" s="13"/>
      <c r="R82" s="13"/>
      <c r="S82" s="13"/>
      <c r="T82" s="13"/>
      <c r="U82" s="13"/>
      <c r="V82" s="2"/>
      <c r="W82" s="2"/>
      <c r="X82" s="2"/>
      <c r="Y82" s="2"/>
      <c r="Z82" s="2"/>
      <c r="AA82" s="2"/>
      <c r="AB82" s="2"/>
      <c r="AC82" s="2"/>
      <c r="AD82" s="2"/>
      <c r="AE82" s="2"/>
    </row>
    <row r="83" customHeight="1" spans="1:31">
      <c r="A83" s="64" t="s">
        <v>368</v>
      </c>
      <c r="B83" s="13" t="s">
        <v>369</v>
      </c>
      <c r="C83" s="13" t="s">
        <v>366</v>
      </c>
      <c r="D83" s="65">
        <v>30</v>
      </c>
      <c r="E83" s="13" t="s">
        <v>262</v>
      </c>
      <c r="F83" s="13" t="s">
        <v>370</v>
      </c>
      <c r="G83" s="68" t="str">
        <f>HYPERLINK("http://www.amazon.com/","http://www.amazon.com")</f>
        <v>http://www.amazon.com</v>
      </c>
      <c r="H83" s="13"/>
      <c r="I83" s="13"/>
      <c r="J83" s="13"/>
      <c r="K83" s="13"/>
      <c r="L83" s="13"/>
      <c r="M83" s="13"/>
      <c r="N83" s="13"/>
      <c r="O83" s="13"/>
      <c r="P83" s="13"/>
      <c r="Q83" s="13"/>
      <c r="R83" s="13"/>
      <c r="S83" s="13"/>
      <c r="T83" s="13"/>
      <c r="U83" s="13"/>
      <c r="V83" s="2"/>
      <c r="W83" s="2"/>
      <c r="X83" s="2"/>
      <c r="Y83" s="2"/>
      <c r="Z83" s="2"/>
      <c r="AA83" s="2"/>
      <c r="AB83" s="2"/>
      <c r="AC83" s="2"/>
      <c r="AD83" s="2"/>
      <c r="AE83" s="2"/>
    </row>
    <row r="84" customHeight="1" spans="1:31">
      <c r="A84" s="64" t="s">
        <v>371</v>
      </c>
      <c r="B84" s="13" t="s">
        <v>5250</v>
      </c>
      <c r="C84" s="13" t="s">
        <v>373</v>
      </c>
      <c r="D84" s="65">
        <v>35</v>
      </c>
      <c r="E84" s="13" t="s">
        <v>37</v>
      </c>
      <c r="F84" s="13" t="s">
        <v>5251</v>
      </c>
      <c r="G84" s="13" t="s">
        <v>5252</v>
      </c>
      <c r="H84" s="13"/>
      <c r="I84" s="13"/>
      <c r="J84" s="13"/>
      <c r="K84" s="13"/>
      <c r="L84" s="13"/>
      <c r="M84" s="13"/>
      <c r="N84" s="13"/>
      <c r="O84" s="13"/>
      <c r="P84" s="13"/>
      <c r="Q84" s="13"/>
      <c r="R84" s="13"/>
      <c r="S84" s="13"/>
      <c r="T84" s="13"/>
      <c r="U84" s="13"/>
      <c r="V84" s="2"/>
      <c r="W84" s="2"/>
      <c r="X84" s="2"/>
      <c r="Y84" s="2"/>
      <c r="Z84" s="2"/>
      <c r="AA84" s="2"/>
      <c r="AB84" s="2"/>
      <c r="AC84" s="2"/>
      <c r="AD84" s="2"/>
      <c r="AE84" s="2"/>
    </row>
    <row r="85" customHeight="1" spans="1:31">
      <c r="A85" s="64" t="s">
        <v>375</v>
      </c>
      <c r="B85" s="13" t="s">
        <v>5253</v>
      </c>
      <c r="C85" s="13" t="s">
        <v>373</v>
      </c>
      <c r="D85" s="65">
        <v>90</v>
      </c>
      <c r="E85" s="13" t="s">
        <v>37</v>
      </c>
      <c r="F85" s="13" t="s">
        <v>5254</v>
      </c>
      <c r="G85" s="13" t="s">
        <v>5255</v>
      </c>
      <c r="H85" s="13"/>
      <c r="I85" s="13"/>
      <c r="J85" s="13"/>
      <c r="K85" s="13"/>
      <c r="L85" s="13"/>
      <c r="M85" s="13"/>
      <c r="N85" s="13"/>
      <c r="O85" s="13"/>
      <c r="P85" s="13"/>
      <c r="Q85" s="13"/>
      <c r="R85" s="13"/>
      <c r="S85" s="13"/>
      <c r="T85" s="13"/>
      <c r="U85" s="13"/>
      <c r="V85" s="2"/>
      <c r="W85" s="2"/>
      <c r="X85" s="2"/>
      <c r="Y85" s="2"/>
      <c r="Z85" s="2"/>
      <c r="AA85" s="2"/>
      <c r="AB85" s="2"/>
      <c r="AC85" s="2"/>
      <c r="AD85" s="2"/>
      <c r="AE85" s="2"/>
    </row>
    <row r="86" customHeight="1" spans="1:31">
      <c r="A86" s="64" t="s">
        <v>379</v>
      </c>
      <c r="B86" s="13" t="s">
        <v>5256</v>
      </c>
      <c r="C86" s="13" t="s">
        <v>373</v>
      </c>
      <c r="D86" s="65">
        <v>66</v>
      </c>
      <c r="E86" s="13" t="s">
        <v>21</v>
      </c>
      <c r="F86" s="13" t="s">
        <v>5257</v>
      </c>
      <c r="G86" s="13" t="s">
        <v>5258</v>
      </c>
      <c r="H86" s="13"/>
      <c r="I86" s="13"/>
      <c r="J86" s="13"/>
      <c r="K86" s="13"/>
      <c r="L86" s="13"/>
      <c r="M86" s="13"/>
      <c r="N86" s="13"/>
      <c r="O86" s="13"/>
      <c r="P86" s="13"/>
      <c r="Q86" s="13"/>
      <c r="R86" s="13"/>
      <c r="S86" s="13"/>
      <c r="T86" s="13"/>
      <c r="U86" s="13"/>
      <c r="V86" s="2"/>
      <c r="W86" s="2"/>
      <c r="X86" s="2"/>
      <c r="Y86" s="2"/>
      <c r="Z86" s="2"/>
      <c r="AA86" s="2"/>
      <c r="AB86" s="2"/>
      <c r="AC86" s="2"/>
      <c r="AD86" s="2"/>
      <c r="AE86" s="2"/>
    </row>
    <row r="87" customHeight="1" spans="1:31">
      <c r="A87" s="13" t="s">
        <v>383</v>
      </c>
      <c r="B87" s="13" t="s">
        <v>5259</v>
      </c>
      <c r="C87" s="13" t="s">
        <v>373</v>
      </c>
      <c r="D87" s="65">
        <v>150</v>
      </c>
      <c r="E87" s="13" t="s">
        <v>310</v>
      </c>
      <c r="F87" s="13" t="s">
        <v>5260</v>
      </c>
      <c r="G87" s="13" t="s">
        <v>5261</v>
      </c>
      <c r="H87" s="13"/>
      <c r="I87" s="13"/>
      <c r="J87" s="13"/>
      <c r="K87" s="13"/>
      <c r="L87" s="13"/>
      <c r="M87" s="13"/>
      <c r="N87" s="13"/>
      <c r="O87" s="13"/>
      <c r="P87" s="13"/>
      <c r="Q87" s="13"/>
      <c r="R87" s="13"/>
      <c r="S87" s="13"/>
      <c r="T87" s="13"/>
      <c r="U87" s="13"/>
      <c r="V87" s="2"/>
      <c r="W87" s="2"/>
      <c r="X87" s="2"/>
      <c r="Y87" s="2"/>
      <c r="Z87" s="2"/>
      <c r="AA87" s="2"/>
      <c r="AB87" s="2"/>
      <c r="AC87" s="2"/>
      <c r="AD87" s="2"/>
      <c r="AE87" s="2"/>
    </row>
    <row r="88" customHeight="1" spans="1:31">
      <c r="A88" s="13" t="s">
        <v>387</v>
      </c>
      <c r="B88" s="13" t="s">
        <v>872</v>
      </c>
      <c r="C88" s="13" t="s">
        <v>373</v>
      </c>
      <c r="D88" s="65">
        <v>76</v>
      </c>
      <c r="E88" s="13" t="s">
        <v>37</v>
      </c>
      <c r="F88" s="13" t="s">
        <v>5262</v>
      </c>
      <c r="G88" s="13" t="s">
        <v>5263</v>
      </c>
      <c r="H88" s="13"/>
      <c r="I88" s="13"/>
      <c r="J88" s="13"/>
      <c r="K88" s="13"/>
      <c r="L88" s="13"/>
      <c r="M88" s="13"/>
      <c r="N88" s="13"/>
      <c r="O88" s="13"/>
      <c r="P88" s="13"/>
      <c r="Q88" s="13"/>
      <c r="R88" s="13"/>
      <c r="S88" s="13"/>
      <c r="T88" s="13"/>
      <c r="U88" s="13"/>
      <c r="V88" s="2"/>
      <c r="W88" s="2"/>
      <c r="X88" s="2"/>
      <c r="Y88" s="2"/>
      <c r="Z88" s="2"/>
      <c r="AA88" s="2"/>
      <c r="AB88" s="2"/>
      <c r="AC88" s="2"/>
      <c r="AD88" s="2"/>
      <c r="AE88" s="2"/>
    </row>
    <row r="89" customHeight="1" spans="1:31">
      <c r="A89" s="13" t="s">
        <v>391</v>
      </c>
      <c r="B89" s="13" t="s">
        <v>5264</v>
      </c>
      <c r="C89" s="13" t="s">
        <v>393</v>
      </c>
      <c r="D89" s="14">
        <v>3500</v>
      </c>
      <c r="E89" s="13" t="s">
        <v>21</v>
      </c>
      <c r="F89" s="13" t="s">
        <v>5265</v>
      </c>
      <c r="G89" s="13" t="s">
        <v>5266</v>
      </c>
      <c r="H89" s="13"/>
      <c r="I89" s="13"/>
      <c r="J89" s="13"/>
      <c r="K89" s="13"/>
      <c r="L89" s="13"/>
      <c r="M89" s="13"/>
      <c r="N89" s="13"/>
      <c r="O89" s="13"/>
      <c r="P89" s="13"/>
      <c r="Q89" s="13"/>
      <c r="R89" s="13"/>
      <c r="S89" s="13"/>
      <c r="T89" s="13"/>
      <c r="U89" s="13"/>
      <c r="V89" s="2"/>
      <c r="W89" s="2"/>
      <c r="X89" s="2"/>
      <c r="Y89" s="2"/>
      <c r="Z89" s="2"/>
      <c r="AA89" s="2"/>
      <c r="AB89" s="2"/>
      <c r="AC89" s="2"/>
      <c r="AD89" s="2"/>
      <c r="AE89" s="2"/>
    </row>
    <row r="90" customHeight="1" spans="1:31">
      <c r="A90" s="13" t="s">
        <v>395</v>
      </c>
      <c r="B90" s="13" t="s">
        <v>5267</v>
      </c>
      <c r="C90" s="13" t="s">
        <v>393</v>
      </c>
      <c r="D90" s="14">
        <v>1230</v>
      </c>
      <c r="E90" s="13" t="s">
        <v>21</v>
      </c>
      <c r="F90" s="13" t="s">
        <v>5268</v>
      </c>
      <c r="G90" s="13" t="s">
        <v>5269</v>
      </c>
      <c r="H90" s="13"/>
      <c r="I90" s="13"/>
      <c r="J90" s="13"/>
      <c r="K90" s="13"/>
      <c r="L90" s="13"/>
      <c r="M90" s="13"/>
      <c r="N90" s="13"/>
      <c r="O90" s="13"/>
      <c r="P90" s="13"/>
      <c r="Q90" s="13"/>
      <c r="R90" s="13"/>
      <c r="S90" s="13"/>
      <c r="T90" s="13"/>
      <c r="U90" s="13"/>
      <c r="V90" s="2"/>
      <c r="W90" s="2"/>
      <c r="X90" s="2"/>
      <c r="Y90" s="2"/>
      <c r="Z90" s="2"/>
      <c r="AA90" s="2"/>
      <c r="AB90" s="2"/>
      <c r="AC90" s="2"/>
      <c r="AD90" s="2"/>
      <c r="AE90" s="2"/>
    </row>
    <row r="91" customHeight="1" spans="1:31">
      <c r="A91" s="13" t="s">
        <v>399</v>
      </c>
      <c r="B91" s="13" t="s">
        <v>5270</v>
      </c>
      <c r="C91" s="13" t="s">
        <v>224</v>
      </c>
      <c r="D91" s="65">
        <v>130</v>
      </c>
      <c r="E91" s="13" t="s">
        <v>262</v>
      </c>
      <c r="F91" s="13" t="s">
        <v>5271</v>
      </c>
      <c r="G91" s="13" t="s">
        <v>5272</v>
      </c>
      <c r="H91" s="13"/>
      <c r="I91" s="13"/>
      <c r="J91" s="13"/>
      <c r="K91" s="13"/>
      <c r="L91" s="13"/>
      <c r="M91" s="13"/>
      <c r="N91" s="13"/>
      <c r="O91" s="13"/>
      <c r="P91" s="13"/>
      <c r="Q91" s="13"/>
      <c r="R91" s="13"/>
      <c r="S91" s="13"/>
      <c r="T91" s="13"/>
      <c r="U91" s="13"/>
      <c r="V91" s="2"/>
      <c r="W91" s="2"/>
      <c r="X91" s="2"/>
      <c r="Y91" s="2"/>
      <c r="Z91" s="2"/>
      <c r="AA91" s="2"/>
      <c r="AB91" s="2"/>
      <c r="AC91" s="2"/>
      <c r="AD91" s="2"/>
      <c r="AE91" s="2"/>
    </row>
    <row r="92" customHeight="1" spans="1:31">
      <c r="A92" s="13" t="s">
        <v>403</v>
      </c>
      <c r="B92" s="13" t="s">
        <v>5273</v>
      </c>
      <c r="C92" s="13" t="s">
        <v>229</v>
      </c>
      <c r="D92" s="65">
        <v>500</v>
      </c>
      <c r="E92" s="13" t="s">
        <v>21</v>
      </c>
      <c r="F92" s="13" t="s">
        <v>5274</v>
      </c>
      <c r="G92" s="13" t="s">
        <v>5275</v>
      </c>
      <c r="H92" s="13"/>
      <c r="I92" s="13"/>
      <c r="J92" s="13"/>
      <c r="K92" s="13"/>
      <c r="L92" s="13"/>
      <c r="M92" s="13"/>
      <c r="N92" s="13"/>
      <c r="O92" s="13"/>
      <c r="P92" s="13"/>
      <c r="Q92" s="13"/>
      <c r="R92" s="13"/>
      <c r="S92" s="13"/>
      <c r="T92" s="13"/>
      <c r="U92" s="13"/>
      <c r="V92" s="2"/>
      <c r="W92" s="2"/>
      <c r="X92" s="2"/>
      <c r="Y92" s="2"/>
      <c r="Z92" s="2"/>
      <c r="AA92" s="2"/>
      <c r="AB92" s="2"/>
      <c r="AC92" s="2"/>
      <c r="AD92" s="2"/>
      <c r="AE92" s="2"/>
    </row>
    <row r="93" customHeight="1" spans="1:31">
      <c r="A93" s="13" t="s">
        <v>407</v>
      </c>
      <c r="B93" s="13" t="s">
        <v>1103</v>
      </c>
      <c r="C93" s="13" t="s">
        <v>229</v>
      </c>
      <c r="D93" s="65">
        <v>350</v>
      </c>
      <c r="E93" s="13" t="s">
        <v>21</v>
      </c>
      <c r="F93" s="13" t="s">
        <v>1104</v>
      </c>
      <c r="G93" s="13" t="s">
        <v>5276</v>
      </c>
      <c r="H93" s="13"/>
      <c r="I93" s="13"/>
      <c r="J93" s="13"/>
      <c r="K93" s="13"/>
      <c r="L93" s="13"/>
      <c r="M93" s="13"/>
      <c r="N93" s="13"/>
      <c r="O93" s="13"/>
      <c r="P93" s="13"/>
      <c r="Q93" s="13"/>
      <c r="R93" s="13"/>
      <c r="S93" s="13"/>
      <c r="T93" s="13"/>
      <c r="U93" s="13"/>
      <c r="V93" s="2"/>
      <c r="W93" s="2"/>
      <c r="X93" s="2"/>
      <c r="Y93" s="2"/>
      <c r="Z93" s="2"/>
      <c r="AA93" s="2"/>
      <c r="AB93" s="2"/>
      <c r="AC93" s="2"/>
      <c r="AD93" s="2"/>
      <c r="AE93" s="2"/>
    </row>
    <row r="94" customHeight="1" spans="1:31">
      <c r="A94" s="13" t="s">
        <v>411</v>
      </c>
      <c r="B94" s="13" t="s">
        <v>2239</v>
      </c>
      <c r="C94" s="13" t="s">
        <v>413</v>
      </c>
      <c r="D94" s="14">
        <v>50</v>
      </c>
      <c r="E94" s="13" t="s">
        <v>310</v>
      </c>
      <c r="F94" s="13" t="s">
        <v>2240</v>
      </c>
      <c r="G94" s="13" t="s">
        <v>5277</v>
      </c>
      <c r="H94" s="13"/>
      <c r="I94" s="13"/>
      <c r="J94" s="13"/>
      <c r="K94" s="13"/>
      <c r="L94" s="13"/>
      <c r="M94" s="13"/>
      <c r="N94" s="13"/>
      <c r="O94" s="13"/>
      <c r="P94" s="13"/>
      <c r="Q94" s="13"/>
      <c r="R94" s="13"/>
      <c r="S94" s="13"/>
      <c r="T94" s="13"/>
      <c r="U94" s="13"/>
      <c r="V94" s="2"/>
      <c r="W94" s="2"/>
      <c r="X94" s="2"/>
      <c r="Y94" s="2"/>
      <c r="Z94" s="2"/>
      <c r="AA94" s="2"/>
      <c r="AB94" s="2"/>
      <c r="AC94" s="2"/>
      <c r="AD94" s="2"/>
      <c r="AE94" s="2"/>
    </row>
    <row r="95" customHeight="1" spans="1:31">
      <c r="A95" s="13" t="s">
        <v>416</v>
      </c>
      <c r="B95" s="13" t="s">
        <v>5278</v>
      </c>
      <c r="C95" s="13" t="s">
        <v>418</v>
      </c>
      <c r="D95" s="14">
        <v>35</v>
      </c>
      <c r="E95" s="13" t="s">
        <v>310</v>
      </c>
      <c r="F95" s="13" t="s">
        <v>5279</v>
      </c>
      <c r="G95" s="13" t="s">
        <v>5280</v>
      </c>
      <c r="H95" s="13"/>
      <c r="I95" s="13"/>
      <c r="J95" s="13"/>
      <c r="K95" s="13"/>
      <c r="L95" s="13"/>
      <c r="M95" s="13"/>
      <c r="N95" s="13"/>
      <c r="O95" s="13"/>
      <c r="P95" s="13"/>
      <c r="Q95" s="13"/>
      <c r="R95" s="13"/>
      <c r="S95" s="13"/>
      <c r="T95" s="13"/>
      <c r="U95" s="13"/>
      <c r="V95" s="2"/>
      <c r="W95" s="2"/>
      <c r="X95" s="2"/>
      <c r="Y95" s="2"/>
      <c r="Z95" s="2"/>
      <c r="AA95" s="2"/>
      <c r="AB95" s="2"/>
      <c r="AC95" s="2"/>
      <c r="AD95" s="2"/>
      <c r="AE95" s="2"/>
    </row>
    <row r="96" customHeight="1" spans="1:31">
      <c r="A96" s="13" t="s">
        <v>421</v>
      </c>
      <c r="B96" s="13" t="s">
        <v>5281</v>
      </c>
      <c r="C96" s="13" t="s">
        <v>423</v>
      </c>
      <c r="D96" s="14">
        <v>67</v>
      </c>
      <c r="E96" s="13" t="s">
        <v>310</v>
      </c>
      <c r="F96" s="13" t="s">
        <v>5282</v>
      </c>
      <c r="G96" s="13" t="s">
        <v>5283</v>
      </c>
      <c r="H96" s="13"/>
      <c r="I96" s="13"/>
      <c r="J96" s="13"/>
      <c r="K96" s="13"/>
      <c r="L96" s="13"/>
      <c r="M96" s="13"/>
      <c r="N96" s="13"/>
      <c r="O96" s="13"/>
      <c r="P96" s="13"/>
      <c r="Q96" s="13"/>
      <c r="R96" s="13"/>
      <c r="S96" s="13"/>
      <c r="T96" s="13"/>
      <c r="U96" s="13"/>
      <c r="V96" s="2"/>
      <c r="W96" s="2"/>
      <c r="X96" s="2"/>
      <c r="Y96" s="2"/>
      <c r="Z96" s="2"/>
      <c r="AA96" s="2"/>
      <c r="AB96" s="2"/>
      <c r="AC96" s="2"/>
      <c r="AD96" s="2"/>
      <c r="AE96" s="2"/>
    </row>
    <row r="97" customHeight="1" spans="1:31">
      <c r="A97" s="13" t="s">
        <v>426</v>
      </c>
      <c r="B97" s="13" t="s">
        <v>5284</v>
      </c>
      <c r="C97" s="13" t="s">
        <v>428</v>
      </c>
      <c r="D97" s="65">
        <v>13</v>
      </c>
      <c r="E97" s="13" t="s">
        <v>262</v>
      </c>
      <c r="F97" s="13" t="s">
        <v>5285</v>
      </c>
      <c r="G97" s="13" t="s">
        <v>5286</v>
      </c>
      <c r="H97" s="13"/>
      <c r="I97" s="13"/>
      <c r="J97" s="13"/>
      <c r="K97" s="13"/>
      <c r="L97" s="13"/>
      <c r="M97" s="13"/>
      <c r="N97" s="13"/>
      <c r="O97" s="13"/>
      <c r="P97" s="13"/>
      <c r="Q97" s="13"/>
      <c r="R97" s="13"/>
      <c r="S97" s="13"/>
      <c r="T97" s="13"/>
      <c r="U97" s="13"/>
      <c r="V97" s="2"/>
      <c r="W97" s="2"/>
      <c r="X97" s="2"/>
      <c r="Y97" s="2"/>
      <c r="Z97" s="2"/>
      <c r="AA97" s="2"/>
      <c r="AB97" s="2"/>
      <c r="AC97" s="2"/>
      <c r="AD97" s="2"/>
      <c r="AE97" s="2"/>
    </row>
    <row r="98" customHeight="1" spans="1:31">
      <c r="A98" s="13" t="s">
        <v>431</v>
      </c>
      <c r="B98" s="13" t="s">
        <v>5287</v>
      </c>
      <c r="C98" s="13" t="s">
        <v>428</v>
      </c>
      <c r="D98" s="65">
        <v>879</v>
      </c>
      <c r="E98" s="13" t="s">
        <v>21</v>
      </c>
      <c r="F98" s="13" t="s">
        <v>5288</v>
      </c>
      <c r="G98" s="13" t="s">
        <v>5289</v>
      </c>
      <c r="H98" s="152"/>
      <c r="I98" s="152"/>
      <c r="J98" s="152"/>
      <c r="K98" s="152"/>
      <c r="L98" s="152"/>
      <c r="M98" s="152"/>
      <c r="N98" s="152"/>
      <c r="O98" s="152"/>
      <c r="P98" s="152"/>
      <c r="Q98" s="152"/>
      <c r="R98" s="152"/>
      <c r="S98" s="152"/>
      <c r="T98" s="152"/>
      <c r="U98" s="152"/>
      <c r="V98" s="2"/>
      <c r="W98" s="2"/>
      <c r="X98" s="2"/>
      <c r="Y98" s="2"/>
      <c r="Z98" s="2"/>
      <c r="AA98" s="2"/>
      <c r="AB98" s="2"/>
      <c r="AC98" s="2"/>
      <c r="AD98" s="2"/>
      <c r="AE98" s="2"/>
    </row>
    <row r="99" customHeight="1" spans="1:31">
      <c r="A99" s="13" t="s">
        <v>435</v>
      </c>
      <c r="B99" s="13" t="s">
        <v>5290</v>
      </c>
      <c r="C99" s="13" t="s">
        <v>428</v>
      </c>
      <c r="D99" s="14">
        <v>1000</v>
      </c>
      <c r="E99" s="13" t="s">
        <v>21</v>
      </c>
      <c r="F99" s="13" t="s">
        <v>5291</v>
      </c>
      <c r="G99" s="13" t="s">
        <v>5292</v>
      </c>
      <c r="H99" s="152"/>
      <c r="I99" s="152"/>
      <c r="J99" s="152"/>
      <c r="K99" s="152"/>
      <c r="L99" s="152"/>
      <c r="M99" s="152"/>
      <c r="N99" s="152"/>
      <c r="O99" s="152"/>
      <c r="P99" s="152"/>
      <c r="Q99" s="152"/>
      <c r="R99" s="152"/>
      <c r="S99" s="152"/>
      <c r="T99" s="152"/>
      <c r="U99" s="152"/>
      <c r="V99" s="2"/>
      <c r="W99" s="2"/>
      <c r="X99" s="2"/>
      <c r="Y99" s="2"/>
      <c r="Z99" s="2"/>
      <c r="AA99" s="2"/>
      <c r="AB99" s="2"/>
      <c r="AC99" s="2"/>
      <c r="AD99" s="2"/>
      <c r="AE99" s="2"/>
    </row>
    <row r="100" customHeight="1" spans="1:31">
      <c r="A100" s="64" t="s">
        <v>439</v>
      </c>
      <c r="B100" s="13" t="s">
        <v>2250</v>
      </c>
      <c r="C100" s="13" t="s">
        <v>315</v>
      </c>
      <c r="D100" s="65">
        <v>15</v>
      </c>
      <c r="E100" s="13" t="s">
        <v>37</v>
      </c>
      <c r="F100" s="13" t="s">
        <v>2251</v>
      </c>
      <c r="G100" s="13" t="s">
        <v>2252</v>
      </c>
      <c r="H100" s="152"/>
      <c r="I100" s="152"/>
      <c r="J100" s="152"/>
      <c r="K100" s="152"/>
      <c r="L100" s="152"/>
      <c r="M100" s="152"/>
      <c r="N100" s="152"/>
      <c r="O100" s="152"/>
      <c r="P100" s="152"/>
      <c r="Q100" s="152"/>
      <c r="R100" s="152"/>
      <c r="S100" s="152"/>
      <c r="T100" s="152"/>
      <c r="U100" s="152"/>
      <c r="V100" s="2"/>
      <c r="W100" s="2"/>
      <c r="X100" s="2"/>
      <c r="Y100" s="2"/>
      <c r="Z100" s="2"/>
      <c r="AA100" s="2"/>
      <c r="AB100" s="2"/>
      <c r="AC100" s="2"/>
      <c r="AD100" s="2"/>
      <c r="AE100" s="2"/>
    </row>
    <row r="101" customHeight="1" spans="1:31">
      <c r="A101" s="13" t="s">
        <v>443</v>
      </c>
      <c r="B101" s="13" t="s">
        <v>5293</v>
      </c>
      <c r="C101" s="13" t="s">
        <v>445</v>
      </c>
      <c r="D101" s="14">
        <v>188</v>
      </c>
      <c r="E101" s="13" t="s">
        <v>310</v>
      </c>
      <c r="F101" s="13" t="s">
        <v>5294</v>
      </c>
      <c r="G101" s="13" t="s">
        <v>5295</v>
      </c>
      <c r="H101" s="152"/>
      <c r="I101" s="152"/>
      <c r="J101" s="152"/>
      <c r="K101" s="152"/>
      <c r="L101" s="152"/>
      <c r="M101" s="152"/>
      <c r="N101" s="152"/>
      <c r="O101" s="152"/>
      <c r="P101" s="152"/>
      <c r="Q101" s="152"/>
      <c r="R101" s="152"/>
      <c r="S101" s="152"/>
      <c r="T101" s="152"/>
      <c r="U101" s="152"/>
      <c r="V101" s="2"/>
      <c r="W101" s="2"/>
      <c r="X101" s="2"/>
      <c r="Y101" s="2"/>
      <c r="Z101" s="2"/>
      <c r="AA101" s="2"/>
      <c r="AB101" s="2"/>
      <c r="AC101" s="2"/>
      <c r="AD101" s="2"/>
      <c r="AE101" s="2"/>
    </row>
    <row r="102" customHeight="1" spans="1:31">
      <c r="A102" s="13" t="s">
        <v>448</v>
      </c>
      <c r="B102" s="13" t="s">
        <v>5296</v>
      </c>
      <c r="C102" s="13" t="s">
        <v>450</v>
      </c>
      <c r="D102" s="65">
        <v>95</v>
      </c>
      <c r="E102" s="13" t="s">
        <v>310</v>
      </c>
      <c r="F102" s="13" t="s">
        <v>5297</v>
      </c>
      <c r="G102" s="13" t="s">
        <v>5298</v>
      </c>
      <c r="H102" s="152"/>
      <c r="I102" s="152"/>
      <c r="J102" s="152"/>
      <c r="K102" s="152"/>
      <c r="L102" s="152"/>
      <c r="M102" s="152"/>
      <c r="N102" s="152"/>
      <c r="O102" s="152"/>
      <c r="P102" s="152"/>
      <c r="Q102" s="152"/>
      <c r="R102" s="152"/>
      <c r="S102" s="152"/>
      <c r="T102" s="152"/>
      <c r="U102" s="152"/>
      <c r="V102" s="2"/>
      <c r="W102" s="2"/>
      <c r="X102" s="2"/>
      <c r="Y102" s="2"/>
      <c r="Z102" s="2"/>
      <c r="AA102" s="2"/>
      <c r="AB102" s="2"/>
      <c r="AC102" s="2"/>
      <c r="AD102" s="2"/>
      <c r="AE102" s="2"/>
    </row>
    <row r="103" customHeight="1" spans="1:31">
      <c r="A103" s="13" t="s">
        <v>452</v>
      </c>
      <c r="B103" s="13" t="s">
        <v>314</v>
      </c>
      <c r="C103" s="13" t="s">
        <v>450</v>
      </c>
      <c r="D103" s="65">
        <v>89</v>
      </c>
      <c r="E103" s="13" t="s">
        <v>310</v>
      </c>
      <c r="F103" s="13" t="s">
        <v>1132</v>
      </c>
      <c r="G103" s="13" t="s">
        <v>5228</v>
      </c>
      <c r="H103" s="152"/>
      <c r="I103" s="152"/>
      <c r="J103" s="152"/>
      <c r="K103" s="152"/>
      <c r="L103" s="152"/>
      <c r="M103" s="152"/>
      <c r="N103" s="152"/>
      <c r="O103" s="152"/>
      <c r="P103" s="152"/>
      <c r="Q103" s="152"/>
      <c r="R103" s="152"/>
      <c r="S103" s="152"/>
      <c r="T103" s="152"/>
      <c r="U103" s="152"/>
      <c r="V103" s="2"/>
      <c r="W103" s="2"/>
      <c r="X103" s="2"/>
      <c r="Y103" s="2"/>
      <c r="Z103" s="2"/>
      <c r="AA103" s="2"/>
      <c r="AB103" s="2"/>
      <c r="AC103" s="2"/>
      <c r="AD103" s="2"/>
      <c r="AE103" s="2"/>
    </row>
    <row r="104" ht="16.5" customHeight="1" spans="1:31">
      <c r="A104" s="13" t="s">
        <v>455</v>
      </c>
      <c r="B104" s="13" t="s">
        <v>5299</v>
      </c>
      <c r="C104" s="13" t="s">
        <v>457</v>
      </c>
      <c r="D104" s="14">
        <v>400</v>
      </c>
      <c r="E104" s="13" t="s">
        <v>21</v>
      </c>
      <c r="F104" s="13" t="s">
        <v>5300</v>
      </c>
      <c r="G104" s="13" t="s">
        <v>5301</v>
      </c>
      <c r="H104" s="152"/>
      <c r="I104" s="152"/>
      <c r="J104" s="152"/>
      <c r="K104" s="152"/>
      <c r="L104" s="152"/>
      <c r="M104" s="152"/>
      <c r="N104" s="152"/>
      <c r="O104" s="152"/>
      <c r="P104" s="152"/>
      <c r="Q104" s="152"/>
      <c r="R104" s="152"/>
      <c r="S104" s="152"/>
      <c r="T104" s="152"/>
      <c r="U104" s="152"/>
      <c r="V104" s="2"/>
      <c r="W104" s="2"/>
      <c r="X104" s="2"/>
      <c r="Y104" s="2"/>
      <c r="Z104" s="2"/>
      <c r="AA104" s="2"/>
      <c r="AB104" s="2"/>
      <c r="AC104" s="2"/>
      <c r="AD104" s="2"/>
      <c r="AE104" s="2"/>
    </row>
    <row r="105" customHeight="1" spans="1:31">
      <c r="A105" s="13" t="s">
        <v>460</v>
      </c>
      <c r="B105" s="13" t="s">
        <v>2262</v>
      </c>
      <c r="C105" s="13" t="s">
        <v>462</v>
      </c>
      <c r="D105" s="14">
        <v>8</v>
      </c>
      <c r="E105" s="13" t="s">
        <v>37</v>
      </c>
      <c r="F105" s="13" t="s">
        <v>2263</v>
      </c>
      <c r="G105" s="13" t="s">
        <v>2264</v>
      </c>
      <c r="H105" s="152"/>
      <c r="I105" s="152"/>
      <c r="J105" s="152"/>
      <c r="K105" s="152"/>
      <c r="L105" s="152"/>
      <c r="M105" s="152"/>
      <c r="N105" s="152"/>
      <c r="O105" s="152"/>
      <c r="P105" s="152"/>
      <c r="Q105" s="152"/>
      <c r="R105" s="152"/>
      <c r="S105" s="152"/>
      <c r="T105" s="152"/>
      <c r="U105" s="152"/>
      <c r="V105" s="2"/>
      <c r="W105" s="2"/>
      <c r="X105" s="2"/>
      <c r="Y105" s="2"/>
      <c r="Z105" s="2"/>
      <c r="AA105" s="2"/>
      <c r="AB105" s="2"/>
      <c r="AC105" s="2"/>
      <c r="AD105" s="2"/>
      <c r="AE105" s="2"/>
    </row>
    <row r="106" customHeight="1" spans="1:31">
      <c r="A106" s="64" t="s">
        <v>465</v>
      </c>
      <c r="B106" s="13" t="s">
        <v>466</v>
      </c>
      <c r="C106" s="13" t="s">
        <v>315</v>
      </c>
      <c r="D106" s="65">
        <v>30</v>
      </c>
      <c r="E106" s="13" t="s">
        <v>21</v>
      </c>
      <c r="F106" s="13" t="s">
        <v>5302</v>
      </c>
      <c r="G106" s="13" t="s">
        <v>5303</v>
      </c>
      <c r="H106" s="152"/>
      <c r="I106" s="152"/>
      <c r="J106" s="152"/>
      <c r="K106" s="152"/>
      <c r="L106" s="152"/>
      <c r="M106" s="152"/>
      <c r="N106" s="152"/>
      <c r="O106" s="152"/>
      <c r="P106" s="152"/>
      <c r="Q106" s="152"/>
      <c r="R106" s="152"/>
      <c r="S106" s="152"/>
      <c r="T106" s="152"/>
      <c r="U106" s="152"/>
      <c r="V106" s="2"/>
      <c r="W106" s="2"/>
      <c r="X106" s="2"/>
      <c r="Y106" s="2"/>
      <c r="Z106" s="2"/>
      <c r="AA106" s="2"/>
      <c r="AB106" s="2"/>
      <c r="AC106" s="2"/>
      <c r="AD106" s="2"/>
      <c r="AE106" s="2"/>
    </row>
    <row r="107" customHeight="1" spans="1:31">
      <c r="A107" s="13" t="s">
        <v>469</v>
      </c>
      <c r="B107" s="13" t="s">
        <v>5304</v>
      </c>
      <c r="C107" s="13" t="s">
        <v>5305</v>
      </c>
      <c r="D107" s="14">
        <v>43</v>
      </c>
      <c r="E107" s="13" t="s">
        <v>310</v>
      </c>
      <c r="F107" s="13" t="s">
        <v>5306</v>
      </c>
      <c r="G107" s="13" t="s">
        <v>5307</v>
      </c>
      <c r="H107" s="152"/>
      <c r="I107" s="152"/>
      <c r="J107" s="152"/>
      <c r="K107" s="152"/>
      <c r="L107" s="152"/>
      <c r="M107" s="152"/>
      <c r="N107" s="152"/>
      <c r="O107" s="152"/>
      <c r="P107" s="152"/>
      <c r="Q107" s="152"/>
      <c r="R107" s="152"/>
      <c r="S107" s="152"/>
      <c r="T107" s="152"/>
      <c r="U107" s="152"/>
      <c r="V107" s="2"/>
      <c r="W107" s="2"/>
      <c r="X107" s="2"/>
      <c r="Y107" s="2"/>
      <c r="Z107" s="2"/>
      <c r="AA107" s="2"/>
      <c r="AB107" s="2"/>
      <c r="AC107" s="2"/>
      <c r="AD107" s="2"/>
      <c r="AE107" s="2"/>
    </row>
    <row r="108" customHeight="1" spans="1:31">
      <c r="A108" s="13" t="s">
        <v>474</v>
      </c>
      <c r="B108" s="13" t="s">
        <v>5308</v>
      </c>
      <c r="C108" s="13" t="s">
        <v>5309</v>
      </c>
      <c r="D108" s="65">
        <v>123</v>
      </c>
      <c r="E108" s="13" t="s">
        <v>310</v>
      </c>
      <c r="F108" s="13" t="s">
        <v>5310</v>
      </c>
      <c r="G108" s="13" t="s">
        <v>5311</v>
      </c>
      <c r="H108" s="152"/>
      <c r="I108" s="152"/>
      <c r="J108" s="152"/>
      <c r="K108" s="152"/>
      <c r="L108" s="152"/>
      <c r="M108" s="152"/>
      <c r="N108" s="152"/>
      <c r="O108" s="152"/>
      <c r="P108" s="152"/>
      <c r="Q108" s="152"/>
      <c r="R108" s="152"/>
      <c r="S108" s="152"/>
      <c r="T108" s="152"/>
      <c r="U108" s="152"/>
      <c r="V108" s="2"/>
      <c r="W108" s="2"/>
      <c r="X108" s="2"/>
      <c r="Y108" s="2"/>
      <c r="Z108" s="2"/>
      <c r="AA108" s="2"/>
      <c r="AB108" s="2"/>
      <c r="AC108" s="2"/>
      <c r="AD108" s="2"/>
      <c r="AE108" s="2"/>
    </row>
    <row r="109" customHeight="1" spans="1:31">
      <c r="A109" s="13" t="s">
        <v>479</v>
      </c>
      <c r="B109" s="13" t="s">
        <v>5312</v>
      </c>
      <c r="C109" s="13" t="s">
        <v>5309</v>
      </c>
      <c r="D109" s="65">
        <v>76</v>
      </c>
      <c r="E109" s="13" t="s">
        <v>310</v>
      </c>
      <c r="F109" s="13" t="s">
        <v>5313</v>
      </c>
      <c r="G109" s="13" t="s">
        <v>5314</v>
      </c>
      <c r="H109" s="152"/>
      <c r="I109" s="152"/>
      <c r="J109" s="152"/>
      <c r="K109" s="152"/>
      <c r="L109" s="152"/>
      <c r="M109" s="152"/>
      <c r="N109" s="152"/>
      <c r="O109" s="152"/>
      <c r="P109" s="152"/>
      <c r="Q109" s="152"/>
      <c r="R109" s="152"/>
      <c r="S109" s="152"/>
      <c r="T109" s="152"/>
      <c r="U109" s="152"/>
      <c r="V109" s="2"/>
      <c r="W109" s="2"/>
      <c r="X109" s="2"/>
      <c r="Y109" s="2"/>
      <c r="Z109" s="2"/>
      <c r="AA109" s="2"/>
      <c r="AB109" s="2"/>
      <c r="AC109" s="2"/>
      <c r="AD109" s="2"/>
      <c r="AE109" s="2"/>
    </row>
    <row r="110" customHeight="1" spans="1:31">
      <c r="A110" s="64" t="s">
        <v>483</v>
      </c>
      <c r="B110" s="13" t="s">
        <v>5315</v>
      </c>
      <c r="C110" s="13" t="s">
        <v>485</v>
      </c>
      <c r="D110" s="65">
        <v>77</v>
      </c>
      <c r="E110" s="13" t="s">
        <v>37</v>
      </c>
      <c r="F110" s="13" t="s">
        <v>5316</v>
      </c>
      <c r="G110" s="13" t="s">
        <v>5317</v>
      </c>
      <c r="H110" s="152"/>
      <c r="I110" s="152"/>
      <c r="J110" s="152"/>
      <c r="K110" s="152"/>
      <c r="L110" s="152"/>
      <c r="M110" s="152"/>
      <c r="N110" s="152"/>
      <c r="O110" s="152"/>
      <c r="P110" s="152"/>
      <c r="Q110" s="152"/>
      <c r="R110" s="152"/>
      <c r="S110" s="152"/>
      <c r="T110" s="152"/>
      <c r="U110" s="152"/>
      <c r="V110" s="2"/>
      <c r="W110" s="2"/>
      <c r="X110" s="2"/>
      <c r="Y110" s="2"/>
      <c r="Z110" s="2"/>
      <c r="AA110" s="2"/>
      <c r="AB110" s="2"/>
      <c r="AC110" s="2"/>
      <c r="AD110" s="2"/>
      <c r="AE110" s="2"/>
    </row>
    <row r="111" customHeight="1" spans="1:31">
      <c r="A111" s="13" t="s">
        <v>488</v>
      </c>
      <c r="B111" s="13" t="s">
        <v>5318</v>
      </c>
      <c r="C111" s="13" t="s">
        <v>490</v>
      </c>
      <c r="D111" s="14">
        <v>50</v>
      </c>
      <c r="E111" s="13" t="s">
        <v>37</v>
      </c>
      <c r="F111" s="13" t="s">
        <v>5319</v>
      </c>
      <c r="G111" s="13" t="s">
        <v>5320</v>
      </c>
      <c r="H111" s="152"/>
      <c r="I111" s="152"/>
      <c r="J111" s="152"/>
      <c r="K111" s="152"/>
      <c r="L111" s="152"/>
      <c r="M111" s="152"/>
      <c r="N111" s="152"/>
      <c r="O111" s="152"/>
      <c r="P111" s="152"/>
      <c r="Q111" s="152"/>
      <c r="R111" s="152"/>
      <c r="S111" s="152"/>
      <c r="T111" s="152"/>
      <c r="U111" s="152"/>
      <c r="V111" s="2"/>
      <c r="W111" s="2"/>
      <c r="X111" s="2"/>
      <c r="Y111" s="2"/>
      <c r="Z111" s="2"/>
      <c r="AA111" s="2"/>
      <c r="AB111" s="2"/>
      <c r="AC111" s="2"/>
      <c r="AD111" s="2"/>
      <c r="AE111" s="2"/>
    </row>
    <row r="112" customHeight="1" spans="1:31">
      <c r="A112" s="13" t="s">
        <v>493</v>
      </c>
      <c r="B112" s="13" t="s">
        <v>5321</v>
      </c>
      <c r="C112" s="13" t="s">
        <v>495</v>
      </c>
      <c r="D112" s="57"/>
      <c r="E112" s="57"/>
      <c r="F112" s="13" t="s">
        <v>5322</v>
      </c>
      <c r="G112" s="13" t="s">
        <v>5323</v>
      </c>
      <c r="H112" s="152"/>
      <c r="I112" s="152"/>
      <c r="J112" s="152"/>
      <c r="K112" s="152"/>
      <c r="L112" s="152"/>
      <c r="M112" s="152"/>
      <c r="N112" s="152"/>
      <c r="O112" s="152"/>
      <c r="P112" s="152"/>
      <c r="Q112" s="152"/>
      <c r="R112" s="152"/>
      <c r="S112" s="152"/>
      <c r="T112" s="152"/>
      <c r="U112" s="152"/>
      <c r="V112" s="2"/>
      <c r="W112" s="2"/>
      <c r="X112" s="2"/>
      <c r="Y112" s="2"/>
      <c r="Z112" s="2"/>
      <c r="AA112" s="2"/>
      <c r="AB112" s="2"/>
      <c r="AC112" s="2"/>
      <c r="AD112" s="2"/>
      <c r="AE112" s="2"/>
    </row>
    <row r="113" customHeight="1" spans="1:31">
      <c r="A113" s="13" t="s">
        <v>498</v>
      </c>
      <c r="B113" s="13" t="s">
        <v>5324</v>
      </c>
      <c r="C113" s="13" t="s">
        <v>500</v>
      </c>
      <c r="D113" s="57"/>
      <c r="E113" s="57"/>
      <c r="F113" s="13" t="s">
        <v>5325</v>
      </c>
      <c r="G113" s="13" t="s">
        <v>5326</v>
      </c>
      <c r="H113" s="152"/>
      <c r="I113" s="152"/>
      <c r="J113" s="152"/>
      <c r="K113" s="152"/>
      <c r="L113" s="152"/>
      <c r="M113" s="152"/>
      <c r="N113" s="152"/>
      <c r="O113" s="152"/>
      <c r="P113" s="152"/>
      <c r="Q113" s="152"/>
      <c r="R113" s="152"/>
      <c r="S113" s="152"/>
      <c r="T113" s="152"/>
      <c r="U113" s="152"/>
      <c r="V113" s="2"/>
      <c r="W113" s="2"/>
      <c r="X113" s="2"/>
      <c r="Y113" s="2"/>
      <c r="Z113" s="2"/>
      <c r="AA113" s="2"/>
      <c r="AB113" s="2"/>
      <c r="AC113" s="2"/>
      <c r="AD113" s="2"/>
      <c r="AE113" s="2"/>
    </row>
    <row r="114" customHeight="1" spans="1:31">
      <c r="A114" s="64" t="s">
        <v>503</v>
      </c>
      <c r="B114" s="13" t="s">
        <v>504</v>
      </c>
      <c r="C114" s="13" t="s">
        <v>505</v>
      </c>
      <c r="D114" s="65">
        <v>38</v>
      </c>
      <c r="E114" s="13" t="s">
        <v>37</v>
      </c>
      <c r="F114" s="13" t="s">
        <v>506</v>
      </c>
      <c r="G114" s="13" t="s">
        <v>5327</v>
      </c>
      <c r="H114" s="152"/>
      <c r="I114" s="152"/>
      <c r="J114" s="152"/>
      <c r="K114" s="152"/>
      <c r="L114" s="152"/>
      <c r="M114" s="152"/>
      <c r="N114" s="152"/>
      <c r="O114" s="152"/>
      <c r="P114" s="152"/>
      <c r="Q114" s="152"/>
      <c r="R114" s="152"/>
      <c r="S114" s="152"/>
      <c r="T114" s="152"/>
      <c r="U114" s="152"/>
      <c r="V114" s="2"/>
      <c r="W114" s="2"/>
      <c r="X114" s="2"/>
      <c r="Y114" s="2"/>
      <c r="Z114" s="2"/>
      <c r="AA114" s="2"/>
      <c r="AB114" s="2"/>
      <c r="AC114" s="2"/>
      <c r="AD114" s="2"/>
      <c r="AE114" s="2"/>
    </row>
    <row r="115" customHeight="1" spans="1:31">
      <c r="A115" s="13" t="s">
        <v>508</v>
      </c>
      <c r="B115" s="13" t="s">
        <v>5328</v>
      </c>
      <c r="C115" s="13" t="s">
        <v>510</v>
      </c>
      <c r="D115" s="14">
        <v>40</v>
      </c>
      <c r="E115" s="13" t="s">
        <v>37</v>
      </c>
      <c r="F115" s="13" t="s">
        <v>5329</v>
      </c>
      <c r="G115" s="13" t="s">
        <v>5330</v>
      </c>
      <c r="H115" s="152"/>
      <c r="I115" s="152"/>
      <c r="J115" s="152"/>
      <c r="K115" s="152"/>
      <c r="L115" s="152"/>
      <c r="M115" s="152"/>
      <c r="N115" s="152"/>
      <c r="O115" s="152"/>
      <c r="P115" s="152"/>
      <c r="Q115" s="152"/>
      <c r="R115" s="152"/>
      <c r="S115" s="152"/>
      <c r="T115" s="152"/>
      <c r="U115" s="152"/>
      <c r="V115" s="2"/>
      <c r="W115" s="2"/>
      <c r="X115" s="2"/>
      <c r="Y115" s="2"/>
      <c r="Z115" s="2"/>
      <c r="AA115" s="2"/>
      <c r="AB115" s="2"/>
      <c r="AC115" s="2"/>
      <c r="AD115" s="2"/>
      <c r="AE115" s="2"/>
    </row>
    <row r="116" customHeight="1" spans="1:31">
      <c r="A116" s="13" t="s">
        <v>513</v>
      </c>
      <c r="B116" s="13" t="s">
        <v>5331</v>
      </c>
      <c r="C116" s="13" t="s">
        <v>515</v>
      </c>
      <c r="D116" s="14">
        <v>40</v>
      </c>
      <c r="E116" s="13" t="s">
        <v>37</v>
      </c>
      <c r="F116" s="13" t="s">
        <v>5332</v>
      </c>
      <c r="G116" s="13" t="s">
        <v>5333</v>
      </c>
      <c r="H116" s="152"/>
      <c r="I116" s="152"/>
      <c r="J116" s="152"/>
      <c r="K116" s="152"/>
      <c r="L116" s="152"/>
      <c r="M116" s="152"/>
      <c r="N116" s="152"/>
      <c r="O116" s="152"/>
      <c r="P116" s="152"/>
      <c r="Q116" s="152"/>
      <c r="R116" s="152"/>
      <c r="S116" s="152"/>
      <c r="T116" s="152"/>
      <c r="U116" s="152"/>
      <c r="V116" s="2"/>
      <c r="W116" s="2"/>
      <c r="X116" s="2"/>
      <c r="Y116" s="2"/>
      <c r="Z116" s="2"/>
      <c r="AA116" s="2"/>
      <c r="AB116" s="2"/>
      <c r="AC116" s="2"/>
      <c r="AD116" s="2"/>
      <c r="AE116" s="2"/>
    </row>
    <row r="117" customHeight="1" spans="1:31">
      <c r="A117" s="13" t="s">
        <v>518</v>
      </c>
      <c r="B117" s="13" t="s">
        <v>5334</v>
      </c>
      <c r="C117" s="13" t="s">
        <v>519</v>
      </c>
      <c r="D117" s="14">
        <v>45</v>
      </c>
      <c r="E117" s="13" t="s">
        <v>37</v>
      </c>
      <c r="F117" s="13" t="s">
        <v>5335</v>
      </c>
      <c r="G117" s="13" t="s">
        <v>5336</v>
      </c>
      <c r="H117" s="152"/>
      <c r="I117" s="152"/>
      <c r="J117" s="152"/>
      <c r="K117" s="152"/>
      <c r="L117" s="152"/>
      <c r="M117" s="152"/>
      <c r="N117" s="152"/>
      <c r="O117" s="152"/>
      <c r="P117" s="152"/>
      <c r="Q117" s="152"/>
      <c r="R117" s="152"/>
      <c r="S117" s="152"/>
      <c r="T117" s="152"/>
      <c r="U117" s="152"/>
      <c r="V117" s="2"/>
      <c r="W117" s="2"/>
      <c r="X117" s="2"/>
      <c r="Y117" s="2"/>
      <c r="Z117" s="2"/>
      <c r="AA117" s="2"/>
      <c r="AB117" s="2"/>
      <c r="AC117" s="2"/>
      <c r="AD117" s="2"/>
      <c r="AE117" s="2"/>
    </row>
    <row r="118" customHeight="1" spans="1:31">
      <c r="A118" s="13" t="s">
        <v>520</v>
      </c>
      <c r="B118" s="13" t="s">
        <v>5337</v>
      </c>
      <c r="C118" s="13" t="s">
        <v>515</v>
      </c>
      <c r="D118" s="14">
        <v>50</v>
      </c>
      <c r="E118" s="13" t="s">
        <v>37</v>
      </c>
      <c r="F118" s="13" t="s">
        <v>5338</v>
      </c>
      <c r="G118" s="13" t="s">
        <v>5339</v>
      </c>
      <c r="H118" s="152"/>
      <c r="I118" s="152"/>
      <c r="J118" s="152"/>
      <c r="K118" s="152"/>
      <c r="L118" s="152"/>
      <c r="M118" s="152"/>
      <c r="N118" s="152"/>
      <c r="O118" s="152"/>
      <c r="P118" s="152"/>
      <c r="Q118" s="152"/>
      <c r="R118" s="152"/>
      <c r="S118" s="152"/>
      <c r="T118" s="152"/>
      <c r="U118" s="152"/>
      <c r="V118" s="2"/>
      <c r="W118" s="2"/>
      <c r="X118" s="2"/>
      <c r="Y118" s="2"/>
      <c r="Z118" s="2"/>
      <c r="AA118" s="2"/>
      <c r="AB118" s="2"/>
      <c r="AC118" s="2"/>
      <c r="AD118" s="2"/>
      <c r="AE118" s="2"/>
    </row>
    <row r="119" customHeight="1" spans="1:31">
      <c r="A119" s="64" t="s">
        <v>522</v>
      </c>
      <c r="B119" s="13" t="s">
        <v>523</v>
      </c>
      <c r="C119" s="13" t="s">
        <v>524</v>
      </c>
      <c r="D119" s="65">
        <v>90</v>
      </c>
      <c r="E119" s="13" t="s">
        <v>21</v>
      </c>
      <c r="F119" s="13" t="s">
        <v>525</v>
      </c>
      <c r="G119" s="101" t="s">
        <v>5340</v>
      </c>
      <c r="H119" s="153"/>
      <c r="I119" s="153"/>
      <c r="J119" s="153"/>
      <c r="K119" s="153"/>
      <c r="L119" s="153"/>
      <c r="M119" s="153"/>
      <c r="N119" s="153"/>
      <c r="O119" s="153"/>
      <c r="P119" s="153"/>
      <c r="Q119" s="153"/>
      <c r="R119" s="153"/>
      <c r="S119" s="153"/>
      <c r="T119" s="153"/>
      <c r="U119" s="153"/>
      <c r="V119" s="2"/>
      <c r="W119" s="2"/>
      <c r="X119" s="2"/>
      <c r="Y119" s="2"/>
      <c r="Z119" s="2"/>
      <c r="AA119" s="2"/>
      <c r="AB119" s="2"/>
      <c r="AC119" s="2"/>
      <c r="AD119" s="2"/>
      <c r="AE119" s="2"/>
    </row>
    <row r="120" customHeight="1" spans="1:31">
      <c r="A120" s="13" t="s">
        <v>527</v>
      </c>
      <c r="B120" s="13" t="s">
        <v>528</v>
      </c>
      <c r="C120" s="13" t="s">
        <v>529</v>
      </c>
      <c r="D120" s="57"/>
      <c r="E120" s="57"/>
      <c r="F120" s="13" t="s">
        <v>530</v>
      </c>
      <c r="G120" s="13" t="s">
        <v>531</v>
      </c>
      <c r="H120" s="152"/>
      <c r="I120" s="152"/>
      <c r="J120" s="152"/>
      <c r="K120" s="152"/>
      <c r="L120" s="152"/>
      <c r="M120" s="152"/>
      <c r="N120" s="152"/>
      <c r="O120" s="152"/>
      <c r="P120" s="152"/>
      <c r="Q120" s="152"/>
      <c r="R120" s="152"/>
      <c r="S120" s="152"/>
      <c r="T120" s="152"/>
      <c r="U120" s="152"/>
      <c r="V120" s="2"/>
      <c r="W120" s="2"/>
      <c r="X120" s="2"/>
      <c r="Y120" s="2"/>
      <c r="Z120" s="2"/>
      <c r="AA120" s="2"/>
      <c r="AB120" s="2"/>
      <c r="AC120" s="2"/>
      <c r="AD120" s="2"/>
      <c r="AE120" s="2"/>
    </row>
    <row r="121" customHeight="1" spans="1:31">
      <c r="A121" s="13" t="s">
        <v>532</v>
      </c>
      <c r="B121" s="13" t="s">
        <v>5341</v>
      </c>
      <c r="C121" s="13" t="s">
        <v>534</v>
      </c>
      <c r="D121" s="14">
        <v>120</v>
      </c>
      <c r="E121" s="13" t="s">
        <v>37</v>
      </c>
      <c r="F121" s="13" t="s">
        <v>5342</v>
      </c>
      <c r="G121" s="68" t="str">
        <f>HYPERLINK("http://dinoffentligetransport.dk/","http://dinoffentligetransport.dk")</f>
        <v>http://dinoffentligetransport.dk</v>
      </c>
      <c r="H121" s="152"/>
      <c r="I121" s="152"/>
      <c r="J121" s="152"/>
      <c r="K121" s="152"/>
      <c r="L121" s="152"/>
      <c r="M121" s="152"/>
      <c r="N121" s="152"/>
      <c r="O121" s="152"/>
      <c r="P121" s="152"/>
      <c r="Q121" s="152"/>
      <c r="R121" s="152"/>
      <c r="S121" s="152"/>
      <c r="T121" s="152"/>
      <c r="U121" s="152"/>
      <c r="V121" s="2"/>
      <c r="W121" s="2"/>
      <c r="X121" s="2"/>
      <c r="Y121" s="2"/>
      <c r="Z121" s="2"/>
      <c r="AA121" s="2"/>
      <c r="AB121" s="2"/>
      <c r="AC121" s="2"/>
      <c r="AD121" s="2"/>
      <c r="AE121" s="2"/>
    </row>
    <row r="122" customHeight="1" spans="1:31">
      <c r="A122" s="64" t="s">
        <v>537</v>
      </c>
      <c r="B122" s="13" t="s">
        <v>5343</v>
      </c>
      <c r="C122" s="13" t="s">
        <v>539</v>
      </c>
      <c r="D122" s="65">
        <v>60</v>
      </c>
      <c r="E122" s="13" t="s">
        <v>37</v>
      </c>
      <c r="F122" s="13" t="s">
        <v>5344</v>
      </c>
      <c r="G122" s="13" t="s">
        <v>5345</v>
      </c>
      <c r="H122" s="152"/>
      <c r="I122" s="152"/>
      <c r="J122" s="152"/>
      <c r="K122" s="152"/>
      <c r="L122" s="152"/>
      <c r="M122" s="152"/>
      <c r="N122" s="152"/>
      <c r="O122" s="152"/>
      <c r="P122" s="152"/>
      <c r="Q122" s="152"/>
      <c r="R122" s="152"/>
      <c r="S122" s="152"/>
      <c r="T122" s="152"/>
      <c r="U122" s="152"/>
      <c r="V122" s="2"/>
      <c r="W122" s="2"/>
      <c r="X122" s="2"/>
      <c r="Y122" s="2"/>
      <c r="Z122" s="2"/>
      <c r="AA122" s="2"/>
      <c r="AB122" s="2"/>
      <c r="AC122" s="2"/>
      <c r="AD122" s="2"/>
      <c r="AE122" s="2"/>
    </row>
    <row r="123" customHeight="1" spans="1:31">
      <c r="A123" s="64" t="s">
        <v>542</v>
      </c>
      <c r="B123" s="13" t="s">
        <v>5346</v>
      </c>
      <c r="C123" s="13" t="s">
        <v>539</v>
      </c>
      <c r="D123" s="65">
        <v>50</v>
      </c>
      <c r="E123" s="13" t="s">
        <v>37</v>
      </c>
      <c r="F123" s="13" t="s">
        <v>5347</v>
      </c>
      <c r="G123" s="13" t="s">
        <v>5348</v>
      </c>
      <c r="H123" s="152"/>
      <c r="I123" s="152"/>
      <c r="J123" s="152"/>
      <c r="K123" s="152"/>
      <c r="L123" s="152"/>
      <c r="M123" s="152"/>
      <c r="N123" s="152"/>
      <c r="O123" s="152"/>
      <c r="P123" s="152"/>
      <c r="Q123" s="152"/>
      <c r="R123" s="152"/>
      <c r="S123" s="152"/>
      <c r="T123" s="152"/>
      <c r="U123" s="152"/>
      <c r="V123" s="2"/>
      <c r="W123" s="2"/>
      <c r="X123" s="2"/>
      <c r="Y123" s="2"/>
      <c r="Z123" s="2"/>
      <c r="AA123" s="2"/>
      <c r="AB123" s="2"/>
      <c r="AC123" s="2"/>
      <c r="AD123" s="2"/>
      <c r="AE123" s="2"/>
    </row>
    <row r="124" customHeight="1" spans="1:31">
      <c r="A124" s="13" t="s">
        <v>546</v>
      </c>
      <c r="B124" s="13" t="s">
        <v>5349</v>
      </c>
      <c r="C124" s="13" t="s">
        <v>548</v>
      </c>
      <c r="D124" s="14">
        <v>100</v>
      </c>
      <c r="E124" s="13" t="s">
        <v>37</v>
      </c>
      <c r="F124" s="13" t="s">
        <v>5350</v>
      </c>
      <c r="G124" s="13" t="s">
        <v>5351</v>
      </c>
      <c r="H124" s="152"/>
      <c r="I124" s="152"/>
      <c r="J124" s="152"/>
      <c r="K124" s="152"/>
      <c r="L124" s="152"/>
      <c r="M124" s="152"/>
      <c r="N124" s="152"/>
      <c r="O124" s="152"/>
      <c r="P124" s="152"/>
      <c r="Q124" s="152"/>
      <c r="R124" s="152"/>
      <c r="S124" s="152"/>
      <c r="T124" s="152"/>
      <c r="U124" s="152"/>
      <c r="V124" s="2"/>
      <c r="W124" s="2"/>
      <c r="X124" s="2"/>
      <c r="Y124" s="2"/>
      <c r="Z124" s="2"/>
      <c r="AA124" s="2"/>
      <c r="AB124" s="2"/>
      <c r="AC124" s="2"/>
      <c r="AD124" s="2"/>
      <c r="AE124" s="2"/>
    </row>
    <row r="125" customHeight="1" spans="1:31">
      <c r="A125" s="64" t="s">
        <v>551</v>
      </c>
      <c r="B125" s="13" t="s">
        <v>5352</v>
      </c>
      <c r="C125" s="13" t="s">
        <v>553</v>
      </c>
      <c r="D125" s="65">
        <v>30</v>
      </c>
      <c r="E125" s="13" t="s">
        <v>37</v>
      </c>
      <c r="F125" s="13" t="s">
        <v>5353</v>
      </c>
      <c r="G125" s="13" t="s">
        <v>5354</v>
      </c>
      <c r="H125" s="152"/>
      <c r="I125" s="152"/>
      <c r="J125" s="152"/>
      <c r="K125" s="152"/>
      <c r="L125" s="152"/>
      <c r="M125" s="152"/>
      <c r="N125" s="152"/>
      <c r="O125" s="152"/>
      <c r="P125" s="152"/>
      <c r="Q125" s="152"/>
      <c r="R125" s="152"/>
      <c r="S125" s="152"/>
      <c r="T125" s="152"/>
      <c r="U125" s="152"/>
      <c r="V125" s="2"/>
      <c r="W125" s="2"/>
      <c r="X125" s="2"/>
      <c r="Y125" s="2"/>
      <c r="Z125" s="2"/>
      <c r="AA125" s="2"/>
      <c r="AB125" s="2"/>
      <c r="AC125" s="2"/>
      <c r="AD125" s="2"/>
      <c r="AE125" s="2"/>
    </row>
    <row r="126" customHeight="1" spans="1:31">
      <c r="A126" s="13" t="s">
        <v>556</v>
      </c>
      <c r="B126" s="13" t="s">
        <v>5355</v>
      </c>
      <c r="C126" s="13" t="s">
        <v>557</v>
      </c>
      <c r="D126" s="14">
        <v>30</v>
      </c>
      <c r="E126" s="13" t="s">
        <v>37</v>
      </c>
      <c r="F126" s="13" t="s">
        <v>5356</v>
      </c>
      <c r="G126" s="13" t="s">
        <v>5357</v>
      </c>
      <c r="H126" s="152"/>
      <c r="I126" s="152"/>
      <c r="J126" s="152"/>
      <c r="K126" s="152"/>
      <c r="L126" s="152"/>
      <c r="M126" s="152"/>
      <c r="N126" s="152"/>
      <c r="O126" s="152"/>
      <c r="P126" s="152"/>
      <c r="Q126" s="152"/>
      <c r="R126" s="152"/>
      <c r="S126" s="152"/>
      <c r="T126" s="152"/>
      <c r="U126" s="152"/>
      <c r="V126" s="2"/>
      <c r="W126" s="2"/>
      <c r="X126" s="2"/>
      <c r="Y126" s="2"/>
      <c r="Z126" s="2"/>
      <c r="AA126" s="2"/>
      <c r="AB126" s="2"/>
      <c r="AC126" s="2"/>
      <c r="AD126" s="2"/>
      <c r="AE126" s="2"/>
    </row>
    <row r="127" customHeight="1" spans="1:31">
      <c r="A127" s="13" t="s">
        <v>558</v>
      </c>
      <c r="B127" s="13" t="s">
        <v>5343</v>
      </c>
      <c r="C127" s="13" t="s">
        <v>560</v>
      </c>
      <c r="D127" s="14">
        <v>40</v>
      </c>
      <c r="E127" s="13" t="s">
        <v>37</v>
      </c>
      <c r="F127" s="13" t="s">
        <v>5344</v>
      </c>
      <c r="G127" s="13" t="s">
        <v>5345</v>
      </c>
      <c r="H127" s="152"/>
      <c r="I127" s="152"/>
      <c r="J127" s="152"/>
      <c r="K127" s="152"/>
      <c r="L127" s="152"/>
      <c r="M127" s="152"/>
      <c r="N127" s="152"/>
      <c r="O127" s="152"/>
      <c r="P127" s="152"/>
      <c r="Q127" s="152"/>
      <c r="R127" s="152"/>
      <c r="S127" s="152"/>
      <c r="T127" s="152"/>
      <c r="U127" s="152"/>
      <c r="V127" s="2"/>
      <c r="W127" s="2"/>
      <c r="X127" s="2"/>
      <c r="Y127" s="2"/>
      <c r="Z127" s="2"/>
      <c r="AA127" s="2"/>
      <c r="AB127" s="2"/>
      <c r="AC127" s="2"/>
      <c r="AD127" s="2"/>
      <c r="AE127" s="2"/>
    </row>
    <row r="128" customHeight="1" spans="1:31">
      <c r="A128" s="13" t="s">
        <v>563</v>
      </c>
      <c r="B128" s="13" t="s">
        <v>5358</v>
      </c>
      <c r="C128" s="13" t="s">
        <v>565</v>
      </c>
      <c r="D128" s="14">
        <v>80</v>
      </c>
      <c r="E128" s="13" t="s">
        <v>37</v>
      </c>
      <c r="F128" s="13" t="s">
        <v>5359</v>
      </c>
      <c r="G128" s="13" t="s">
        <v>5360</v>
      </c>
      <c r="H128" s="152"/>
      <c r="I128" s="152"/>
      <c r="J128" s="152"/>
      <c r="K128" s="152"/>
      <c r="L128" s="152"/>
      <c r="M128" s="152"/>
      <c r="N128" s="152"/>
      <c r="O128" s="152"/>
      <c r="P128" s="152"/>
      <c r="Q128" s="152"/>
      <c r="R128" s="152"/>
      <c r="S128" s="152"/>
      <c r="T128" s="152"/>
      <c r="U128" s="152"/>
      <c r="V128" s="2"/>
      <c r="W128" s="2"/>
      <c r="X128" s="2"/>
      <c r="Y128" s="2"/>
      <c r="Z128" s="2"/>
      <c r="AA128" s="2"/>
      <c r="AB128" s="2"/>
      <c r="AC128" s="2"/>
      <c r="AD128" s="2"/>
      <c r="AE128" s="2"/>
    </row>
    <row r="129" customHeight="1" spans="1:31">
      <c r="A129" s="13"/>
      <c r="B129" s="13"/>
      <c r="C129" s="149"/>
      <c r="D129" s="149"/>
      <c r="E129" s="149"/>
      <c r="F129" s="149"/>
      <c r="G129" s="149"/>
      <c r="H129" s="149"/>
      <c r="I129" s="149"/>
      <c r="J129" s="149"/>
      <c r="K129" s="149"/>
      <c r="L129" s="149"/>
      <c r="M129" s="149"/>
      <c r="N129" s="149"/>
      <c r="O129" s="149"/>
      <c r="P129" s="149"/>
      <c r="Q129" s="149"/>
      <c r="R129" s="149"/>
      <c r="S129" s="149"/>
      <c r="T129" s="57"/>
      <c r="U129" s="57"/>
      <c r="V129" s="2"/>
      <c r="W129" s="2"/>
      <c r="X129" s="2"/>
      <c r="Y129" s="2"/>
      <c r="Z129" s="2"/>
      <c r="AA129" s="2"/>
      <c r="AB129" s="2"/>
      <c r="AC129" s="2"/>
      <c r="AD129" s="2"/>
      <c r="AE129" s="2"/>
    </row>
    <row r="130" customHeight="1" spans="1:31">
      <c r="A130" s="13" t="s">
        <v>5361</v>
      </c>
      <c r="B130" s="13" t="s">
        <v>5362</v>
      </c>
      <c r="C130" s="149" t="s">
        <v>5363</v>
      </c>
      <c r="D130" s="149" t="s">
        <v>5364</v>
      </c>
      <c r="E130" s="149" t="s">
        <v>5365</v>
      </c>
      <c r="F130" s="149" t="s">
        <v>5366</v>
      </c>
      <c r="G130" s="149" t="s">
        <v>5367</v>
      </c>
      <c r="H130" s="149" t="s">
        <v>5368</v>
      </c>
      <c r="I130" s="149" t="s">
        <v>5369</v>
      </c>
      <c r="J130" s="149" t="s">
        <v>5370</v>
      </c>
      <c r="K130" s="149" t="s">
        <v>5371</v>
      </c>
      <c r="L130" s="149" t="s">
        <v>5372</v>
      </c>
      <c r="M130" s="149" t="s">
        <v>5373</v>
      </c>
      <c r="N130" s="149" t="s">
        <v>5374</v>
      </c>
      <c r="O130" s="149" t="s">
        <v>5375</v>
      </c>
      <c r="P130" s="149" t="s">
        <v>5376</v>
      </c>
      <c r="Q130" s="149" t="s">
        <v>1643</v>
      </c>
      <c r="R130" s="149" t="s">
        <v>5377</v>
      </c>
      <c r="S130" s="149" t="s">
        <v>5378</v>
      </c>
      <c r="T130" s="57"/>
      <c r="U130" s="57"/>
      <c r="V130" s="2"/>
      <c r="W130" s="2"/>
      <c r="X130" s="2"/>
      <c r="Y130" s="2"/>
      <c r="Z130" s="2"/>
      <c r="AA130" s="2"/>
      <c r="AB130" s="2"/>
      <c r="AC130" s="2"/>
      <c r="AD130" s="2"/>
      <c r="AE130" s="2"/>
    </row>
    <row r="131" customHeight="1" spans="1:31">
      <c r="A131" s="13" t="s">
        <v>5379</v>
      </c>
      <c r="B131" s="13"/>
      <c r="C131" s="149" t="s">
        <v>5380</v>
      </c>
      <c r="D131" s="149" t="s">
        <v>5380</v>
      </c>
      <c r="E131" s="57"/>
      <c r="F131" s="57"/>
      <c r="G131" s="149" t="s">
        <v>5381</v>
      </c>
      <c r="H131" s="149"/>
      <c r="I131" s="149"/>
      <c r="J131" s="57">
        <v>2200</v>
      </c>
      <c r="K131" s="149" t="s">
        <v>5382</v>
      </c>
      <c r="L131" s="149"/>
      <c r="M131" s="149"/>
      <c r="N131" s="149"/>
      <c r="O131" s="149"/>
      <c r="P131" s="149"/>
      <c r="Q131" s="149"/>
      <c r="R131" s="149"/>
      <c r="S131" s="149"/>
      <c r="T131" s="149" t="s">
        <v>5152</v>
      </c>
      <c r="U131" s="149" t="s">
        <v>5153</v>
      </c>
      <c r="V131" s="2"/>
      <c r="W131" s="2"/>
      <c r="X131" s="2"/>
      <c r="Y131" s="2"/>
      <c r="Z131" s="2"/>
      <c r="AA131" s="2"/>
      <c r="AB131" s="2"/>
      <c r="AC131" s="2"/>
      <c r="AD131" s="2"/>
      <c r="AE131" s="2"/>
    </row>
    <row r="132" ht="17.25" customHeight="1" spans="1:31">
      <c r="A132" s="13" t="s">
        <v>5379</v>
      </c>
      <c r="B132" s="57"/>
      <c r="C132" s="154" t="s">
        <v>5383</v>
      </c>
      <c r="D132" s="154" t="s">
        <v>5383</v>
      </c>
      <c r="E132" s="57"/>
      <c r="F132" s="57"/>
      <c r="G132" s="156" t="s">
        <v>5384</v>
      </c>
      <c r="H132" s="149"/>
      <c r="I132" s="149"/>
      <c r="J132" s="158">
        <v>1400</v>
      </c>
      <c r="K132" s="149" t="s">
        <v>5382</v>
      </c>
      <c r="L132" s="149"/>
      <c r="M132" s="149"/>
      <c r="N132" s="149"/>
      <c r="O132" s="149"/>
      <c r="P132" s="149"/>
      <c r="Q132" s="149"/>
      <c r="R132" s="149"/>
      <c r="S132" s="149"/>
      <c r="T132" s="149" t="s">
        <v>5152</v>
      </c>
      <c r="U132" s="149" t="s">
        <v>5153</v>
      </c>
      <c r="V132" s="2"/>
      <c r="W132" s="2"/>
      <c r="X132" s="2"/>
      <c r="Y132" s="2"/>
      <c r="Z132" s="2"/>
      <c r="AA132" s="2"/>
      <c r="AB132" s="2"/>
      <c r="AC132" s="2"/>
      <c r="AD132" s="2"/>
      <c r="AE132" s="2"/>
    </row>
    <row r="133" customHeight="1" spans="1:31">
      <c r="A133" s="13" t="s">
        <v>5379</v>
      </c>
      <c r="B133" s="57"/>
      <c r="C133" s="13" t="s">
        <v>5385</v>
      </c>
      <c r="D133" s="13" t="s">
        <v>5385</v>
      </c>
      <c r="E133" s="57"/>
      <c r="F133" s="57"/>
      <c r="G133" s="149" t="s">
        <v>5384</v>
      </c>
      <c r="H133" s="149"/>
      <c r="I133" s="149"/>
      <c r="J133" s="57">
        <v>1358</v>
      </c>
      <c r="K133" s="149" t="s">
        <v>5382</v>
      </c>
      <c r="L133" s="149"/>
      <c r="M133" s="149"/>
      <c r="N133" s="149"/>
      <c r="O133" s="149"/>
      <c r="P133" s="149"/>
      <c r="Q133" s="149"/>
      <c r="R133" s="149"/>
      <c r="S133" s="149"/>
      <c r="T133" s="149" t="s">
        <v>5152</v>
      </c>
      <c r="U133" s="149" t="s">
        <v>5153</v>
      </c>
      <c r="V133" s="2"/>
      <c r="W133" s="2"/>
      <c r="X133" s="2"/>
      <c r="Y133" s="2"/>
      <c r="Z133" s="2"/>
      <c r="AA133" s="2"/>
      <c r="AB133" s="2"/>
      <c r="AC133" s="2"/>
      <c r="AD133" s="2"/>
      <c r="AE133" s="2"/>
    </row>
    <row r="134" customHeight="1" spans="1:31">
      <c r="A134" s="13" t="s">
        <v>5379</v>
      </c>
      <c r="B134" s="57"/>
      <c r="C134" s="13" t="s">
        <v>5386</v>
      </c>
      <c r="D134" s="13" t="s">
        <v>5386</v>
      </c>
      <c r="E134" s="57"/>
      <c r="F134" s="57"/>
      <c r="G134" s="149" t="s">
        <v>5387</v>
      </c>
      <c r="H134" s="149"/>
      <c r="I134" s="149"/>
      <c r="J134" s="57">
        <v>1620</v>
      </c>
      <c r="K134" s="149" t="s">
        <v>5382</v>
      </c>
      <c r="L134" s="149"/>
      <c r="M134" s="149"/>
      <c r="N134" s="149"/>
      <c r="O134" s="149"/>
      <c r="P134" s="149"/>
      <c r="Q134" s="149"/>
      <c r="R134" s="149"/>
      <c r="S134" s="149"/>
      <c r="T134" s="149" t="s">
        <v>5152</v>
      </c>
      <c r="U134" s="149" t="s">
        <v>5153</v>
      </c>
      <c r="V134" s="2"/>
      <c r="W134" s="2"/>
      <c r="X134" s="2"/>
      <c r="Y134" s="2"/>
      <c r="Z134" s="2"/>
      <c r="AA134" s="2"/>
      <c r="AB134" s="2"/>
      <c r="AC134" s="2"/>
      <c r="AD134" s="2"/>
      <c r="AE134" s="2"/>
    </row>
    <row r="135" ht="17.25" customHeight="1" spans="1:31">
      <c r="A135" s="13" t="s">
        <v>5379</v>
      </c>
      <c r="B135" s="57"/>
      <c r="C135" s="155" t="s">
        <v>5388</v>
      </c>
      <c r="D135" s="155" t="s">
        <v>5388</v>
      </c>
      <c r="E135" s="57"/>
      <c r="F135" s="57"/>
      <c r="G135" s="157" t="s">
        <v>5389</v>
      </c>
      <c r="H135" s="149"/>
      <c r="I135" s="149"/>
      <c r="J135" s="159">
        <v>2300</v>
      </c>
      <c r="K135" s="149" t="s">
        <v>5382</v>
      </c>
      <c r="L135" s="149"/>
      <c r="M135" s="149"/>
      <c r="N135" s="149"/>
      <c r="O135" s="149"/>
      <c r="P135" s="149"/>
      <c r="Q135" s="149"/>
      <c r="R135" s="149"/>
      <c r="S135" s="149"/>
      <c r="T135" s="149" t="s">
        <v>5152</v>
      </c>
      <c r="U135" s="149" t="s">
        <v>5153</v>
      </c>
      <c r="V135" s="2"/>
      <c r="W135" s="2"/>
      <c r="X135" s="2"/>
      <c r="Y135" s="2"/>
      <c r="Z135" s="2"/>
      <c r="AA135" s="2"/>
      <c r="AB135" s="2"/>
      <c r="AC135" s="2"/>
      <c r="AD135" s="2"/>
      <c r="AE135" s="2"/>
    </row>
    <row r="136" ht="17.25" customHeight="1" spans="1:31">
      <c r="A136" s="13" t="s">
        <v>5390</v>
      </c>
      <c r="B136" s="57"/>
      <c r="C136" s="155" t="s">
        <v>5391</v>
      </c>
      <c r="D136" s="155" t="s">
        <v>5391</v>
      </c>
      <c r="E136" s="57"/>
      <c r="F136" s="57"/>
      <c r="G136" s="157" t="s">
        <v>5392</v>
      </c>
      <c r="H136" s="149"/>
      <c r="I136" s="149"/>
      <c r="J136" s="159">
        <v>2000</v>
      </c>
      <c r="K136" s="149"/>
      <c r="L136" s="149"/>
      <c r="M136" s="149"/>
      <c r="N136" s="149"/>
      <c r="O136" s="149"/>
      <c r="P136" s="149"/>
      <c r="Q136" s="149"/>
      <c r="R136" s="149"/>
      <c r="S136" s="149"/>
      <c r="T136" s="149" t="s">
        <v>5152</v>
      </c>
      <c r="U136" s="149" t="s">
        <v>5153</v>
      </c>
      <c r="V136" s="2"/>
      <c r="W136" s="2"/>
      <c r="X136" s="2"/>
      <c r="Y136" s="2"/>
      <c r="Z136" s="2"/>
      <c r="AA136" s="2"/>
      <c r="AB136" s="2"/>
      <c r="AC136" s="2"/>
      <c r="AD136" s="2"/>
      <c r="AE136" s="2"/>
    </row>
    <row r="137" ht="17.25" customHeight="1" spans="1:31">
      <c r="A137" s="13" t="s">
        <v>5390</v>
      </c>
      <c r="B137" s="57"/>
      <c r="C137" s="155" t="s">
        <v>5393</v>
      </c>
      <c r="D137" s="155" t="s">
        <v>5393</v>
      </c>
      <c r="E137" s="57"/>
      <c r="F137" s="57"/>
      <c r="G137" s="157" t="s">
        <v>5394</v>
      </c>
      <c r="H137" s="149"/>
      <c r="I137" s="149"/>
      <c r="J137" s="159">
        <v>2791</v>
      </c>
      <c r="K137" s="149"/>
      <c r="L137" s="149"/>
      <c r="M137" s="149"/>
      <c r="N137" s="149"/>
      <c r="O137" s="149"/>
      <c r="P137" s="149"/>
      <c r="Q137" s="149"/>
      <c r="R137" s="149"/>
      <c r="S137" s="149"/>
      <c r="T137" s="149" t="s">
        <v>5152</v>
      </c>
      <c r="U137" s="149" t="s">
        <v>5153</v>
      </c>
      <c r="V137" s="2"/>
      <c r="W137" s="2"/>
      <c r="X137" s="2"/>
      <c r="Y137" s="2"/>
      <c r="Z137" s="2"/>
      <c r="AA137" s="2"/>
      <c r="AB137" s="2"/>
      <c r="AC137" s="2"/>
      <c r="AD137" s="2"/>
      <c r="AE137" s="2"/>
    </row>
    <row r="138" ht="17.25" customHeight="1" spans="1:31">
      <c r="A138" s="13" t="s">
        <v>5390</v>
      </c>
      <c r="B138" s="57"/>
      <c r="C138" s="155" t="s">
        <v>5395</v>
      </c>
      <c r="D138" s="155" t="s">
        <v>5395</v>
      </c>
      <c r="E138" s="57"/>
      <c r="F138" s="57"/>
      <c r="G138" s="157" t="s">
        <v>5396</v>
      </c>
      <c r="H138" s="149"/>
      <c r="I138" s="149"/>
      <c r="J138" s="159">
        <v>2700</v>
      </c>
      <c r="K138" s="149"/>
      <c r="L138" s="149"/>
      <c r="M138" s="149"/>
      <c r="N138" s="149"/>
      <c r="O138" s="149"/>
      <c r="P138" s="149"/>
      <c r="Q138" s="149"/>
      <c r="R138" s="149"/>
      <c r="S138" s="149"/>
      <c r="T138" s="149" t="s">
        <v>5152</v>
      </c>
      <c r="U138" s="149" t="s">
        <v>5153</v>
      </c>
      <c r="V138" s="2"/>
      <c r="W138" s="2"/>
      <c r="X138" s="2"/>
      <c r="Y138" s="2"/>
      <c r="Z138" s="2"/>
      <c r="AA138" s="2"/>
      <c r="AB138" s="2"/>
      <c r="AC138" s="2"/>
      <c r="AD138" s="2"/>
      <c r="AE138" s="2"/>
    </row>
    <row r="139" ht="17.25" customHeight="1" spans="1:31">
      <c r="A139" s="13" t="s">
        <v>5390</v>
      </c>
      <c r="B139" s="57"/>
      <c r="C139" s="155" t="s">
        <v>5397</v>
      </c>
      <c r="D139" s="155" t="s">
        <v>5397</v>
      </c>
      <c r="E139" s="57"/>
      <c r="F139" s="57"/>
      <c r="G139" s="157" t="s">
        <v>5398</v>
      </c>
      <c r="H139" s="149"/>
      <c r="I139" s="149"/>
      <c r="J139" s="159">
        <v>2820</v>
      </c>
      <c r="K139" s="149"/>
      <c r="L139" s="149"/>
      <c r="M139" s="149"/>
      <c r="N139" s="149"/>
      <c r="O139" s="149"/>
      <c r="P139" s="149"/>
      <c r="Q139" s="149"/>
      <c r="R139" s="149"/>
      <c r="S139" s="149"/>
      <c r="T139" s="149" t="s">
        <v>5152</v>
      </c>
      <c r="U139" s="149" t="s">
        <v>5153</v>
      </c>
      <c r="V139" s="2"/>
      <c r="W139" s="2"/>
      <c r="X139" s="2"/>
      <c r="Y139" s="2"/>
      <c r="Z139" s="2"/>
      <c r="AA139" s="2"/>
      <c r="AB139" s="2"/>
      <c r="AC139" s="2"/>
      <c r="AD139" s="2"/>
      <c r="AE139" s="2"/>
    </row>
    <row r="140" ht="17.25" customHeight="1" spans="1:31">
      <c r="A140" s="13" t="s">
        <v>5390</v>
      </c>
      <c r="B140" s="57"/>
      <c r="C140" s="155" t="s">
        <v>5399</v>
      </c>
      <c r="D140" s="155" t="s">
        <v>5399</v>
      </c>
      <c r="E140" s="57"/>
      <c r="F140" s="57"/>
      <c r="G140" s="157" t="s">
        <v>5387</v>
      </c>
      <c r="H140" s="149"/>
      <c r="I140" s="149"/>
      <c r="J140" s="159">
        <v>1700</v>
      </c>
      <c r="K140" s="149"/>
      <c r="L140" s="149"/>
      <c r="M140" s="149"/>
      <c r="N140" s="149"/>
      <c r="O140" s="149"/>
      <c r="P140" s="149"/>
      <c r="Q140" s="149"/>
      <c r="R140" s="149"/>
      <c r="S140" s="149"/>
      <c r="T140" s="149" t="s">
        <v>5152</v>
      </c>
      <c r="U140" s="149" t="s">
        <v>5153</v>
      </c>
      <c r="V140" s="2"/>
      <c r="W140" s="2"/>
      <c r="X140" s="2"/>
      <c r="Y140" s="2"/>
      <c r="Z140" s="2"/>
      <c r="AA140" s="2"/>
      <c r="AB140" s="2"/>
      <c r="AC140" s="2"/>
      <c r="AD140" s="2"/>
      <c r="AE140" s="2"/>
    </row>
    <row r="141" customHeight="1" spans="1:31">
      <c r="A141" s="57"/>
      <c r="B141" s="57"/>
      <c r="C141" s="57"/>
      <c r="D141" s="57"/>
      <c r="E141" s="57"/>
      <c r="F141" s="57"/>
      <c r="G141" s="57"/>
      <c r="H141" s="57"/>
      <c r="I141" s="57"/>
      <c r="J141" s="57"/>
      <c r="K141" s="57"/>
      <c r="L141" s="57"/>
      <c r="M141" s="57"/>
      <c r="N141" s="57"/>
      <c r="O141" s="57"/>
      <c r="P141" s="57"/>
      <c r="Q141" s="57"/>
      <c r="R141" s="57"/>
      <c r="S141" s="57"/>
      <c r="T141" s="57"/>
      <c r="U141" s="57"/>
      <c r="V141" s="2"/>
      <c r="W141" s="2"/>
      <c r="X141" s="2"/>
      <c r="Y141" s="2"/>
      <c r="Z141" s="2"/>
      <c r="AA141" s="2"/>
      <c r="AB141" s="2"/>
      <c r="AC141" s="2"/>
      <c r="AD141" s="2"/>
      <c r="AE141" s="2"/>
    </row>
    <row r="142" ht="14.25" customHeight="1" spans="1:3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ht="14.8" spans="1:3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ht="14.8" spans="1:3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ht="14.8" spans="1:3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ht="14.8" spans="1:3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ht="14.8" spans="1:3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ht="14.8" spans="1:3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ht="14.8" spans="1:3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ht="14.8" spans="1:3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ht="14.8" spans="1:3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ht="14.8" spans="1:3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ht="14.8" spans="1:3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ht="14.8" spans="1:3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ht="14.8" spans="1:3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ht="14.8" spans="1:3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ht="14.8" spans="1:3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ht="14.8" spans="1:3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ht="14.8" spans="1:3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ht="14.8" spans="1:3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ht="14.8" spans="1:3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ht="14.8" spans="1:3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ht="14.8" spans="1:3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ht="14.8" spans="1:3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ht="14.8" spans="1:3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ht="14.8" spans="1:3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ht="14.8" spans="1:3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ht="14.8" spans="1:3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ht="14.8" spans="1:3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ht="14.8" spans="1:3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ht="14.8" spans="1:3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ht="14.8" spans="1:3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ht="14.8" spans="1:3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ht="14.8" spans="1:3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ht="14.8" spans="1:3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ht="14.8" spans="1:3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ht="14.8" spans="1:3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ht="14.8" spans="1:3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ht="14.8" spans="1:3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ht="14.8" spans="1:3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ht="14.8" spans="1:3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ht="14.8" spans="1:3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ht="14.8" spans="1:3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ht="14.8" spans="1:3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ht="14.8" spans="1:3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ht="14.8" spans="1:3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ht="14.8" spans="1:3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ht="14.8" spans="1:3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ht="14.8" spans="1:3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ht="14.8" spans="1:3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ht="14.8" spans="1:3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ht="14.8" spans="1:3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ht="14.8" spans="1:3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ht="14.8" spans="1:3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ht="14.8" spans="1:3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ht="14.8" spans="1:3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ht="14.8" spans="1:3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ht="14.8" spans="1:3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ht="14.8" spans="1:3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ht="14.8" spans="1:3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ht="14.8" spans="1:3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ht="14.8" spans="1:3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ht="14.8" spans="1:3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ht="14.8" spans="1:3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ht="14.8" spans="1:3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ht="14.8" spans="1:3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ht="14.8" spans="1:3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ht="14.8" spans="1:3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ht="14.8" spans="1:3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ht="14.8" spans="1:3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ht="14.8" spans="1:3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ht="14.8" spans="1:3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ht="14.8" spans="1:3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ht="14.8" spans="1:3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ht="14.8" spans="1:3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ht="14.8" spans="1:3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ht="14.8" spans="1:3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ht="14.8" spans="1:3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ht="14.8" spans="1:3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ht="14.8" spans="1:3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ht="14.8" spans="1:3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ht="14.8" spans="1:3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ht="14.8" spans="1:3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ht="14.8" spans="1:3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ht="14.8" spans="1:3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ht="14.8" spans="1:3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ht="14.8" spans="1:3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ht="14.8" spans="1:3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ht="14.8" spans="1:3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ht="14.8" spans="1:3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ht="14.8" spans="1: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ht="14.8" spans="1:3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ht="14.8" spans="1:3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ht="14.8" spans="1:3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ht="14.8" spans="1:3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ht="14.8" spans="1:3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ht="14.8" spans="1:3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ht="14.8" spans="1:3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ht="14.8" spans="1:3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ht="14.8" spans="1:3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ht="14.8" spans="1:3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ht="14.8" spans="1:3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ht="14.8" spans="1:3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ht="14.8" spans="1:3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ht="14.8" spans="1:3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ht="14.8" spans="1:3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ht="14.8" spans="1:3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ht="14.8" spans="1:3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ht="14.8" spans="1:3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ht="14.8" spans="1:3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ht="14.8" spans="1:3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ht="14.8" spans="1:3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ht="14.8" spans="1:3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ht="14.8" spans="1:3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ht="14.8" spans="1:3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ht="14.8" spans="1:3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ht="14.8" spans="1:3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ht="14.8" spans="1:3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ht="14.8" spans="1:3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ht="14.8" spans="1:3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ht="14.8" spans="1:3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ht="14.8" spans="1:3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ht="14.8" spans="1:3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ht="14.8" spans="1:3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ht="14.8" spans="1:3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ht="14.8" spans="1:3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ht="14.8" spans="1:3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ht="14.8" spans="1:3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ht="14.8" spans="1:3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ht="14.8" spans="1:3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ht="14.8" spans="1:3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ht="14.8" spans="1:3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ht="14.8" spans="1:3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ht="14.8" spans="1:3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ht="14.8" spans="1:3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ht="14.8" spans="1:3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ht="14.8" spans="1:3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ht="14.8" spans="1:3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ht="14.8" spans="1:3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ht="14.8" spans="1:3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ht="14.8" spans="1:3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ht="14.8" spans="1:3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ht="14.8" spans="1:3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ht="14.8" spans="1:3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ht="14.8" spans="1:3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ht="14.8" spans="1:3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ht="14.8" spans="1:3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ht="14.8" spans="1:3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ht="14.8" spans="1:3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ht="14.8" spans="1:3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ht="14.8" spans="1:3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ht="14.8" spans="1:3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ht="14.8" spans="1:3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ht="14.8" spans="1:3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ht="14.8" spans="1:3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ht="14.8" spans="1:3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ht="14.8" spans="1:3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ht="14.8" spans="1:3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ht="14.8" spans="1:3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ht="14.8" spans="1:3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ht="14.8" spans="1:3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ht="14.8" spans="1:3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ht="14.8" spans="1:3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ht="14.8" spans="1:3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ht="14.8" spans="1:3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ht="14.8" spans="1:3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ht="14.8" spans="1:3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ht="14.8" spans="1:3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ht="14.8" spans="1:3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ht="14.8" spans="1:3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ht="14.8" spans="1:3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ht="14.8" spans="1:3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ht="14.8" spans="1:3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ht="14.8" spans="1:3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ht="14.8" spans="1:3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ht="14.8" spans="1:3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ht="14.8" spans="1:3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ht="14.8" spans="1:3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ht="14.8" spans="1:3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ht="14.8" spans="1:3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ht="14.8" spans="1:3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ht="14.8" spans="1:3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ht="14.8" spans="1:3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ht="14.8" spans="1:3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ht="14.8" spans="1:3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ht="14.8" spans="1:3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ht="14.8" spans="1:3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ht="14.8" spans="1:3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ht="14.8" spans="1:3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ht="14.8" spans="1:3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ht="14.8" spans="1: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ht="14.8" spans="1:3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ht="14.8" spans="1:3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ht="14.8" spans="1:3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ht="14.8" spans="1:3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ht="14.8" spans="1:3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ht="14.8" spans="1:3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ht="14.8" spans="1:3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ht="14.8" spans="1:3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ht="14.8" spans="1:3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ht="14.8" spans="1:3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ht="14.8" spans="1:3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ht="14.8" spans="1:3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ht="14.8" spans="1:3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ht="14.8" spans="1:3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ht="14.8" spans="1:3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ht="14.8" spans="1:3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ht="14.8" spans="1:3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ht="14.8" spans="1:3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ht="14.8" spans="1:3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ht="14.8" spans="1:3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ht="14.8" spans="1:3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ht="14.8" spans="1:3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ht="14.8" spans="1:3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ht="14.8" spans="1:3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ht="14.8" spans="1:3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ht="14.8" spans="1:3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ht="14.8" spans="1:3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ht="14.8" spans="1:3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ht="14.8" spans="1:3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ht="14.8" spans="1:3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ht="14.8" spans="1:3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ht="14.8" spans="1:3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ht="14.8" spans="1:3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ht="14.8" spans="1:3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ht="14.8" spans="1:3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ht="14.8" spans="1:3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ht="14.8" spans="1:3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ht="14.8" spans="1:3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ht="14.8" spans="1:3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ht="14.8" spans="1:3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ht="14.8" spans="1:3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ht="14.8" spans="1:3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ht="14.8" spans="1:3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ht="14.8" spans="1:3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ht="14.8" spans="1:3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ht="14.8" spans="1:3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ht="14.8" spans="1:3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ht="14.8" spans="1:3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ht="14.8" spans="1:3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ht="14.8" spans="1:3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ht="14.8" spans="1:3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ht="14.8" spans="1:3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ht="14.8" spans="1:3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ht="14.8" spans="1:3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ht="14.8" spans="1:3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ht="14.8" spans="1:3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ht="14.8" spans="1:3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ht="14.8" spans="1:3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ht="14.8" spans="1:3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ht="14.8" spans="1:3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ht="14.8" spans="1:3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ht="14.8" spans="1:3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ht="14.8" spans="1:3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ht="14.8" spans="1:3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ht="14.8" spans="1:3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ht="14.8" spans="1:3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ht="14.8" spans="1:3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ht="14.8" spans="1:3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ht="14.8" spans="1:3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ht="14.8" spans="1:3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ht="14.8" spans="1:3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ht="14.8" spans="1:3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ht="14.8" spans="1:3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ht="14.8" spans="1:3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ht="14.8" spans="1:3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ht="14.8" spans="1:3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ht="14.8" spans="1:3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ht="14.8" spans="1:3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ht="14.8" spans="1:3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ht="14.8" spans="1:3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ht="14.8" spans="1:3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ht="14.8" spans="1:3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ht="14.8" spans="1:3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ht="14.8" spans="1:3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ht="14.8" spans="1:3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ht="14.8" spans="1:3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ht="14.8" spans="1:3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ht="14.8" spans="1:3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ht="14.8" spans="1:3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ht="14.8" spans="1:3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ht="14.8" spans="1:3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ht="14.8" spans="1:3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ht="14.8" spans="1:3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ht="14.8" spans="1:3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ht="14.8" spans="1:3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ht="14.8" spans="1:3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ht="14.8" spans="1:3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ht="14.8" spans="1:3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ht="14.8" spans="1:3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ht="14.8" spans="1: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ht="14.8" spans="1:3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ht="14.8" spans="1:3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ht="14.8" spans="1:3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ht="14.8" spans="1:3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ht="14.8" spans="1:3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ht="14.8" spans="1:3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ht="14.8" spans="1:3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ht="14.8" spans="1:3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ht="14.8" spans="1:3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ht="14.8" spans="1:3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ht="14.8" spans="1:3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ht="14.8" spans="1:3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ht="14.8" spans="1:3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ht="14.8" spans="1:3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ht="14.8" spans="1:3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ht="14.8" spans="1:3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ht="14.8" spans="1:3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ht="14.8" spans="1:3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ht="14.8" spans="1:3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ht="14.8" spans="1:3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ht="14.8" spans="1:3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ht="14.8" spans="1:3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ht="14.8" spans="1:3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ht="14.8" spans="1:3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ht="14.8" spans="1:3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ht="14.8" spans="1:3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ht="14.8" spans="1:3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ht="14.8" spans="1:3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ht="14.8" spans="1:3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ht="14.8" spans="1:3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ht="14.8" spans="1:3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ht="14.8" spans="1:3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ht="14.8" spans="1:3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ht="14.8" spans="1:3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ht="14.8" spans="1:3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ht="14.8" spans="1:3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ht="14.8" spans="1:3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ht="14.8" spans="1:3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ht="14.8" spans="1:3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ht="14.8" spans="1:3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ht="14.8" spans="1:3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ht="14.8" spans="1:3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ht="14.8" spans="1:3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ht="14.8" spans="1:3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ht="14.8" spans="1:3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ht="14.8" spans="1:3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ht="14.8" spans="1:3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ht="14.8" spans="1:3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ht="14.8" spans="1:3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ht="14.8" spans="1:3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ht="14.8" spans="1:3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ht="14.8" spans="1:3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ht="14.8" spans="1:3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ht="14.8" spans="1:3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ht="14.8" spans="1:3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ht="14.8" spans="1:3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ht="14.8" spans="1:3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ht="14.8" spans="1:3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ht="14.8" spans="1:3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ht="14.8" spans="1:3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ht="14.8" spans="1:3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ht="14.8" spans="1:3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ht="14.8" spans="1:3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ht="14.8" spans="1:3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ht="14.8" spans="1:3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ht="14.8" spans="1:3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ht="14.8" spans="1:3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ht="14.8" spans="1:3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ht="14.8" spans="1:3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ht="14.8" spans="1:3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ht="14.8" spans="1:3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ht="14.8" spans="1:3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ht="14.8" spans="1:3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ht="14.8" spans="1:3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ht="14.8" spans="1:3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ht="14.8" spans="1:3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ht="14.8" spans="1:3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ht="14.8" spans="1:3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ht="14.8" spans="1:3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ht="14.8" spans="1:3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ht="14.8" spans="1:3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ht="14.8" spans="1:3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ht="14.8" spans="1:3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ht="14.8" spans="1:3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ht="14.8" spans="1:3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ht="14.8" spans="1:3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ht="14.8" spans="1:3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ht="14.8" spans="1:3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ht="14.8" spans="1:3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ht="14.8" spans="1:3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ht="14.8" spans="1:3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ht="14.8" spans="1:3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ht="14.8" spans="1:3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ht="14.8" spans="1:3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ht="14.8" spans="1:3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ht="14.8" spans="1:3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ht="14.8" spans="1:3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ht="14.8" spans="1:3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ht="14.8" spans="1:3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ht="14.8" spans="1: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ht="14.8" spans="1:3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ht="14.8" spans="1:3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ht="14.8" spans="1:3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ht="14.8" spans="1:3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ht="14.8" spans="1:3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ht="14.8" spans="1:3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ht="14.8" spans="1:3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ht="14.8" spans="1:3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ht="14.8" spans="1:3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ht="14.8" spans="1:3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ht="14.8" spans="1:3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ht="14.8" spans="1:3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ht="14.8" spans="1:3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ht="14.8" spans="1:3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ht="14.8" spans="1:3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ht="14.8" spans="1:3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ht="14.8" spans="1:3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ht="14.8" spans="1:3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ht="14.8" spans="1:3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ht="14.8" spans="1:3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ht="14.8" spans="1:3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ht="14.8" spans="1:3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ht="14.8" spans="1:3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ht="14.8" spans="1:3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ht="14.8" spans="1:3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ht="14.8" spans="1:3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ht="14.8" spans="1:3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ht="14.8" spans="1:3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ht="14.8" spans="1:3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ht="14.8" spans="1:3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ht="14.8" spans="1:3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ht="14.8" spans="1:3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ht="14.8" spans="1:3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ht="14.8" spans="1:3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ht="14.8" spans="1:3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ht="14.8" spans="1:3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ht="14.8" spans="1:3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ht="14.8" spans="1:3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ht="14.8" spans="1:3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ht="14.8" spans="1:3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ht="14.8" spans="1:3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ht="14.8" spans="1:3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ht="14.8" spans="1:3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ht="14.8" spans="1:3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ht="14.8" spans="1:3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ht="14.8" spans="1:3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ht="14.8" spans="1:3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ht="14.8" spans="1:3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ht="14.8" spans="1:3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ht="14.8" spans="1:3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ht="14.8" spans="1:3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ht="14.8" spans="1:3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ht="14.8" spans="1:3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ht="14.8" spans="1:3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ht="14.8" spans="1:3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ht="14.8" spans="1:3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ht="14.8" spans="1:3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ht="14.8" spans="1:3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ht="14.8" spans="1:3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ht="14.8" spans="1:3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ht="14.8" spans="1:3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ht="14.8" spans="1:3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ht="14.8" spans="1:3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ht="14.8" spans="1:3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ht="14.8" spans="1:3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ht="14.8" spans="1:3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ht="14.8" spans="1:3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ht="14.8" spans="1:3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ht="14.8" spans="1:3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ht="14.8" spans="1:3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ht="14.8" spans="1:3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ht="14.8" spans="1:3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ht="14.8" spans="1:3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ht="14.8" spans="1:3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ht="14.8" spans="1:3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ht="14.8" spans="1:3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ht="14.8" spans="1:3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ht="14.8" spans="1:3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ht="14.8" spans="1:3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ht="14.8" spans="1:3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ht="14.8" spans="1:3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ht="14.8" spans="1:3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ht="14.8" spans="1:3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ht="14.8" spans="1:3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ht="14.8" spans="1:3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ht="14.8" spans="1:3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ht="14.8" spans="1:3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ht="14.8" spans="1:3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ht="14.8" spans="1:3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ht="14.8" spans="1:3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ht="14.8" spans="1:3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ht="14.8" spans="1:3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ht="14.8" spans="1:3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ht="14.8" spans="1:3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ht="14.8" spans="1:3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ht="14.8" spans="1:3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ht="14.8" spans="1:3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ht="14.8" spans="1:3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ht="14.8" spans="1:3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ht="14.8" spans="1: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ht="14.8" spans="1:3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ht="14.8" spans="1:3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ht="14.8" spans="1:3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ht="14.8" spans="1:3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ht="14.8" spans="1:3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ht="14.8" spans="1:3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ht="14.8" spans="1:3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ht="14.8" spans="1:3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ht="14.8" spans="1:3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ht="14.8" spans="1:3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ht="14.8" spans="1:3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ht="14.8" spans="1:3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ht="14.8" spans="1:3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ht="14.8" spans="1:3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ht="14.8" spans="1:3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ht="14.8" spans="1:3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ht="14.8" spans="1:3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ht="14.8" spans="1:3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ht="14.8" spans="1:3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ht="14.8" spans="1:3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ht="14.8" spans="1:3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ht="14.8" spans="1:3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ht="14.8" spans="1:3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ht="14.8" spans="1:3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ht="14.8" spans="1:3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ht="14.8" spans="1:3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ht="14.8" spans="1:3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ht="14.8" spans="1:3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ht="14.8" spans="1:3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ht="14.8" spans="1:3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ht="14.8" spans="1:3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ht="14.8" spans="1:3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ht="14.8" spans="1:3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ht="14.8" spans="1:3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ht="14.8" spans="1:3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ht="14.8" spans="1:3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ht="14.8" spans="1:3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ht="14.8" spans="1:3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ht="14.8" spans="1:3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ht="14.8" spans="1:3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ht="14.8" spans="1:3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ht="14.8" spans="1:3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ht="14.8" spans="1:3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ht="14.8" spans="1:3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ht="14.8" spans="1:3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ht="14.8" spans="1:3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ht="14.8" spans="1:3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ht="14.8" spans="1:3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ht="14.8" spans="1:3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ht="14.8" spans="1:3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ht="14.8" spans="1:3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ht="14.8" spans="1:3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ht="14.8" spans="1:3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ht="14.8" spans="1:3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ht="14.8" spans="1:3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ht="14.8" spans="1:3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ht="14.8" spans="1:3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ht="14.8" spans="1:3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ht="14.8" spans="1:3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ht="14.8" spans="1:3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ht="14.8" spans="1:3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ht="14.8" spans="1:3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ht="14.8" spans="1:3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ht="14.8" spans="1:3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ht="14.8" spans="1:3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ht="14.8" spans="1:3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ht="14.8" spans="1:3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ht="14.8" spans="1:3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ht="14.8" spans="1:3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ht="14.8" spans="1:3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ht="14.8" spans="1:3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ht="14.8" spans="1:3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ht="14.8" spans="1:3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ht="14.8" spans="1:3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ht="14.8" spans="1:3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ht="14.8" spans="1:3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ht="14.8" spans="1:3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ht="14.8" spans="1:3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ht="14.8" spans="1:3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ht="14.8" spans="1:3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ht="14.8" spans="1:3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ht="14.8" spans="1:3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ht="14.8" spans="1:3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ht="14.8" spans="1:3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ht="14.8" spans="1:3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ht="14.8" spans="1:3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ht="14.8" spans="1:3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ht="14.8" spans="1:3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ht="14.8" spans="1:3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ht="14.8" spans="1:3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ht="14.8" spans="1:3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ht="14.8" spans="1:3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ht="14.8" spans="1:3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ht="14.8" spans="1:3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ht="14.8" spans="1:3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ht="14.8" spans="1:3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ht="14.8" spans="1:3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ht="14.8" spans="1:3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ht="14.8" spans="1:3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ht="14.8" spans="1: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ht="14.8" spans="1:3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ht="14.8" spans="1:3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ht="14.8" spans="1:3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ht="14.8" spans="1:3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ht="14.8" spans="1:3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ht="14.8" spans="1:3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ht="14.8" spans="1:3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ht="14.8" spans="1:3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ht="14.8" spans="1:3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ht="14.8" spans="1:3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ht="14.8" spans="1:3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ht="14.8" spans="1:3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ht="14.8" spans="1:3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ht="14.8" spans="1:3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ht="14.8" spans="1:3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ht="14.8" spans="1:3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ht="14.8" spans="1:3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ht="14.8" spans="1:3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ht="14.8" spans="1:3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ht="14.8" spans="1:3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ht="14.8" spans="1:3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ht="14.8" spans="1:3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ht="14.8" spans="1:3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ht="14.8" spans="1:3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ht="14.8" spans="1:3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ht="14.8" spans="1:3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ht="14.8" spans="1:3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ht="14.8" spans="1:3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ht="14.8" spans="1:3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ht="14.8" spans="1:3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ht="14.8" spans="1:3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ht="14.8" spans="1:3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ht="14.8" spans="1:3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ht="14.8" spans="1:3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ht="14.8" spans="1:3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ht="14.8" spans="1:3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ht="14.8" spans="1:3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ht="14.8" spans="1:3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ht="14.8" spans="1:3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ht="14.8" spans="1:3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ht="14.8" spans="1:3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ht="14.8" spans="1:3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ht="14.8" spans="1:3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ht="14.8" spans="1:3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ht="14.8" spans="1:3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ht="14.8" spans="1:3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ht="14.8" spans="1:3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ht="14.8" spans="1:3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ht="14.8" spans="1:3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ht="14.8" spans="1:3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ht="14.8" spans="1:3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ht="14.8" spans="1:3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ht="14.8" spans="1:3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ht="14.8" spans="1:3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ht="14.8" spans="1:3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ht="14.8" spans="1:3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ht="14.8" spans="1:3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ht="14.8" spans="1:3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ht="14.8" spans="1:3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ht="14.8" spans="1:3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ht="14.8" spans="1:3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ht="14.8" spans="1:3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ht="14.8" spans="1:3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ht="14.8" spans="1:3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ht="14.8" spans="1:3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ht="14.8" spans="1:3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ht="14.8" spans="1:3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ht="14.8" spans="1:3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ht="14.8" spans="1:3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ht="14.8" spans="1:3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ht="14.8" spans="1:3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ht="14.8" spans="1:3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ht="14.8" spans="1:3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ht="14.8" spans="1:3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ht="14.8" spans="1:3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ht="14.8" spans="1:3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ht="14.8" spans="1:3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ht="14.8" spans="1:3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ht="14.8" spans="1:3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ht="14.8" spans="1:3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ht="14.8" spans="1:3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ht="14.8" spans="1:3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ht="14.8" spans="1:3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ht="14.8" spans="1:3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ht="14.8" spans="1:3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ht="14.8" spans="1:3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ht="14.8" spans="1:3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ht="14.8" spans="1:3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ht="14.8" spans="1:3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ht="14.8" spans="1:3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ht="14.8" spans="1:3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ht="14.8" spans="1:3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ht="14.8" spans="1:3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ht="14.8" spans="1:3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ht="14.8" spans="1:3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ht="14.8" spans="1:3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ht="14.8" spans="1:3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ht="14.8" spans="1:3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ht="14.8" spans="1:3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ht="14.8" spans="1: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ht="14.8" spans="1:3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ht="14.8" spans="1:3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ht="14.8" spans="1:3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ht="14.8" spans="1:3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ht="14.8" spans="1:3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ht="14.8" spans="1:3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ht="14.8" spans="1:3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ht="14.8" spans="1:3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ht="14.8" spans="1:3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ht="14.8" spans="1:3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ht="14.8" spans="1:3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ht="14.8" spans="1:3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ht="14.8" spans="1:3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ht="14.8" spans="1:3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ht="14.8" spans="1:3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ht="14.8" spans="1:3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ht="14.8" spans="1:3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ht="14.8" spans="1:3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ht="14.8" spans="1:3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ht="14.8" spans="1:3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ht="14.8" spans="1:3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ht="14.8" spans="1:3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ht="14.8" spans="1:3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ht="14.8" spans="1:3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ht="14.8" spans="1:3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ht="14.8" spans="1:3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ht="14.8" spans="1:3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ht="14.8" spans="1:3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ht="14.8" spans="1:3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ht="14.8" spans="1:3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ht="14.8" spans="1:3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ht="14.8" spans="1:3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ht="14.8" spans="1:3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ht="14.8" spans="1:3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ht="14.8" spans="1:3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ht="14.8" spans="1:3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ht="14.8" spans="1:3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ht="14.8" spans="1:3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ht="14.8" spans="1:3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ht="14.8" spans="1:3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ht="14.8" spans="1:3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ht="14.8" spans="1:3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ht="14.8" spans="1:3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ht="14.8" spans="1:3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ht="14.8" spans="1:3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ht="14.8" spans="1:3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ht="14.8" spans="1:3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ht="14.8" spans="1:3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ht="14.8" spans="1:3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ht="14.8" spans="1:3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ht="14.8" spans="1:3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ht="14.8" spans="1:3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ht="14.8" spans="1:3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ht="14.8" spans="1:3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ht="14.8" spans="1:3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ht="14.8" spans="1:3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ht="14.8" spans="1:3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ht="14.8" spans="1:3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ht="14.8" spans="1:3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ht="14.8" spans="1:3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ht="14.8" spans="1:3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ht="14.8" spans="1:3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ht="14.8" spans="1:3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ht="14.8" spans="1:3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ht="14.8" spans="1:3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ht="14.8" spans="1:3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ht="14.8" spans="1:3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ht="14.8" spans="1:3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ht="14.8" spans="1:3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ht="14.8" spans="1:3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ht="14.8" spans="1:3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ht="14.8" spans="1:3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ht="14.8" spans="1:3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ht="14.8" spans="1:3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ht="14.8" spans="1:3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ht="14.8" spans="1:3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ht="14.8" spans="1:3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ht="14.8" spans="1:3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ht="14.8" spans="1:3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ht="14.8" spans="1:3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ht="14.8" spans="1:3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ht="14.8" spans="1:3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ht="14.8" spans="1:3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ht="14.8" spans="1:3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ht="14.8" spans="1:3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ht="14.8" spans="1:3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ht="14.8" spans="1:3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ht="14.8" spans="1:3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ht="14.8" spans="1:3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ht="14.8" spans="1:3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ht="14.8" spans="1:3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ht="14.8" spans="1:3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ht="14.8" spans="1:3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ht="14.8" spans="1:3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ht="14.8" spans="1:3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ht="14.8" spans="1:3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ht="14.8" spans="1:3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ht="14.8" spans="1:3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ht="14.8" spans="1:3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ht="14.8" spans="1: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ht="14.8" spans="1:3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ht="14.8" spans="1:3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ht="14.8" spans="1:3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ht="14.8" spans="1:3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ht="14.8" spans="1:3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ht="14.8" spans="1:3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ht="14.8" spans="1:3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ht="14.8" spans="1:3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ht="14.8" spans="1:3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ht="14.8" spans="1:3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ht="14.8" spans="1:3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ht="14.8" spans="1:3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ht="14.8" spans="1:3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ht="14.8" spans="1:3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ht="14.8" spans="1:3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ht="14.8" spans="1:3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ht="14.8" spans="1:3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ht="14.8" spans="1:3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ht="14.8" spans="1:3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ht="14.8" spans="1:3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ht="14.8" spans="1:3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ht="14.8" spans="1:3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ht="14.8" spans="1:3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ht="14.8" spans="1:3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ht="14.8" spans="1:3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ht="14.8" spans="1:3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ht="14.8" spans="1:3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ht="14.8" spans="1:3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ht="14.8" spans="1:3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ht="14.8" spans="1:3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ht="14.8" spans="1:3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ht="14.8" spans="1:3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ht="14.8" spans="1:3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ht="14.8" spans="1:3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ht="14.8" spans="1:3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ht="14.8" spans="1:3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ht="14.8" spans="1:3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ht="14.8" spans="1:3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ht="14.8" spans="1:3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ht="14.8" spans="1:3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ht="14.8" spans="1:3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ht="14.8" spans="1:3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ht="14.8" spans="1:3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ht="14.8" spans="1:3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ht="14.8" spans="1:3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ht="14.8" spans="1:3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ht="14.8" spans="1:3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ht="14.8" spans="1:3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ht="14.8" spans="1:3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ht="14.8" spans="1:3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ht="14.8" spans="1:3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ht="14.8" spans="1:3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ht="14.8" spans="1:3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ht="14.8" spans="1:3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ht="14.8" spans="1:3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ht="14.8" spans="1:3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ht="14.8" spans="1:3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ht="14.8" spans="1:3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ht="14.8" spans="1:3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ht="14.8" spans="1:3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ht="14.8" spans="1:3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ht="14.8" spans="1:3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ht="14.8" spans="1:3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ht="14.8" spans="1:3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ht="14.8" spans="1:3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ht="14.8" spans="1:3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ht="14.8" spans="1:3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ht="14.8" spans="1:3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ht="14.8" spans="1:3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pane xSplit="1" ySplit="1" topLeftCell="B2" activePane="bottomRight" state="frozen"/>
      <selection/>
      <selection pane="topRight"/>
      <selection pane="bottomLeft"/>
      <selection pane="bottomRight" activeCell="B2" sqref="B2"/>
    </sheetView>
  </sheetViews>
  <sheetFormatPr defaultColWidth="12.6607142857143" defaultRowHeight="15" customHeight="1"/>
  <cols>
    <col min="1" max="1" width="29.8303571428571" customWidth="1"/>
    <col min="2" max="2" width="35.6607142857143" customWidth="1"/>
    <col min="3" max="3" width="25.1607142857143" customWidth="1"/>
    <col min="4" max="4" width="21" customWidth="1"/>
    <col min="5" max="5" width="37.3303571428571" customWidth="1"/>
    <col min="6" max="6" width="39.1607142857143" customWidth="1"/>
    <col min="7" max="7" width="35.6607142857143" customWidth="1"/>
    <col min="8" max="17" width="8.83035714285714" customWidth="1"/>
    <col min="18" max="26" width="11.1607142857143" customWidth="1"/>
  </cols>
  <sheetData>
    <row r="1" ht="14.25" customHeight="1" spans="1:26">
      <c r="A1" s="1" t="s">
        <v>0</v>
      </c>
      <c r="B1" s="2"/>
      <c r="C1" s="2"/>
      <c r="D1" s="2"/>
      <c r="E1" s="2"/>
      <c r="F1" s="2"/>
      <c r="G1" s="2"/>
      <c r="H1" s="2"/>
      <c r="I1" s="2"/>
      <c r="J1" s="2"/>
      <c r="K1" s="2"/>
      <c r="L1" s="2"/>
      <c r="M1" s="2"/>
      <c r="N1" s="2"/>
      <c r="O1" s="2"/>
      <c r="P1" s="2"/>
      <c r="Q1" s="2"/>
      <c r="R1" s="2"/>
      <c r="S1" s="2"/>
      <c r="T1" s="2"/>
      <c r="U1" s="2"/>
      <c r="V1" s="2"/>
      <c r="W1" s="2"/>
      <c r="X1" s="2"/>
      <c r="Y1" s="2"/>
      <c r="Z1" s="2"/>
    </row>
    <row r="2" ht="14.25" customHeight="1" spans="1:26">
      <c r="A2" s="1" t="s">
        <v>5400</v>
      </c>
      <c r="B2" s="2"/>
      <c r="C2" s="2"/>
      <c r="D2" s="2" t="s">
        <v>2</v>
      </c>
      <c r="E2" s="2"/>
      <c r="F2" s="2"/>
      <c r="G2" s="2"/>
      <c r="H2" s="2"/>
      <c r="I2" s="2"/>
      <c r="J2" s="2"/>
      <c r="K2" s="2"/>
      <c r="L2" s="2"/>
      <c r="M2" s="2"/>
      <c r="N2" s="2"/>
      <c r="O2" s="2"/>
      <c r="P2" s="2"/>
      <c r="Q2" s="2"/>
      <c r="R2" s="2"/>
      <c r="S2" s="2"/>
      <c r="T2" s="2"/>
      <c r="U2" s="2"/>
      <c r="V2" s="2"/>
      <c r="W2" s="2"/>
      <c r="X2" s="2"/>
      <c r="Y2" s="2"/>
      <c r="Z2" s="2"/>
    </row>
    <row r="3" customHeight="1" spans="1:26">
      <c r="A3" s="3" t="s">
        <v>3</v>
      </c>
      <c r="B3" s="4" t="s">
        <v>4</v>
      </c>
      <c r="C3" s="5" t="s">
        <v>5</v>
      </c>
      <c r="D3" s="5" t="s">
        <v>6</v>
      </c>
      <c r="E3" s="5" t="s">
        <v>7</v>
      </c>
      <c r="F3" s="4" t="s">
        <v>8</v>
      </c>
      <c r="G3" s="4" t="s">
        <v>9</v>
      </c>
      <c r="H3" s="2"/>
      <c r="I3" s="2"/>
      <c r="J3" s="2"/>
      <c r="K3" s="2"/>
      <c r="L3" s="2"/>
      <c r="M3" s="2"/>
      <c r="N3" s="2"/>
      <c r="O3" s="2"/>
      <c r="P3" s="2"/>
      <c r="Q3" s="2"/>
      <c r="R3" s="2"/>
      <c r="S3" s="2"/>
      <c r="T3" s="2"/>
      <c r="U3" s="2"/>
      <c r="V3" s="2"/>
      <c r="W3" s="2"/>
      <c r="X3" s="2"/>
      <c r="Y3" s="2"/>
      <c r="Z3" s="2"/>
    </row>
    <row r="4" customHeight="1" spans="1:26">
      <c r="A4" s="6" t="s">
        <v>10</v>
      </c>
      <c r="B4" s="2" t="s">
        <v>5401</v>
      </c>
      <c r="C4" s="2" t="s">
        <v>12</v>
      </c>
      <c r="D4" s="2"/>
      <c r="E4" s="2"/>
      <c r="F4" s="2" t="s">
        <v>5402</v>
      </c>
      <c r="G4" s="2" t="s">
        <v>5403</v>
      </c>
      <c r="H4" s="2"/>
      <c r="I4" s="2"/>
      <c r="J4" s="2"/>
      <c r="K4" s="2"/>
      <c r="L4" s="2"/>
      <c r="M4" s="2"/>
      <c r="N4" s="2"/>
      <c r="O4" s="2"/>
      <c r="P4" s="2"/>
      <c r="Q4" s="2"/>
      <c r="R4" s="2"/>
      <c r="S4" s="2"/>
      <c r="T4" s="2"/>
      <c r="U4" s="2"/>
      <c r="V4" s="2"/>
      <c r="W4" s="2"/>
      <c r="X4" s="2"/>
      <c r="Y4" s="2"/>
      <c r="Z4" s="2"/>
    </row>
    <row r="5" customHeight="1" spans="1:26">
      <c r="A5" s="7" t="s">
        <v>15</v>
      </c>
      <c r="B5" s="2" t="s">
        <v>5404</v>
      </c>
      <c r="C5" s="2" t="s">
        <v>12</v>
      </c>
      <c r="D5" s="2"/>
      <c r="E5" s="2"/>
      <c r="F5" s="9" t="str">
        <f>HYPERLINK("http://i.forbesimg.com/media/lists/companies/marks-spencer_416x416.jpg","https://upload.wikimedia.org/wikipedia/en/b/be/Khors_Air_logo.png")</f>
        <v>https://upload.wikimedia.org/wikipedia/en/b/be/Khors_Air_logo.png</v>
      </c>
      <c r="G5" s="9" t="str">
        <f>HYPERLINK("http://www.marksandspencer.com/","http://www.khors.com.ua/index.php?option=com_content&amp;view=frontpage&amp;Itemid=1&amp;lang=en")</f>
        <v>http://www.khors.com.ua/index.php?option=com_content&amp;view=frontpage&amp;Itemid=1&amp;lang=en</v>
      </c>
      <c r="H5" s="2"/>
      <c r="I5" s="2"/>
      <c r="J5" s="2"/>
      <c r="K5" s="2"/>
      <c r="L5" s="2"/>
      <c r="M5" s="2"/>
      <c r="N5" s="2"/>
      <c r="O5" s="2"/>
      <c r="P5" s="2"/>
      <c r="Q5" s="2"/>
      <c r="R5" s="2"/>
      <c r="S5" s="2"/>
      <c r="T5" s="2"/>
      <c r="U5" s="2"/>
      <c r="V5" s="2"/>
      <c r="W5" s="2"/>
      <c r="X5" s="2"/>
      <c r="Y5" s="2"/>
      <c r="Z5" s="2"/>
    </row>
    <row r="6" ht="14.25" customHeight="1" spans="1:26">
      <c r="A6" s="2" t="s">
        <v>18</v>
      </c>
      <c r="B6" s="2" t="s">
        <v>5405</v>
      </c>
      <c r="C6" s="2" t="s">
        <v>20</v>
      </c>
      <c r="D6" s="8">
        <v>340</v>
      </c>
      <c r="E6" s="2" t="s">
        <v>21</v>
      </c>
      <c r="F6" s="2" t="s">
        <v>5406</v>
      </c>
      <c r="G6" s="2" t="s">
        <v>5407</v>
      </c>
      <c r="H6" s="2"/>
      <c r="I6" s="2"/>
      <c r="J6" s="2"/>
      <c r="K6" s="2"/>
      <c r="L6" s="2"/>
      <c r="M6" s="2"/>
      <c r="N6" s="2"/>
      <c r="O6" s="2"/>
      <c r="P6" s="2"/>
      <c r="Q6" s="2"/>
      <c r="R6" s="2"/>
      <c r="S6" s="2"/>
      <c r="T6" s="2"/>
      <c r="U6" s="2"/>
      <c r="V6" s="2"/>
      <c r="W6" s="2"/>
      <c r="X6" s="2"/>
      <c r="Y6" s="2"/>
      <c r="Z6" s="2"/>
    </row>
    <row r="7" ht="14.25" customHeight="1" spans="1:26">
      <c r="A7" s="6" t="s">
        <v>24</v>
      </c>
      <c r="B7" s="2" t="s">
        <v>5408</v>
      </c>
      <c r="C7" s="2" t="s">
        <v>5409</v>
      </c>
      <c r="D7" s="8">
        <v>85</v>
      </c>
      <c r="E7" s="2" t="s">
        <v>21</v>
      </c>
      <c r="F7" s="2" t="s">
        <v>5410</v>
      </c>
      <c r="G7" s="2" t="s">
        <v>5411</v>
      </c>
      <c r="H7" s="2"/>
      <c r="I7" s="2"/>
      <c r="J7" s="2"/>
      <c r="K7" s="2"/>
      <c r="L7" s="2"/>
      <c r="M7" s="2"/>
      <c r="N7" s="2"/>
      <c r="O7" s="2"/>
      <c r="P7" s="2"/>
      <c r="Q7" s="2"/>
      <c r="R7" s="2"/>
      <c r="S7" s="2"/>
      <c r="T7" s="2"/>
      <c r="U7" s="2"/>
      <c r="V7" s="2"/>
      <c r="W7" s="2"/>
      <c r="X7" s="2"/>
      <c r="Y7" s="2"/>
      <c r="Z7" s="2"/>
    </row>
    <row r="8" ht="14.25" customHeight="1" spans="1:26">
      <c r="A8" s="6" t="s">
        <v>29</v>
      </c>
      <c r="B8" s="2" t="s">
        <v>5412</v>
      </c>
      <c r="C8" s="2" t="s">
        <v>31</v>
      </c>
      <c r="D8" s="2">
        <v>30</v>
      </c>
      <c r="E8" s="2" t="s">
        <v>32</v>
      </c>
      <c r="F8" s="2" t="s">
        <v>5413</v>
      </c>
      <c r="G8" s="2" t="s">
        <v>5414</v>
      </c>
      <c r="H8" s="2"/>
      <c r="I8" s="2"/>
      <c r="J8" s="2"/>
      <c r="K8" s="2"/>
      <c r="L8" s="2"/>
      <c r="M8" s="2"/>
      <c r="N8" s="2"/>
      <c r="O8" s="2"/>
      <c r="P8" s="2"/>
      <c r="Q8" s="2"/>
      <c r="R8" s="2"/>
      <c r="S8" s="2"/>
      <c r="T8" s="2"/>
      <c r="U8" s="2"/>
      <c r="V8" s="2"/>
      <c r="W8" s="2"/>
      <c r="X8" s="2"/>
      <c r="Y8" s="2"/>
      <c r="Z8" s="2"/>
    </row>
    <row r="9" ht="14.25" customHeight="1" spans="1:26">
      <c r="A9" s="6" t="s">
        <v>35</v>
      </c>
      <c r="B9" s="2" t="s">
        <v>5415</v>
      </c>
      <c r="C9" s="2" t="s">
        <v>31</v>
      </c>
      <c r="D9" s="2">
        <v>30</v>
      </c>
      <c r="E9" s="2" t="s">
        <v>37</v>
      </c>
      <c r="F9" s="2" t="s">
        <v>5416</v>
      </c>
      <c r="G9" s="9" t="str">
        <f>HYPERLINK("http://www.ebay.de/","http://banka.ua/en/")</f>
        <v>http://banka.ua/en/</v>
      </c>
      <c r="H9" s="2"/>
      <c r="I9" s="2"/>
      <c r="J9" s="2"/>
      <c r="K9" s="2"/>
      <c r="L9" s="2"/>
      <c r="M9" s="2"/>
      <c r="N9" s="2"/>
      <c r="O9" s="2"/>
      <c r="P9" s="2"/>
      <c r="Q9" s="2"/>
      <c r="R9" s="2"/>
      <c r="S9" s="2"/>
      <c r="T9" s="2"/>
      <c r="U9" s="2"/>
      <c r="V9" s="2"/>
      <c r="W9" s="2"/>
      <c r="X9" s="2"/>
      <c r="Y9" s="2"/>
      <c r="Z9" s="2"/>
    </row>
    <row r="10" ht="14.25" customHeight="1" spans="1:26">
      <c r="A10" s="6" t="s">
        <v>40</v>
      </c>
      <c r="B10" s="2" t="s">
        <v>5417</v>
      </c>
      <c r="C10" s="2" t="s">
        <v>4167</v>
      </c>
      <c r="D10" s="2">
        <v>106</v>
      </c>
      <c r="E10" s="2" t="s">
        <v>21</v>
      </c>
      <c r="F10" s="2" t="s">
        <v>5418</v>
      </c>
      <c r="G10" s="9" t="str">
        <f>HYPERLINK("http://www.amazon.de/","http://www.bookit.com.ua")</f>
        <v>http://www.bookit.com.ua</v>
      </c>
      <c r="H10" s="2"/>
      <c r="I10" s="2"/>
      <c r="J10" s="2"/>
      <c r="K10" s="2"/>
      <c r="L10" s="2"/>
      <c r="M10" s="2"/>
      <c r="N10" s="2"/>
      <c r="O10" s="2"/>
      <c r="P10" s="2"/>
      <c r="Q10" s="2"/>
      <c r="R10" s="2"/>
      <c r="S10" s="2"/>
      <c r="T10" s="2"/>
      <c r="U10" s="2"/>
      <c r="V10" s="2"/>
      <c r="W10" s="2"/>
      <c r="X10" s="2"/>
      <c r="Y10" s="2"/>
      <c r="Z10" s="2"/>
    </row>
    <row r="11" ht="14.25" customHeight="1" spans="1:26">
      <c r="A11" s="6" t="s">
        <v>44</v>
      </c>
      <c r="B11" s="2" t="s">
        <v>5419</v>
      </c>
      <c r="C11" s="2" t="s">
        <v>46</v>
      </c>
      <c r="D11" s="2"/>
      <c r="E11" s="2"/>
      <c r="F11" s="2" t="s">
        <v>5420</v>
      </c>
      <c r="G11" s="2" t="s">
        <v>5421</v>
      </c>
      <c r="H11" s="2"/>
      <c r="I11" s="2"/>
      <c r="J11" s="2"/>
      <c r="K11" s="2"/>
      <c r="L11" s="2"/>
      <c r="M11" s="2"/>
      <c r="N11" s="2"/>
      <c r="O11" s="2"/>
      <c r="P11" s="2"/>
      <c r="Q11" s="2"/>
      <c r="R11" s="2"/>
      <c r="S11" s="2"/>
      <c r="T11" s="2"/>
      <c r="U11" s="2"/>
      <c r="V11" s="2"/>
      <c r="W11" s="2"/>
      <c r="X11" s="2"/>
      <c r="Y11" s="2"/>
      <c r="Z11" s="2"/>
    </row>
    <row r="12" ht="14.25" customHeight="1" spans="1:26">
      <c r="A12" s="2" t="s">
        <v>49</v>
      </c>
      <c r="B12" s="2" t="s">
        <v>5422</v>
      </c>
      <c r="C12" s="2" t="s">
        <v>3483</v>
      </c>
      <c r="D12" s="2"/>
      <c r="E12" s="2"/>
      <c r="F12" s="2" t="s">
        <v>5423</v>
      </c>
      <c r="G12" s="2" t="s">
        <v>5424</v>
      </c>
      <c r="H12" s="2"/>
      <c r="I12" s="2"/>
      <c r="J12" s="2"/>
      <c r="K12" s="2"/>
      <c r="L12" s="2"/>
      <c r="M12" s="2"/>
      <c r="N12" s="2"/>
      <c r="O12" s="2"/>
      <c r="P12" s="2"/>
      <c r="Q12" s="2"/>
      <c r="R12" s="2"/>
      <c r="S12" s="2"/>
      <c r="T12" s="2"/>
      <c r="U12" s="2"/>
      <c r="V12" s="2"/>
      <c r="W12" s="2"/>
      <c r="X12" s="2"/>
      <c r="Y12" s="2"/>
      <c r="Z12" s="2"/>
    </row>
    <row r="13" ht="14.25" customHeight="1" spans="1:26">
      <c r="A13" s="6" t="s">
        <v>54</v>
      </c>
      <c r="B13" s="2" t="s">
        <v>5425</v>
      </c>
      <c r="C13" s="2" t="s">
        <v>3483</v>
      </c>
      <c r="D13" s="2"/>
      <c r="E13" s="2"/>
      <c r="F13" s="2" t="s">
        <v>5426</v>
      </c>
      <c r="G13" s="2" t="s">
        <v>5427</v>
      </c>
      <c r="H13" s="2"/>
      <c r="I13" s="2"/>
      <c r="J13" s="2"/>
      <c r="K13" s="2"/>
      <c r="L13" s="2"/>
      <c r="M13" s="2"/>
      <c r="N13" s="2"/>
      <c r="O13" s="2"/>
      <c r="P13" s="2"/>
      <c r="Q13" s="2"/>
      <c r="R13" s="2"/>
      <c r="S13" s="2"/>
      <c r="T13" s="2"/>
      <c r="U13" s="2"/>
      <c r="V13" s="2"/>
      <c r="W13" s="2"/>
      <c r="X13" s="2"/>
      <c r="Y13" s="2"/>
      <c r="Z13" s="2"/>
    </row>
    <row r="14" ht="14.25" customHeight="1" spans="1:26">
      <c r="A14" s="6" t="s">
        <v>59</v>
      </c>
      <c r="B14" s="2" t="s">
        <v>5428</v>
      </c>
      <c r="C14" s="2" t="s">
        <v>61</v>
      </c>
      <c r="D14" s="2">
        <v>13</v>
      </c>
      <c r="E14" s="2" t="s">
        <v>37</v>
      </c>
      <c r="F14" s="2" t="s">
        <v>5429</v>
      </c>
      <c r="G14" s="2" t="s">
        <v>5430</v>
      </c>
      <c r="H14" s="2"/>
      <c r="I14" s="2"/>
      <c r="J14" s="2"/>
      <c r="K14" s="2"/>
      <c r="L14" s="2"/>
      <c r="M14" s="2"/>
      <c r="N14" s="2"/>
      <c r="O14" s="2"/>
      <c r="P14" s="2"/>
      <c r="Q14" s="2"/>
      <c r="R14" s="2"/>
      <c r="S14" s="2"/>
      <c r="T14" s="2"/>
      <c r="U14" s="2"/>
      <c r="V14" s="2"/>
      <c r="W14" s="2"/>
      <c r="X14" s="2"/>
      <c r="Y14" s="2"/>
      <c r="Z14" s="2"/>
    </row>
    <row r="15" ht="14.25" customHeight="1" spans="1:26">
      <c r="A15" s="6" t="s">
        <v>64</v>
      </c>
      <c r="B15" s="2" t="s">
        <v>5431</v>
      </c>
      <c r="C15" s="2" t="s">
        <v>66</v>
      </c>
      <c r="D15" s="2">
        <v>13</v>
      </c>
      <c r="E15" s="2" t="s">
        <v>32</v>
      </c>
      <c r="F15" s="2" t="s">
        <v>5432</v>
      </c>
      <c r="G15" s="2" t="s">
        <v>5433</v>
      </c>
      <c r="H15" s="2"/>
      <c r="I15" s="2"/>
      <c r="J15" s="2"/>
      <c r="K15" s="2"/>
      <c r="L15" s="2"/>
      <c r="M15" s="2"/>
      <c r="N15" s="2"/>
      <c r="O15" s="2"/>
      <c r="P15" s="2"/>
      <c r="Q15" s="2"/>
      <c r="R15" s="2"/>
      <c r="S15" s="2"/>
      <c r="T15" s="2"/>
      <c r="U15" s="2"/>
      <c r="V15" s="2"/>
      <c r="W15" s="2"/>
      <c r="X15" s="2"/>
      <c r="Y15" s="2"/>
      <c r="Z15" s="2"/>
    </row>
    <row r="16" ht="14.25" customHeight="1" spans="1:26">
      <c r="A16" s="6" t="s">
        <v>69</v>
      </c>
      <c r="B16" s="2" t="s">
        <v>5434</v>
      </c>
      <c r="C16" s="2" t="s">
        <v>66</v>
      </c>
      <c r="D16" s="2">
        <v>12</v>
      </c>
      <c r="E16" s="2" t="s">
        <v>71</v>
      </c>
      <c r="F16" s="2" t="s">
        <v>5435</v>
      </c>
      <c r="G16" s="2" t="s">
        <v>5436</v>
      </c>
      <c r="H16" s="2"/>
      <c r="I16" s="2"/>
      <c r="J16" s="2"/>
      <c r="K16" s="2"/>
      <c r="L16" s="2"/>
      <c r="M16" s="2"/>
      <c r="N16" s="2"/>
      <c r="O16" s="2"/>
      <c r="P16" s="2"/>
      <c r="Q16" s="2"/>
      <c r="R16" s="2"/>
      <c r="S16" s="2"/>
      <c r="T16" s="2"/>
      <c r="U16" s="2"/>
      <c r="V16" s="2"/>
      <c r="W16" s="2"/>
      <c r="X16" s="2"/>
      <c r="Y16" s="2"/>
      <c r="Z16" s="2"/>
    </row>
    <row r="17" ht="14.25" customHeight="1" spans="1:26">
      <c r="A17" s="6" t="s">
        <v>74</v>
      </c>
      <c r="B17" s="2" t="s">
        <v>5437</v>
      </c>
      <c r="C17" s="2" t="s">
        <v>76</v>
      </c>
      <c r="D17" s="2"/>
      <c r="E17" s="2"/>
      <c r="F17" s="2" t="s">
        <v>5438</v>
      </c>
      <c r="G17" s="2" t="s">
        <v>5439</v>
      </c>
      <c r="H17" s="2"/>
      <c r="I17" s="2"/>
      <c r="J17" s="2"/>
      <c r="K17" s="2"/>
      <c r="L17" s="2"/>
      <c r="M17" s="2"/>
      <c r="N17" s="2"/>
      <c r="O17" s="2"/>
      <c r="P17" s="2"/>
      <c r="Q17" s="2"/>
      <c r="R17" s="2"/>
      <c r="S17" s="2"/>
      <c r="T17" s="2"/>
      <c r="U17" s="2"/>
      <c r="V17" s="2"/>
      <c r="W17" s="2"/>
      <c r="X17" s="2"/>
      <c r="Y17" s="2"/>
      <c r="Z17" s="2"/>
    </row>
    <row r="18" ht="14.25" customHeight="1" spans="1:26">
      <c r="A18" s="6" t="s">
        <v>79</v>
      </c>
      <c r="B18" s="2" t="s">
        <v>5440</v>
      </c>
      <c r="C18" s="2" t="s">
        <v>81</v>
      </c>
      <c r="D18" s="2">
        <v>30</v>
      </c>
      <c r="E18" s="2" t="s">
        <v>37</v>
      </c>
      <c r="F18" s="125"/>
      <c r="G18" s="125"/>
      <c r="H18" s="2"/>
      <c r="I18" s="2"/>
      <c r="J18" s="2"/>
      <c r="K18" s="2"/>
      <c r="L18" s="2"/>
      <c r="M18" s="2"/>
      <c r="N18" s="2"/>
      <c r="O18" s="2"/>
      <c r="P18" s="2"/>
      <c r="Q18" s="2"/>
      <c r="R18" s="2"/>
      <c r="S18" s="2"/>
      <c r="T18" s="2"/>
      <c r="U18" s="2"/>
      <c r="V18" s="2"/>
      <c r="W18" s="2"/>
      <c r="X18" s="2"/>
      <c r="Y18" s="2"/>
      <c r="Z18" s="2"/>
    </row>
    <row r="19" ht="14.25" customHeight="1" spans="1:26">
      <c r="A19" s="6" t="s">
        <v>84</v>
      </c>
      <c r="B19" s="2" t="s">
        <v>5441</v>
      </c>
      <c r="C19" s="2" t="s">
        <v>86</v>
      </c>
      <c r="D19" s="8">
        <v>134</v>
      </c>
      <c r="E19" s="2" t="s">
        <v>21</v>
      </c>
      <c r="F19" s="2" t="s">
        <v>5442</v>
      </c>
      <c r="G19" s="9" t="str">
        <f>HYPERLINK("http://www.thebodyshop.de/","http://www.europe-stomatolog-centre.com.ua/en/workers.html")</f>
        <v>http://www.europe-stomatolog-centre.com.ua/en/workers.html</v>
      </c>
      <c r="H19" s="2"/>
      <c r="I19" s="2"/>
      <c r="J19" s="2"/>
      <c r="K19" s="2"/>
      <c r="L19" s="2"/>
      <c r="M19" s="2"/>
      <c r="N19" s="2"/>
      <c r="O19" s="2"/>
      <c r="P19" s="2"/>
      <c r="Q19" s="2"/>
      <c r="R19" s="2"/>
      <c r="S19" s="2"/>
      <c r="T19" s="2"/>
      <c r="U19" s="2"/>
      <c r="V19" s="2"/>
      <c r="W19" s="2"/>
      <c r="X19" s="2"/>
      <c r="Y19" s="2"/>
      <c r="Z19" s="2"/>
    </row>
    <row r="20" ht="14.25" customHeight="1" spans="1:26">
      <c r="A20" s="6" t="s">
        <v>89</v>
      </c>
      <c r="B20" s="2" t="s">
        <v>5443</v>
      </c>
      <c r="C20" s="2" t="s">
        <v>91</v>
      </c>
      <c r="D20" s="2"/>
      <c r="E20" s="2"/>
      <c r="F20" s="2" t="s">
        <v>5444</v>
      </c>
      <c r="G20" s="9" t="str">
        <f>HYPERLINK("http://www.maccosmetics.de/","http://pickardhomes.kiev.ua")</f>
        <v>http://pickardhomes.kiev.ua</v>
      </c>
      <c r="H20" s="2"/>
      <c r="I20" s="2"/>
      <c r="J20" s="2"/>
      <c r="K20" s="2"/>
      <c r="L20" s="2"/>
      <c r="M20" s="2"/>
      <c r="N20" s="2"/>
      <c r="O20" s="2"/>
      <c r="P20" s="2"/>
      <c r="Q20" s="2"/>
      <c r="R20" s="2"/>
      <c r="S20" s="2"/>
      <c r="T20" s="2"/>
      <c r="U20" s="2"/>
      <c r="V20" s="2"/>
      <c r="W20" s="2"/>
      <c r="X20" s="2"/>
      <c r="Y20" s="2"/>
      <c r="Z20" s="2"/>
    </row>
    <row r="21" ht="14.25" customHeight="1" spans="1:26">
      <c r="A21" s="6" t="s">
        <v>94</v>
      </c>
      <c r="B21" s="2" t="s">
        <v>5445</v>
      </c>
      <c r="C21" s="2" t="s">
        <v>925</v>
      </c>
      <c r="D21" s="2">
        <v>60</v>
      </c>
      <c r="E21" s="2" t="s">
        <v>71</v>
      </c>
      <c r="F21" s="2" t="s">
        <v>5446</v>
      </c>
      <c r="G21" s="2" t="s">
        <v>5447</v>
      </c>
      <c r="H21" s="2"/>
      <c r="I21" s="2"/>
      <c r="J21" s="2"/>
      <c r="K21" s="2"/>
      <c r="L21" s="2"/>
      <c r="M21" s="2"/>
      <c r="N21" s="2"/>
      <c r="O21" s="2"/>
      <c r="P21" s="2"/>
      <c r="Q21" s="2"/>
      <c r="R21" s="2"/>
      <c r="S21" s="2"/>
      <c r="T21" s="2"/>
      <c r="U21" s="2"/>
      <c r="V21" s="2"/>
      <c r="W21" s="2"/>
      <c r="X21" s="2"/>
      <c r="Y21" s="2"/>
      <c r="Z21" s="2"/>
    </row>
    <row r="22" ht="14.25" customHeight="1" spans="1:26">
      <c r="A22" s="6" t="s">
        <v>99</v>
      </c>
      <c r="B22" s="2" t="s">
        <v>5448</v>
      </c>
      <c r="C22" s="2" t="s">
        <v>925</v>
      </c>
      <c r="D22" s="2">
        <v>70</v>
      </c>
      <c r="E22" s="2" t="s">
        <v>32</v>
      </c>
      <c r="F22" s="2" t="s">
        <v>5449</v>
      </c>
      <c r="G22" s="2" t="s">
        <v>5450</v>
      </c>
      <c r="H22" s="2"/>
      <c r="I22" s="2"/>
      <c r="J22" s="2"/>
      <c r="K22" s="2"/>
      <c r="L22" s="2"/>
      <c r="M22" s="2"/>
      <c r="N22" s="2"/>
      <c r="O22" s="2"/>
      <c r="P22" s="2"/>
      <c r="Q22" s="2"/>
      <c r="R22" s="2"/>
      <c r="S22" s="2"/>
      <c r="T22" s="2"/>
      <c r="U22" s="2"/>
      <c r="V22" s="2"/>
      <c r="W22" s="2"/>
      <c r="X22" s="2"/>
      <c r="Y22" s="2"/>
      <c r="Z22" s="2"/>
    </row>
    <row r="23" ht="14.25" customHeight="1" spans="1:26">
      <c r="A23" s="6" t="s">
        <v>102</v>
      </c>
      <c r="B23" s="2" t="s">
        <v>5451</v>
      </c>
      <c r="C23" s="2" t="s">
        <v>108</v>
      </c>
      <c r="D23" s="2">
        <v>123</v>
      </c>
      <c r="E23" s="2" t="s">
        <v>21</v>
      </c>
      <c r="F23" s="2" t="s">
        <v>5452</v>
      </c>
      <c r="G23" s="2" t="s">
        <v>5453</v>
      </c>
      <c r="H23" s="2"/>
      <c r="I23" s="2"/>
      <c r="J23" s="2"/>
      <c r="K23" s="2"/>
      <c r="L23" s="2"/>
      <c r="M23" s="2"/>
      <c r="N23" s="2"/>
      <c r="O23" s="2"/>
      <c r="P23" s="2"/>
      <c r="Q23" s="2"/>
      <c r="R23" s="2"/>
      <c r="S23" s="2"/>
      <c r="T23" s="2"/>
      <c r="U23" s="2"/>
      <c r="V23" s="2"/>
      <c r="W23" s="2"/>
      <c r="X23" s="2"/>
      <c r="Y23" s="2"/>
      <c r="Z23" s="2"/>
    </row>
    <row r="24" ht="14.25" customHeight="1" spans="1:26">
      <c r="A24" s="6" t="s">
        <v>107</v>
      </c>
      <c r="B24" s="2" t="s">
        <v>5454</v>
      </c>
      <c r="C24" s="2" t="s">
        <v>104</v>
      </c>
      <c r="D24" s="2"/>
      <c r="E24" s="2"/>
      <c r="F24" s="2" t="s">
        <v>5455</v>
      </c>
      <c r="G24" s="2" t="s">
        <v>5456</v>
      </c>
      <c r="H24" s="2"/>
      <c r="I24" s="2"/>
      <c r="J24" s="2"/>
      <c r="K24" s="2"/>
      <c r="L24" s="2"/>
      <c r="M24" s="2"/>
      <c r="N24" s="2"/>
      <c r="O24" s="2"/>
      <c r="P24" s="2"/>
      <c r="Q24" s="2"/>
      <c r="R24" s="2"/>
      <c r="S24" s="2"/>
      <c r="T24" s="2"/>
      <c r="U24" s="2"/>
      <c r="V24" s="2"/>
      <c r="W24" s="2"/>
      <c r="X24" s="2"/>
      <c r="Y24" s="2"/>
      <c r="Z24" s="2"/>
    </row>
    <row r="25" ht="14.25" customHeight="1" spans="1:26">
      <c r="A25" s="6" t="s">
        <v>110</v>
      </c>
      <c r="B25" s="2" t="s">
        <v>5457</v>
      </c>
      <c r="C25" s="2" t="s">
        <v>112</v>
      </c>
      <c r="D25" s="2"/>
      <c r="E25" s="2"/>
      <c r="F25" s="2" t="s">
        <v>5458</v>
      </c>
      <c r="G25" s="2" t="s">
        <v>5459</v>
      </c>
      <c r="H25" s="2"/>
      <c r="I25" s="2"/>
      <c r="J25" s="2"/>
      <c r="K25" s="2"/>
      <c r="L25" s="2"/>
      <c r="M25" s="2"/>
      <c r="N25" s="2"/>
      <c r="O25" s="2"/>
      <c r="P25" s="2"/>
      <c r="Q25" s="2"/>
      <c r="R25" s="2"/>
      <c r="S25" s="2"/>
      <c r="T25" s="2"/>
      <c r="U25" s="2"/>
      <c r="V25" s="2"/>
      <c r="W25" s="2"/>
      <c r="X25" s="2"/>
      <c r="Y25" s="2"/>
      <c r="Z25" s="2"/>
    </row>
    <row r="26" ht="14.25" customHeight="1" spans="1:26">
      <c r="A26" s="2" t="s">
        <v>115</v>
      </c>
      <c r="B26" s="2" t="s">
        <v>5460</v>
      </c>
      <c r="C26" s="2" t="s">
        <v>117</v>
      </c>
      <c r="D26" s="2">
        <v>90</v>
      </c>
      <c r="E26" s="2" t="s">
        <v>32</v>
      </c>
      <c r="F26" s="2" t="s">
        <v>5461</v>
      </c>
      <c r="G26" s="2" t="s">
        <v>5462</v>
      </c>
      <c r="H26" s="2"/>
      <c r="I26" s="2"/>
      <c r="J26" s="2"/>
      <c r="K26" s="2"/>
      <c r="L26" s="2"/>
      <c r="M26" s="2"/>
      <c r="N26" s="2"/>
      <c r="O26" s="2"/>
      <c r="P26" s="2"/>
      <c r="Q26" s="2"/>
      <c r="R26" s="2"/>
      <c r="S26" s="2"/>
      <c r="T26" s="2"/>
      <c r="U26" s="2"/>
      <c r="V26" s="2"/>
      <c r="W26" s="2"/>
      <c r="X26" s="2"/>
      <c r="Y26" s="2"/>
      <c r="Z26" s="2"/>
    </row>
    <row r="27" ht="14.25" customHeight="1" spans="1:26">
      <c r="A27" s="6" t="s">
        <v>120</v>
      </c>
      <c r="B27" s="2" t="s">
        <v>5463</v>
      </c>
      <c r="C27" s="2" t="s">
        <v>117</v>
      </c>
      <c r="D27" s="2">
        <v>60</v>
      </c>
      <c r="E27" s="2" t="s">
        <v>37</v>
      </c>
      <c r="F27" s="2" t="s">
        <v>5464</v>
      </c>
      <c r="G27" s="9" t="str">
        <f>HYPERLINK("http://www.euronics.de/","http://www.market.kg")</f>
        <v>http://www.market.kg</v>
      </c>
      <c r="H27" s="2"/>
      <c r="I27" s="2"/>
      <c r="J27" s="2"/>
      <c r="K27" s="2"/>
      <c r="L27" s="2"/>
      <c r="M27" s="2"/>
      <c r="N27" s="2"/>
      <c r="O27" s="2"/>
      <c r="P27" s="2"/>
      <c r="Q27" s="2"/>
      <c r="R27" s="2"/>
      <c r="S27" s="2"/>
      <c r="T27" s="2"/>
      <c r="U27" s="2"/>
      <c r="V27" s="2"/>
      <c r="W27" s="2"/>
      <c r="X27" s="2"/>
      <c r="Y27" s="2"/>
      <c r="Z27" s="2"/>
    </row>
    <row r="28" ht="14.25" customHeight="1" spans="1:26">
      <c r="A28" s="6" t="s">
        <v>123</v>
      </c>
      <c r="B28" s="2" t="s">
        <v>5465</v>
      </c>
      <c r="C28" s="2" t="s">
        <v>117</v>
      </c>
      <c r="D28" s="2">
        <v>80</v>
      </c>
      <c r="E28" s="2" t="s">
        <v>245</v>
      </c>
      <c r="F28" s="2" t="s">
        <v>5466</v>
      </c>
      <c r="G28" s="2" t="s">
        <v>5467</v>
      </c>
      <c r="H28" s="2"/>
      <c r="I28" s="2"/>
      <c r="J28" s="2"/>
      <c r="K28" s="2"/>
      <c r="L28" s="2"/>
      <c r="M28" s="2"/>
      <c r="N28" s="2"/>
      <c r="O28" s="2"/>
      <c r="P28" s="2"/>
      <c r="Q28" s="2"/>
      <c r="R28" s="2"/>
      <c r="S28" s="2"/>
      <c r="T28" s="2"/>
      <c r="U28" s="2"/>
      <c r="V28" s="2"/>
      <c r="W28" s="2"/>
      <c r="X28" s="2"/>
      <c r="Y28" s="2"/>
      <c r="Z28" s="2"/>
    </row>
    <row r="29" ht="14.25" customHeight="1" spans="1:26">
      <c r="A29" s="6" t="s">
        <v>127</v>
      </c>
      <c r="B29" s="2" t="s">
        <v>5468</v>
      </c>
      <c r="C29" s="2" t="s">
        <v>117</v>
      </c>
      <c r="D29" s="2">
        <v>50</v>
      </c>
      <c r="E29" s="2" t="s">
        <v>37</v>
      </c>
      <c r="F29" s="2" t="s">
        <v>5469</v>
      </c>
      <c r="G29" s="2" t="s">
        <v>5470</v>
      </c>
      <c r="H29" s="2"/>
      <c r="I29" s="2"/>
      <c r="J29" s="2"/>
      <c r="K29" s="2"/>
      <c r="L29" s="2"/>
      <c r="M29" s="2"/>
      <c r="N29" s="2"/>
      <c r="O29" s="2"/>
      <c r="P29" s="2"/>
      <c r="Q29" s="2"/>
      <c r="R29" s="2"/>
      <c r="S29" s="2"/>
      <c r="T29" s="2"/>
      <c r="U29" s="2"/>
      <c r="V29" s="2"/>
      <c r="W29" s="2"/>
      <c r="X29" s="2"/>
      <c r="Y29" s="2"/>
      <c r="Z29" s="2"/>
    </row>
    <row r="30" ht="14.25" customHeight="1" spans="1:26">
      <c r="A30" s="6" t="s">
        <v>131</v>
      </c>
      <c r="B30" s="2" t="s">
        <v>5471</v>
      </c>
      <c r="C30" s="2" t="s">
        <v>117</v>
      </c>
      <c r="D30" s="2">
        <v>50</v>
      </c>
      <c r="E30" s="2" t="s">
        <v>32</v>
      </c>
      <c r="F30" s="2" t="s">
        <v>5472</v>
      </c>
      <c r="G30" s="2" t="s">
        <v>5473</v>
      </c>
      <c r="H30" s="2"/>
      <c r="I30" s="2"/>
      <c r="J30" s="2"/>
      <c r="K30" s="2"/>
      <c r="L30" s="2"/>
      <c r="M30" s="2"/>
      <c r="N30" s="2"/>
      <c r="O30" s="2"/>
      <c r="P30" s="2"/>
      <c r="Q30" s="2"/>
      <c r="R30" s="2"/>
      <c r="S30" s="2"/>
      <c r="T30" s="2"/>
      <c r="U30" s="2"/>
      <c r="V30" s="2"/>
      <c r="W30" s="2"/>
      <c r="X30" s="2"/>
      <c r="Y30" s="2"/>
      <c r="Z30" s="2"/>
    </row>
    <row r="31" ht="14.25" customHeight="1" spans="1:26">
      <c r="A31" s="6" t="s">
        <v>135</v>
      </c>
      <c r="B31" s="2" t="s">
        <v>5474</v>
      </c>
      <c r="C31" s="2" t="s">
        <v>117</v>
      </c>
      <c r="D31" s="2">
        <v>30</v>
      </c>
      <c r="E31" s="2" t="s">
        <v>32</v>
      </c>
      <c r="F31" s="2" t="s">
        <v>5475</v>
      </c>
      <c r="G31" s="2" t="s">
        <v>5476</v>
      </c>
      <c r="H31" s="2"/>
      <c r="I31" s="2"/>
      <c r="J31" s="2"/>
      <c r="K31" s="2"/>
      <c r="L31" s="2"/>
      <c r="M31" s="2"/>
      <c r="N31" s="2"/>
      <c r="O31" s="2"/>
      <c r="P31" s="2"/>
      <c r="Q31" s="2"/>
      <c r="R31" s="2"/>
      <c r="S31" s="2"/>
      <c r="T31" s="2"/>
      <c r="U31" s="2"/>
      <c r="V31" s="2"/>
      <c r="W31" s="2"/>
      <c r="X31" s="2"/>
      <c r="Y31" s="2"/>
      <c r="Z31" s="2"/>
    </row>
    <row r="32" ht="14.25" customHeight="1" spans="1:26">
      <c r="A32" s="6" t="s">
        <v>139</v>
      </c>
      <c r="B32" s="2" t="s">
        <v>5477</v>
      </c>
      <c r="C32" s="2" t="s">
        <v>141</v>
      </c>
      <c r="D32" s="8">
        <v>55</v>
      </c>
      <c r="E32" s="2" t="s">
        <v>37</v>
      </c>
      <c r="F32" s="2" t="s">
        <v>5478</v>
      </c>
      <c r="G32" s="2" t="s">
        <v>5479</v>
      </c>
      <c r="H32" s="2"/>
      <c r="I32" s="2"/>
      <c r="J32" s="2"/>
      <c r="K32" s="2"/>
      <c r="L32" s="2"/>
      <c r="M32" s="2"/>
      <c r="N32" s="2"/>
      <c r="O32" s="2"/>
      <c r="P32" s="2"/>
      <c r="Q32" s="2"/>
      <c r="R32" s="2"/>
      <c r="S32" s="2"/>
      <c r="T32" s="2"/>
      <c r="U32" s="2"/>
      <c r="V32" s="2"/>
      <c r="W32" s="2"/>
      <c r="X32" s="2"/>
      <c r="Y32" s="2"/>
      <c r="Z32" s="2"/>
    </row>
    <row r="33" ht="14.25" customHeight="1" spans="1:26">
      <c r="A33" s="6" t="s">
        <v>144</v>
      </c>
      <c r="B33" s="2" t="s">
        <v>5480</v>
      </c>
      <c r="C33" s="2" t="s">
        <v>146</v>
      </c>
      <c r="D33" s="2"/>
      <c r="E33" s="2"/>
      <c r="F33" s="2" t="s">
        <v>5481</v>
      </c>
      <c r="G33" s="2" t="s">
        <v>5482</v>
      </c>
      <c r="H33" s="2"/>
      <c r="I33" s="2"/>
      <c r="J33" s="2"/>
      <c r="K33" s="2"/>
      <c r="L33" s="2"/>
      <c r="M33" s="2"/>
      <c r="N33" s="2"/>
      <c r="O33" s="2"/>
      <c r="P33" s="2"/>
      <c r="Q33" s="2"/>
      <c r="R33" s="2"/>
      <c r="S33" s="2"/>
      <c r="T33" s="2"/>
      <c r="U33" s="2"/>
      <c r="V33" s="2"/>
      <c r="W33" s="2"/>
      <c r="X33" s="2"/>
      <c r="Y33" s="2"/>
      <c r="Z33" s="2"/>
    </row>
    <row r="34" ht="14.25" customHeight="1" spans="1:26">
      <c r="A34" s="6" t="s">
        <v>149</v>
      </c>
      <c r="B34" s="2" t="s">
        <v>5483</v>
      </c>
      <c r="C34" s="2" t="s">
        <v>151</v>
      </c>
      <c r="D34" s="2"/>
      <c r="E34" s="2"/>
      <c r="F34" s="2" t="s">
        <v>5484</v>
      </c>
      <c r="G34" s="2" t="s">
        <v>5485</v>
      </c>
      <c r="H34" s="2"/>
      <c r="I34" s="2"/>
      <c r="J34" s="2"/>
      <c r="K34" s="2"/>
      <c r="L34" s="2"/>
      <c r="M34" s="2"/>
      <c r="N34" s="2"/>
      <c r="O34" s="2"/>
      <c r="P34" s="2"/>
      <c r="Q34" s="2"/>
      <c r="R34" s="2"/>
      <c r="S34" s="2"/>
      <c r="T34" s="2"/>
      <c r="U34" s="2"/>
      <c r="V34" s="2"/>
      <c r="W34" s="2"/>
      <c r="X34" s="2"/>
      <c r="Y34" s="2"/>
      <c r="Z34" s="2"/>
    </row>
    <row r="35" ht="14.25" customHeight="1" spans="1:26">
      <c r="A35" s="6" t="s">
        <v>154</v>
      </c>
      <c r="B35" s="2" t="s">
        <v>5486</v>
      </c>
      <c r="C35" s="2" t="s">
        <v>156</v>
      </c>
      <c r="D35" s="2">
        <v>30</v>
      </c>
      <c r="E35" s="2" t="s">
        <v>37</v>
      </c>
      <c r="F35" s="2" t="s">
        <v>5487</v>
      </c>
      <c r="G35" s="2" t="s">
        <v>5488</v>
      </c>
      <c r="H35" s="2"/>
      <c r="I35" s="2"/>
      <c r="J35" s="2"/>
      <c r="K35" s="2"/>
      <c r="L35" s="2"/>
      <c r="M35" s="2"/>
      <c r="N35" s="2"/>
      <c r="O35" s="2"/>
      <c r="P35" s="2"/>
      <c r="Q35" s="2"/>
      <c r="R35" s="2"/>
      <c r="S35" s="2"/>
      <c r="T35" s="2"/>
      <c r="U35" s="2"/>
      <c r="V35" s="2"/>
      <c r="W35" s="2"/>
      <c r="X35" s="2"/>
      <c r="Y35" s="2"/>
      <c r="Z35" s="2"/>
    </row>
    <row r="36" ht="14.25" customHeight="1" spans="1:26">
      <c r="A36" s="6" t="s">
        <v>159</v>
      </c>
      <c r="B36" s="2" t="s">
        <v>5489</v>
      </c>
      <c r="C36" s="2" t="s">
        <v>161</v>
      </c>
      <c r="D36" s="2"/>
      <c r="E36" s="2"/>
      <c r="F36" s="2" t="s">
        <v>5490</v>
      </c>
      <c r="G36" s="2" t="s">
        <v>5491</v>
      </c>
      <c r="H36" s="2"/>
      <c r="I36" s="2"/>
      <c r="J36" s="2"/>
      <c r="K36" s="2"/>
      <c r="L36" s="2"/>
      <c r="M36" s="2"/>
      <c r="N36" s="2"/>
      <c r="O36" s="2"/>
      <c r="P36" s="2"/>
      <c r="Q36" s="2"/>
      <c r="R36" s="2"/>
      <c r="S36" s="2"/>
      <c r="T36" s="2"/>
      <c r="U36" s="2"/>
      <c r="V36" s="2"/>
      <c r="W36" s="2"/>
      <c r="X36" s="2"/>
      <c r="Y36" s="2"/>
      <c r="Z36" s="2"/>
    </row>
    <row r="37" ht="14.25" customHeight="1" spans="1:26">
      <c r="A37" s="6" t="s">
        <v>164</v>
      </c>
      <c r="B37" s="2" t="s">
        <v>5492</v>
      </c>
      <c r="C37" s="2" t="s">
        <v>166</v>
      </c>
      <c r="D37" s="2"/>
      <c r="E37" s="2"/>
      <c r="F37" s="125"/>
      <c r="G37" s="2" t="s">
        <v>5493</v>
      </c>
      <c r="H37" s="2"/>
      <c r="I37" s="2"/>
      <c r="J37" s="2"/>
      <c r="K37" s="2"/>
      <c r="L37" s="2"/>
      <c r="M37" s="2"/>
      <c r="N37" s="2"/>
      <c r="O37" s="2"/>
      <c r="P37" s="2"/>
      <c r="Q37" s="2"/>
      <c r="R37" s="2"/>
      <c r="S37" s="2"/>
      <c r="T37" s="2"/>
      <c r="U37" s="2"/>
      <c r="V37" s="2"/>
      <c r="W37" s="2"/>
      <c r="X37" s="2"/>
      <c r="Y37" s="2"/>
      <c r="Z37" s="2"/>
    </row>
    <row r="38" ht="14.25" customHeight="1" spans="1:26">
      <c r="A38" s="6" t="s">
        <v>169</v>
      </c>
      <c r="B38" s="2" t="s">
        <v>5494</v>
      </c>
      <c r="C38" s="2" t="s">
        <v>171</v>
      </c>
      <c r="D38" s="2">
        <v>46</v>
      </c>
      <c r="E38" s="2" t="s">
        <v>37</v>
      </c>
      <c r="F38" s="2" t="s">
        <v>5495</v>
      </c>
      <c r="G38" s="2" t="s">
        <v>5496</v>
      </c>
      <c r="H38" s="2"/>
      <c r="I38" s="2"/>
      <c r="J38" s="2"/>
      <c r="K38" s="2"/>
      <c r="L38" s="2"/>
      <c r="M38" s="2"/>
      <c r="N38" s="2"/>
      <c r="O38" s="2"/>
      <c r="P38" s="2"/>
      <c r="Q38" s="2"/>
      <c r="R38" s="2"/>
      <c r="S38" s="2"/>
      <c r="T38" s="2"/>
      <c r="U38" s="2"/>
      <c r="V38" s="2"/>
      <c r="W38" s="2"/>
      <c r="X38" s="2"/>
      <c r="Y38" s="2"/>
      <c r="Z38" s="2"/>
    </row>
    <row r="39" ht="14.25" customHeight="1" spans="1:26">
      <c r="A39" s="6" t="s">
        <v>174</v>
      </c>
      <c r="B39" s="2" t="s">
        <v>5497</v>
      </c>
      <c r="C39" s="2" t="s">
        <v>171</v>
      </c>
      <c r="D39" s="2">
        <v>30</v>
      </c>
      <c r="E39" s="2" t="s">
        <v>37</v>
      </c>
      <c r="F39" s="2" t="s">
        <v>5498</v>
      </c>
      <c r="G39" s="2" t="s">
        <v>5499</v>
      </c>
      <c r="H39" s="2"/>
      <c r="I39" s="2"/>
      <c r="J39" s="2"/>
      <c r="K39" s="2"/>
      <c r="L39" s="2"/>
      <c r="M39" s="2"/>
      <c r="N39" s="2"/>
      <c r="O39" s="2"/>
      <c r="P39" s="2"/>
      <c r="Q39" s="2"/>
      <c r="R39" s="2"/>
      <c r="S39" s="2"/>
      <c r="T39" s="2"/>
      <c r="U39" s="2"/>
      <c r="V39" s="2"/>
      <c r="W39" s="2"/>
      <c r="X39" s="2"/>
      <c r="Y39" s="2"/>
      <c r="Z39" s="2"/>
    </row>
    <row r="40" ht="14.25" customHeight="1" spans="1:26">
      <c r="A40" s="6" t="s">
        <v>178</v>
      </c>
      <c r="B40" s="2" t="s">
        <v>5500</v>
      </c>
      <c r="C40" s="2" t="s">
        <v>180</v>
      </c>
      <c r="D40" s="2">
        <v>45</v>
      </c>
      <c r="E40" s="2" t="s">
        <v>37</v>
      </c>
      <c r="F40" s="2" t="s">
        <v>5501</v>
      </c>
      <c r="G40" s="2" t="s">
        <v>5502</v>
      </c>
      <c r="H40" s="2"/>
      <c r="I40" s="2"/>
      <c r="J40" s="2"/>
      <c r="K40" s="2"/>
      <c r="L40" s="2"/>
      <c r="M40" s="2"/>
      <c r="N40" s="2"/>
      <c r="O40" s="2"/>
      <c r="P40" s="2"/>
      <c r="Q40" s="2"/>
      <c r="R40" s="2"/>
      <c r="S40" s="2"/>
      <c r="T40" s="2"/>
      <c r="U40" s="2"/>
      <c r="V40" s="2"/>
      <c r="W40" s="2"/>
      <c r="X40" s="2"/>
      <c r="Y40" s="2"/>
      <c r="Z40" s="2"/>
    </row>
    <row r="41" ht="14.25" customHeight="1" spans="1:26">
      <c r="A41" s="6" t="s">
        <v>183</v>
      </c>
      <c r="B41" s="2" t="s">
        <v>5503</v>
      </c>
      <c r="C41" s="2" t="s">
        <v>185</v>
      </c>
      <c r="D41" s="2">
        <v>7</v>
      </c>
      <c r="E41" s="2" t="s">
        <v>37</v>
      </c>
      <c r="F41" s="2" t="s">
        <v>5504</v>
      </c>
      <c r="G41" s="2" t="s">
        <v>5505</v>
      </c>
      <c r="H41" s="2"/>
      <c r="I41" s="2"/>
      <c r="J41" s="2"/>
      <c r="K41" s="2"/>
      <c r="L41" s="2"/>
      <c r="M41" s="2"/>
      <c r="N41" s="2"/>
      <c r="O41" s="2"/>
      <c r="P41" s="2"/>
      <c r="Q41" s="2"/>
      <c r="R41" s="2"/>
      <c r="S41" s="2"/>
      <c r="T41" s="2"/>
      <c r="U41" s="2"/>
      <c r="V41" s="2"/>
      <c r="W41" s="2"/>
      <c r="X41" s="2"/>
      <c r="Y41" s="2"/>
      <c r="Z41" s="2"/>
    </row>
    <row r="42" ht="14.25" customHeight="1" spans="1:26">
      <c r="A42" s="6" t="s">
        <v>188</v>
      </c>
      <c r="B42" s="2" t="s">
        <v>5506</v>
      </c>
      <c r="C42" s="2" t="s">
        <v>190</v>
      </c>
      <c r="D42" s="2">
        <v>650</v>
      </c>
      <c r="E42" s="2" t="s">
        <v>37</v>
      </c>
      <c r="F42" s="2" t="s">
        <v>5507</v>
      </c>
      <c r="G42" s="2" t="s">
        <v>5508</v>
      </c>
      <c r="H42" s="2"/>
      <c r="I42" s="2"/>
      <c r="J42" s="2"/>
      <c r="K42" s="2"/>
      <c r="L42" s="2"/>
      <c r="M42" s="2"/>
      <c r="N42" s="2"/>
      <c r="O42" s="2"/>
      <c r="P42" s="2"/>
      <c r="Q42" s="2"/>
      <c r="R42" s="2"/>
      <c r="S42" s="2"/>
      <c r="T42" s="2"/>
      <c r="U42" s="2"/>
      <c r="V42" s="2"/>
      <c r="W42" s="2"/>
      <c r="X42" s="2"/>
      <c r="Y42" s="2"/>
      <c r="Z42" s="2"/>
    </row>
    <row r="43" ht="14.25" customHeight="1" spans="1:26">
      <c r="A43" s="6" t="s">
        <v>193</v>
      </c>
      <c r="B43" s="2" t="s">
        <v>5509</v>
      </c>
      <c r="C43" s="2" t="s">
        <v>195</v>
      </c>
      <c r="D43" s="2"/>
      <c r="E43" s="2"/>
      <c r="F43" s="2" t="s">
        <v>5510</v>
      </c>
      <c r="G43" s="2" t="s">
        <v>5511</v>
      </c>
      <c r="H43" s="2"/>
      <c r="I43" s="2"/>
      <c r="J43" s="2"/>
      <c r="K43" s="2"/>
      <c r="L43" s="2"/>
      <c r="M43" s="2"/>
      <c r="N43" s="2"/>
      <c r="O43" s="2"/>
      <c r="P43" s="2"/>
      <c r="Q43" s="2"/>
      <c r="R43" s="2"/>
      <c r="S43" s="2"/>
      <c r="T43" s="2"/>
      <c r="U43" s="2"/>
      <c r="V43" s="2"/>
      <c r="W43" s="2"/>
      <c r="X43" s="2"/>
      <c r="Y43" s="2"/>
      <c r="Z43" s="2"/>
    </row>
    <row r="44" ht="14.25" customHeight="1" spans="1:26">
      <c r="A44" s="6" t="s">
        <v>198</v>
      </c>
      <c r="B44" s="2" t="s">
        <v>5512</v>
      </c>
      <c r="C44" s="2" t="s">
        <v>200</v>
      </c>
      <c r="D44" s="2">
        <v>30</v>
      </c>
      <c r="E44" s="2" t="s">
        <v>21</v>
      </c>
      <c r="F44" s="2" t="s">
        <v>5513</v>
      </c>
      <c r="G44" s="2" t="s">
        <v>5514</v>
      </c>
      <c r="H44" s="2"/>
      <c r="I44" s="2"/>
      <c r="J44" s="2"/>
      <c r="K44" s="2"/>
      <c r="L44" s="2"/>
      <c r="M44" s="2"/>
      <c r="N44" s="2"/>
      <c r="O44" s="2"/>
      <c r="P44" s="2"/>
      <c r="Q44" s="2"/>
      <c r="R44" s="2"/>
      <c r="S44" s="2"/>
      <c r="T44" s="2"/>
      <c r="U44" s="2"/>
      <c r="V44" s="2"/>
      <c r="W44" s="2"/>
      <c r="X44" s="2"/>
      <c r="Y44" s="2"/>
      <c r="Z44" s="2"/>
    </row>
    <row r="45" ht="14.25" customHeight="1" spans="1:26">
      <c r="A45" s="6" t="s">
        <v>203</v>
      </c>
      <c r="B45" s="2" t="s">
        <v>5515</v>
      </c>
      <c r="C45" s="2" t="s">
        <v>200</v>
      </c>
      <c r="D45" s="8">
        <v>80</v>
      </c>
      <c r="E45" s="2" t="s">
        <v>21</v>
      </c>
      <c r="F45" s="2" t="s">
        <v>5516</v>
      </c>
      <c r="G45" s="2" t="s">
        <v>5517</v>
      </c>
      <c r="H45" s="2"/>
      <c r="I45" s="2"/>
      <c r="J45" s="2"/>
      <c r="K45" s="2"/>
      <c r="L45" s="2"/>
      <c r="M45" s="2"/>
      <c r="N45" s="2"/>
      <c r="O45" s="2"/>
      <c r="P45" s="2"/>
      <c r="Q45" s="2"/>
      <c r="R45" s="2"/>
      <c r="S45" s="2"/>
      <c r="T45" s="2"/>
      <c r="U45" s="2"/>
      <c r="V45" s="2"/>
      <c r="W45" s="2"/>
      <c r="X45" s="2"/>
      <c r="Y45" s="2"/>
      <c r="Z45" s="2"/>
    </row>
    <row r="46" ht="14.25" customHeight="1" spans="1:26">
      <c r="A46" s="6" t="s">
        <v>207</v>
      </c>
      <c r="B46" s="2" t="s">
        <v>5518</v>
      </c>
      <c r="C46" s="2" t="s">
        <v>209</v>
      </c>
      <c r="D46" s="2">
        <v>5</v>
      </c>
      <c r="E46" s="2" t="s">
        <v>37</v>
      </c>
      <c r="F46" s="2" t="s">
        <v>5519</v>
      </c>
      <c r="G46" s="2" t="s">
        <v>5520</v>
      </c>
      <c r="H46" s="2"/>
      <c r="I46" s="2"/>
      <c r="J46" s="2"/>
      <c r="K46" s="2"/>
      <c r="L46" s="2"/>
      <c r="M46" s="2"/>
      <c r="N46" s="2"/>
      <c r="O46" s="2"/>
      <c r="P46" s="2"/>
      <c r="Q46" s="2"/>
      <c r="R46" s="2"/>
      <c r="S46" s="2"/>
      <c r="T46" s="2"/>
      <c r="U46" s="2"/>
      <c r="V46" s="2"/>
      <c r="W46" s="2"/>
      <c r="X46" s="2"/>
      <c r="Y46" s="2"/>
      <c r="Z46" s="2"/>
    </row>
    <row r="47" ht="14.25" customHeight="1" spans="1:26">
      <c r="A47" s="6" t="s">
        <v>212</v>
      </c>
      <c r="B47" s="9" t="str">
        <f>HYPERLINK("http://www.xn--weissbr-bxa.de/","Depharm")</f>
        <v>Depharm</v>
      </c>
      <c r="C47" s="2" t="s">
        <v>214</v>
      </c>
      <c r="D47" s="8">
        <v>20</v>
      </c>
      <c r="E47" s="2" t="s">
        <v>37</v>
      </c>
      <c r="F47" s="2" t="s">
        <v>5521</v>
      </c>
      <c r="G47" s="2" t="s">
        <v>5522</v>
      </c>
      <c r="H47" s="2"/>
      <c r="I47" s="2"/>
      <c r="J47" s="2"/>
      <c r="K47" s="2"/>
      <c r="L47" s="2"/>
      <c r="M47" s="2"/>
      <c r="N47" s="2"/>
      <c r="O47" s="2"/>
      <c r="P47" s="2"/>
      <c r="Q47" s="2"/>
      <c r="R47" s="2"/>
      <c r="S47" s="2"/>
      <c r="T47" s="2"/>
      <c r="U47" s="2"/>
      <c r="V47" s="2"/>
      <c r="W47" s="2"/>
      <c r="X47" s="2"/>
      <c r="Y47" s="2"/>
      <c r="Z47" s="2"/>
    </row>
    <row r="48" ht="14.25" customHeight="1" spans="1:26">
      <c r="A48" s="6" t="s">
        <v>217</v>
      </c>
      <c r="B48" s="2" t="s">
        <v>5523</v>
      </c>
      <c r="C48" s="2" t="s">
        <v>219</v>
      </c>
      <c r="D48" s="2"/>
      <c r="E48" s="2"/>
      <c r="F48" s="2" t="s">
        <v>5524</v>
      </c>
      <c r="G48" s="2" t="s">
        <v>5525</v>
      </c>
      <c r="H48" s="2"/>
      <c r="I48" s="2"/>
      <c r="J48" s="2"/>
      <c r="K48" s="2"/>
      <c r="L48" s="2"/>
      <c r="M48" s="2"/>
      <c r="N48" s="2"/>
      <c r="O48" s="2"/>
      <c r="P48" s="2"/>
      <c r="Q48" s="2"/>
      <c r="R48" s="2"/>
      <c r="S48" s="2"/>
      <c r="T48" s="2"/>
      <c r="U48" s="2"/>
      <c r="V48" s="2"/>
      <c r="W48" s="2"/>
      <c r="X48" s="2"/>
      <c r="Y48" s="2"/>
      <c r="Z48" s="2"/>
    </row>
    <row r="49" ht="14.25" customHeight="1" spans="1:26">
      <c r="A49" s="6" t="s">
        <v>222</v>
      </c>
      <c r="B49" s="2" t="s">
        <v>5526</v>
      </c>
      <c r="C49" s="2" t="s">
        <v>224</v>
      </c>
      <c r="D49" s="8">
        <v>96</v>
      </c>
      <c r="E49" s="2" t="s">
        <v>21</v>
      </c>
      <c r="F49" s="2" t="s">
        <v>5527</v>
      </c>
      <c r="G49" s="2" t="s">
        <v>5528</v>
      </c>
      <c r="H49" s="2"/>
      <c r="I49" s="2"/>
      <c r="J49" s="2"/>
      <c r="K49" s="2"/>
      <c r="L49" s="2"/>
      <c r="M49" s="2"/>
      <c r="N49" s="2"/>
      <c r="O49" s="2"/>
      <c r="P49" s="2"/>
      <c r="Q49" s="2"/>
      <c r="R49" s="2"/>
      <c r="S49" s="2"/>
      <c r="T49" s="2"/>
      <c r="U49" s="2"/>
      <c r="V49" s="2"/>
      <c r="W49" s="2"/>
      <c r="X49" s="2"/>
      <c r="Y49" s="2"/>
      <c r="Z49" s="2"/>
    </row>
    <row r="50" ht="14.25" customHeight="1" spans="1:26">
      <c r="A50" s="6" t="s">
        <v>227</v>
      </c>
      <c r="B50" s="2" t="s">
        <v>5529</v>
      </c>
      <c r="C50" s="2" t="s">
        <v>229</v>
      </c>
      <c r="D50" s="8">
        <v>66</v>
      </c>
      <c r="E50" s="2" t="s">
        <v>21</v>
      </c>
      <c r="F50" s="2" t="s">
        <v>5530</v>
      </c>
      <c r="G50" s="2" t="s">
        <v>5531</v>
      </c>
      <c r="H50" s="2"/>
      <c r="I50" s="2"/>
      <c r="J50" s="2"/>
      <c r="K50" s="2"/>
      <c r="L50" s="2"/>
      <c r="M50" s="2"/>
      <c r="N50" s="2"/>
      <c r="O50" s="2"/>
      <c r="P50" s="2"/>
      <c r="Q50" s="2"/>
      <c r="R50" s="2"/>
      <c r="S50" s="2"/>
      <c r="T50" s="2"/>
      <c r="U50" s="2"/>
      <c r="V50" s="2"/>
      <c r="W50" s="2"/>
      <c r="X50" s="2"/>
      <c r="Y50" s="2"/>
      <c r="Z50" s="2"/>
    </row>
    <row r="51" ht="14.25" customHeight="1" spans="1:26">
      <c r="A51" s="6" t="s">
        <v>231</v>
      </c>
      <c r="B51" s="2" t="s">
        <v>5532</v>
      </c>
      <c r="C51" s="2" t="s">
        <v>224</v>
      </c>
      <c r="D51" s="8">
        <v>156</v>
      </c>
      <c r="E51" s="2" t="s">
        <v>21</v>
      </c>
      <c r="F51" s="2" t="s">
        <v>5533</v>
      </c>
      <c r="G51" s="2" t="s">
        <v>5534</v>
      </c>
      <c r="H51" s="2"/>
      <c r="I51" s="2"/>
      <c r="J51" s="2"/>
      <c r="K51" s="2"/>
      <c r="L51" s="2"/>
      <c r="M51" s="2"/>
      <c r="N51" s="2"/>
      <c r="O51" s="2"/>
      <c r="P51" s="2"/>
      <c r="Q51" s="2"/>
      <c r="R51" s="2"/>
      <c r="S51" s="2"/>
      <c r="T51" s="2"/>
      <c r="U51" s="2"/>
      <c r="V51" s="2"/>
      <c r="W51" s="2"/>
      <c r="X51" s="2"/>
      <c r="Y51" s="2"/>
      <c r="Z51" s="2"/>
    </row>
    <row r="52" ht="14.25" customHeight="1" spans="1:26">
      <c r="A52" s="6" t="s">
        <v>234</v>
      </c>
      <c r="B52" s="2" t="s">
        <v>5535</v>
      </c>
      <c r="C52" s="2" t="s">
        <v>236</v>
      </c>
      <c r="D52" s="2">
        <v>30</v>
      </c>
      <c r="E52" s="2" t="s">
        <v>37</v>
      </c>
      <c r="F52" s="2" t="s">
        <v>5536</v>
      </c>
      <c r="G52" s="2" t="s">
        <v>5537</v>
      </c>
      <c r="H52" s="2"/>
      <c r="I52" s="2"/>
      <c r="J52" s="2"/>
      <c r="K52" s="2"/>
      <c r="L52" s="2"/>
      <c r="M52" s="2"/>
      <c r="N52" s="2"/>
      <c r="O52" s="2"/>
      <c r="P52" s="2"/>
      <c r="Q52" s="2"/>
      <c r="R52" s="2"/>
      <c r="S52" s="2"/>
      <c r="T52" s="2"/>
      <c r="U52" s="2"/>
      <c r="V52" s="2"/>
      <c r="W52" s="2"/>
      <c r="X52" s="2"/>
      <c r="Y52" s="2"/>
      <c r="Z52" s="2"/>
    </row>
    <row r="53" ht="14.25" customHeight="1" spans="1:26">
      <c r="A53" s="6" t="s">
        <v>239</v>
      </c>
      <c r="B53" s="2" t="s">
        <v>5538</v>
      </c>
      <c r="C53" s="2" t="s">
        <v>236</v>
      </c>
      <c r="D53" s="8">
        <v>230</v>
      </c>
      <c r="E53" s="2" t="s">
        <v>21</v>
      </c>
      <c r="F53" s="2" t="s">
        <v>5539</v>
      </c>
      <c r="G53" s="2" t="s">
        <v>5540</v>
      </c>
      <c r="H53" s="2"/>
      <c r="I53" s="2"/>
      <c r="J53" s="2"/>
      <c r="K53" s="2"/>
      <c r="L53" s="2"/>
      <c r="M53" s="2"/>
      <c r="N53" s="2"/>
      <c r="O53" s="2"/>
      <c r="P53" s="2"/>
      <c r="Q53" s="2"/>
      <c r="R53" s="2"/>
      <c r="S53" s="2"/>
      <c r="T53" s="2"/>
      <c r="U53" s="2"/>
      <c r="V53" s="2"/>
      <c r="W53" s="2"/>
      <c r="X53" s="2"/>
      <c r="Y53" s="2"/>
      <c r="Z53" s="2"/>
    </row>
    <row r="54" ht="14.25" customHeight="1" spans="1:26">
      <c r="A54" s="6" t="s">
        <v>243</v>
      </c>
      <c r="B54" s="2" t="s">
        <v>5541</v>
      </c>
      <c r="C54" s="2" t="s">
        <v>236</v>
      </c>
      <c r="D54" s="8">
        <v>100</v>
      </c>
      <c r="E54" s="2" t="s">
        <v>245</v>
      </c>
      <c r="F54" s="2" t="s">
        <v>5542</v>
      </c>
      <c r="G54" s="2" t="s">
        <v>5543</v>
      </c>
      <c r="H54" s="2"/>
      <c r="I54" s="2"/>
      <c r="J54" s="2"/>
      <c r="K54" s="2"/>
      <c r="L54" s="2"/>
      <c r="M54" s="2"/>
      <c r="N54" s="2"/>
      <c r="O54" s="2"/>
      <c r="P54" s="2"/>
      <c r="Q54" s="2"/>
      <c r="R54" s="2"/>
      <c r="S54" s="2"/>
      <c r="T54" s="2"/>
      <c r="U54" s="2"/>
      <c r="V54" s="2"/>
      <c r="W54" s="2"/>
      <c r="X54" s="2"/>
      <c r="Y54" s="2"/>
      <c r="Z54" s="2"/>
    </row>
    <row r="55" ht="14.25" customHeight="1" spans="1:26">
      <c r="A55" s="6" t="s">
        <v>248</v>
      </c>
      <c r="B55" s="2" t="s">
        <v>5544</v>
      </c>
      <c r="C55" s="2" t="s">
        <v>236</v>
      </c>
      <c r="D55" s="8">
        <v>100</v>
      </c>
      <c r="E55" s="2" t="s">
        <v>245</v>
      </c>
      <c r="F55" s="2" t="s">
        <v>5545</v>
      </c>
      <c r="G55" s="2" t="s">
        <v>5546</v>
      </c>
      <c r="H55" s="2"/>
      <c r="I55" s="2"/>
      <c r="J55" s="2"/>
      <c r="K55" s="2"/>
      <c r="L55" s="2"/>
      <c r="M55" s="2"/>
      <c r="N55" s="2"/>
      <c r="O55" s="2"/>
      <c r="P55" s="2"/>
      <c r="Q55" s="2"/>
      <c r="R55" s="2"/>
      <c r="S55" s="2"/>
      <c r="T55" s="2"/>
      <c r="U55" s="2"/>
      <c r="V55" s="2"/>
      <c r="W55" s="2"/>
      <c r="X55" s="2"/>
      <c r="Y55" s="2"/>
      <c r="Z55" s="2"/>
    </row>
    <row r="56" ht="14.25" customHeight="1" spans="1:26">
      <c r="A56" s="6" t="s">
        <v>252</v>
      </c>
      <c r="B56" s="2" t="s">
        <v>5547</v>
      </c>
      <c r="C56" s="2" t="s">
        <v>236</v>
      </c>
      <c r="D56" s="2">
        <v>35</v>
      </c>
      <c r="E56" s="2" t="s">
        <v>37</v>
      </c>
      <c r="F56" s="2" t="s">
        <v>5548</v>
      </c>
      <c r="G56" s="2" t="s">
        <v>5549</v>
      </c>
      <c r="H56" s="2"/>
      <c r="I56" s="2"/>
      <c r="J56" s="2"/>
      <c r="K56" s="2"/>
      <c r="L56" s="2"/>
      <c r="M56" s="2"/>
      <c r="N56" s="2"/>
      <c r="O56" s="2"/>
      <c r="P56" s="2"/>
      <c r="Q56" s="2"/>
      <c r="R56" s="2"/>
      <c r="S56" s="2"/>
      <c r="T56" s="2"/>
      <c r="U56" s="2"/>
      <c r="V56" s="2"/>
      <c r="W56" s="2"/>
      <c r="X56" s="2"/>
      <c r="Y56" s="2"/>
      <c r="Z56" s="2"/>
    </row>
    <row r="57" ht="14.25" customHeight="1" spans="1:26">
      <c r="A57" s="6" t="s">
        <v>256</v>
      </c>
      <c r="B57" s="2" t="s">
        <v>5550</v>
      </c>
      <c r="C57" s="2" t="s">
        <v>236</v>
      </c>
      <c r="D57" s="2">
        <v>40</v>
      </c>
      <c r="E57" s="2" t="s">
        <v>37</v>
      </c>
      <c r="F57" s="2" t="s">
        <v>5551</v>
      </c>
      <c r="G57" s="2" t="s">
        <v>5552</v>
      </c>
      <c r="H57" s="2"/>
      <c r="I57" s="2"/>
      <c r="J57" s="2"/>
      <c r="K57" s="2"/>
      <c r="L57" s="2"/>
      <c r="M57" s="2"/>
      <c r="N57" s="2"/>
      <c r="O57" s="2"/>
      <c r="P57" s="2"/>
      <c r="Q57" s="2"/>
      <c r="R57" s="2"/>
      <c r="S57" s="2"/>
      <c r="T57" s="2"/>
      <c r="U57" s="2"/>
      <c r="V57" s="2"/>
      <c r="W57" s="2"/>
      <c r="X57" s="2"/>
      <c r="Y57" s="2"/>
      <c r="Z57" s="2"/>
    </row>
    <row r="58" ht="14.25" customHeight="1" spans="1:26">
      <c r="A58" s="6" t="s">
        <v>260</v>
      </c>
      <c r="B58" s="2" t="s">
        <v>5553</v>
      </c>
      <c r="C58" s="2" t="s">
        <v>236</v>
      </c>
      <c r="D58" s="2">
        <v>8</v>
      </c>
      <c r="E58" s="2" t="s">
        <v>262</v>
      </c>
      <c r="F58" s="2" t="s">
        <v>5554</v>
      </c>
      <c r="G58" s="2" t="s">
        <v>5555</v>
      </c>
      <c r="H58" s="2"/>
      <c r="I58" s="2"/>
      <c r="J58" s="2"/>
      <c r="K58" s="2"/>
      <c r="L58" s="2"/>
      <c r="M58" s="2"/>
      <c r="N58" s="2"/>
      <c r="O58" s="2"/>
      <c r="P58" s="2"/>
      <c r="Q58" s="2"/>
      <c r="R58" s="2"/>
      <c r="S58" s="2"/>
      <c r="T58" s="2"/>
      <c r="U58" s="2"/>
      <c r="V58" s="2"/>
      <c r="W58" s="2"/>
      <c r="X58" s="2"/>
      <c r="Y58" s="2"/>
      <c r="Z58" s="2"/>
    </row>
    <row r="59" ht="14.25" customHeight="1" spans="1:26">
      <c r="A59" s="6" t="s">
        <v>265</v>
      </c>
      <c r="B59" s="2" t="s">
        <v>5556</v>
      </c>
      <c r="C59" s="2" t="s">
        <v>236</v>
      </c>
      <c r="D59" s="2">
        <v>30</v>
      </c>
      <c r="E59" s="2" t="s">
        <v>37</v>
      </c>
      <c r="F59" s="2" t="s">
        <v>5557</v>
      </c>
      <c r="G59" s="2" t="s">
        <v>5558</v>
      </c>
      <c r="H59" s="2"/>
      <c r="I59" s="2"/>
      <c r="J59" s="2"/>
      <c r="K59" s="2"/>
      <c r="L59" s="2"/>
      <c r="M59" s="2"/>
      <c r="N59" s="2"/>
      <c r="O59" s="2"/>
      <c r="P59" s="2"/>
      <c r="Q59" s="2"/>
      <c r="R59" s="2"/>
      <c r="S59" s="2"/>
      <c r="T59" s="2"/>
      <c r="U59" s="2"/>
      <c r="V59" s="2"/>
      <c r="W59" s="2"/>
      <c r="X59" s="2"/>
      <c r="Y59" s="2"/>
      <c r="Z59" s="2"/>
    </row>
    <row r="60" ht="14.25" customHeight="1" spans="1:26">
      <c r="A60" s="6" t="s">
        <v>269</v>
      </c>
      <c r="B60" s="2" t="s">
        <v>5559</v>
      </c>
      <c r="C60" s="2" t="s">
        <v>236</v>
      </c>
      <c r="D60" s="2">
        <v>35</v>
      </c>
      <c r="E60" s="2" t="s">
        <v>37</v>
      </c>
      <c r="F60" s="2" t="s">
        <v>5560</v>
      </c>
      <c r="G60" s="2" t="s">
        <v>5561</v>
      </c>
      <c r="H60" s="2"/>
      <c r="I60" s="2"/>
      <c r="J60" s="2"/>
      <c r="K60" s="2"/>
      <c r="L60" s="2"/>
      <c r="M60" s="2"/>
      <c r="N60" s="2"/>
      <c r="O60" s="2"/>
      <c r="P60" s="2"/>
      <c r="Q60" s="2"/>
      <c r="R60" s="2"/>
      <c r="S60" s="2"/>
      <c r="T60" s="2"/>
      <c r="U60" s="2"/>
      <c r="V60" s="2"/>
      <c r="W60" s="2"/>
      <c r="X60" s="2"/>
      <c r="Y60" s="2"/>
      <c r="Z60" s="2"/>
    </row>
    <row r="61" ht="14.25" customHeight="1" spans="1:26">
      <c r="A61" s="6" t="s">
        <v>273</v>
      </c>
      <c r="B61" s="2" t="s">
        <v>5562</v>
      </c>
      <c r="C61" s="2" t="s">
        <v>236</v>
      </c>
      <c r="D61" s="2">
        <v>30</v>
      </c>
      <c r="E61" s="2" t="s">
        <v>32</v>
      </c>
      <c r="F61" s="2" t="s">
        <v>5563</v>
      </c>
      <c r="G61" s="2" t="s">
        <v>5564</v>
      </c>
      <c r="H61" s="2"/>
      <c r="I61" s="2"/>
      <c r="J61" s="2"/>
      <c r="K61" s="2"/>
      <c r="L61" s="2"/>
      <c r="M61" s="2"/>
      <c r="N61" s="2"/>
      <c r="O61" s="2"/>
      <c r="P61" s="2"/>
      <c r="Q61" s="2"/>
      <c r="R61" s="2"/>
      <c r="S61" s="2"/>
      <c r="T61" s="2"/>
      <c r="U61" s="2"/>
      <c r="V61" s="2"/>
      <c r="W61" s="2"/>
      <c r="X61" s="2"/>
      <c r="Y61" s="2"/>
      <c r="Z61" s="2"/>
    </row>
    <row r="62" ht="14.25" customHeight="1" spans="1:26">
      <c r="A62" s="6" t="s">
        <v>277</v>
      </c>
      <c r="B62" s="2" t="s">
        <v>5565</v>
      </c>
      <c r="C62" s="2" t="s">
        <v>236</v>
      </c>
      <c r="D62" s="2">
        <v>37</v>
      </c>
      <c r="E62" s="2" t="s">
        <v>37</v>
      </c>
      <c r="F62" s="2" t="s">
        <v>5566</v>
      </c>
      <c r="G62" s="2" t="s">
        <v>5567</v>
      </c>
      <c r="H62" s="2"/>
      <c r="I62" s="2"/>
      <c r="J62" s="2"/>
      <c r="K62" s="2"/>
      <c r="L62" s="2"/>
      <c r="M62" s="2"/>
      <c r="N62" s="2"/>
      <c r="O62" s="2"/>
      <c r="P62" s="2"/>
      <c r="Q62" s="2"/>
      <c r="R62" s="2"/>
      <c r="S62" s="2"/>
      <c r="T62" s="2"/>
      <c r="U62" s="2"/>
      <c r="V62" s="2"/>
      <c r="W62" s="2"/>
      <c r="X62" s="2"/>
      <c r="Y62" s="2"/>
      <c r="Z62" s="2"/>
    </row>
    <row r="63" ht="14.25" customHeight="1" spans="1:26">
      <c r="A63" s="6" t="s">
        <v>281</v>
      </c>
      <c r="B63" s="2" t="s">
        <v>5568</v>
      </c>
      <c r="C63" s="2" t="s">
        <v>236</v>
      </c>
      <c r="D63" s="2">
        <v>40</v>
      </c>
      <c r="E63" s="2" t="s">
        <v>37</v>
      </c>
      <c r="F63" s="2" t="s">
        <v>5569</v>
      </c>
      <c r="G63" s="2" t="s">
        <v>5570</v>
      </c>
      <c r="H63" s="2"/>
      <c r="I63" s="2"/>
      <c r="J63" s="2"/>
      <c r="K63" s="2"/>
      <c r="L63" s="2"/>
      <c r="M63" s="2"/>
      <c r="N63" s="2"/>
      <c r="O63" s="2"/>
      <c r="P63" s="2"/>
      <c r="Q63" s="2"/>
      <c r="R63" s="2"/>
      <c r="S63" s="2"/>
      <c r="T63" s="2"/>
      <c r="U63" s="2"/>
      <c r="V63" s="2"/>
      <c r="W63" s="2"/>
      <c r="X63" s="2"/>
      <c r="Y63" s="2"/>
      <c r="Z63" s="2"/>
    </row>
    <row r="64" ht="14.25" customHeight="1" spans="1:26">
      <c r="A64" s="6" t="s">
        <v>285</v>
      </c>
      <c r="B64" s="2" t="s">
        <v>5571</v>
      </c>
      <c r="C64" s="2" t="s">
        <v>286</v>
      </c>
      <c r="D64" s="8">
        <v>35</v>
      </c>
      <c r="E64" s="2" t="s">
        <v>37</v>
      </c>
      <c r="F64" s="2" t="s">
        <v>5572</v>
      </c>
      <c r="G64" s="2" t="s">
        <v>5573</v>
      </c>
      <c r="H64" s="2"/>
      <c r="I64" s="2"/>
      <c r="J64" s="2"/>
      <c r="K64" s="2"/>
      <c r="L64" s="2"/>
      <c r="M64" s="2"/>
      <c r="N64" s="2"/>
      <c r="O64" s="2"/>
      <c r="P64" s="2"/>
      <c r="Q64" s="2"/>
      <c r="R64" s="2"/>
      <c r="S64" s="2"/>
      <c r="T64" s="2"/>
      <c r="U64" s="2"/>
      <c r="V64" s="2"/>
      <c r="W64" s="2"/>
      <c r="X64" s="2"/>
      <c r="Y64" s="2"/>
      <c r="Z64" s="2"/>
    </row>
    <row r="65" ht="14.25" customHeight="1" spans="1:26">
      <c r="A65" s="6" t="s">
        <v>288</v>
      </c>
      <c r="B65" s="2" t="s">
        <v>5574</v>
      </c>
      <c r="C65" s="2" t="s">
        <v>290</v>
      </c>
      <c r="D65" s="2">
        <v>300</v>
      </c>
      <c r="E65" s="2" t="s">
        <v>37</v>
      </c>
      <c r="F65" s="2" t="s">
        <v>5575</v>
      </c>
      <c r="G65" s="2" t="s">
        <v>5576</v>
      </c>
      <c r="H65" s="2"/>
      <c r="I65" s="2"/>
      <c r="J65" s="2"/>
      <c r="K65" s="2"/>
      <c r="L65" s="2"/>
      <c r="M65" s="2"/>
      <c r="N65" s="2"/>
      <c r="O65" s="2"/>
      <c r="P65" s="2"/>
      <c r="Q65" s="2"/>
      <c r="R65" s="2"/>
      <c r="S65" s="2"/>
      <c r="T65" s="2"/>
      <c r="U65" s="2"/>
      <c r="V65" s="2"/>
      <c r="W65" s="2"/>
      <c r="X65" s="2"/>
      <c r="Y65" s="2"/>
      <c r="Z65" s="2"/>
    </row>
    <row r="66" ht="14.25" customHeight="1" spans="1:26">
      <c r="A66" s="6" t="s">
        <v>293</v>
      </c>
      <c r="B66" s="2" t="s">
        <v>5577</v>
      </c>
      <c r="C66" s="2" t="s">
        <v>290</v>
      </c>
      <c r="D66" s="2">
        <v>35</v>
      </c>
      <c r="E66" s="2" t="s">
        <v>37</v>
      </c>
      <c r="F66" s="2" t="s">
        <v>5578</v>
      </c>
      <c r="G66" s="2" t="s">
        <v>5579</v>
      </c>
      <c r="H66" s="2"/>
      <c r="I66" s="2"/>
      <c r="J66" s="2"/>
      <c r="K66" s="2"/>
      <c r="L66" s="2"/>
      <c r="M66" s="2"/>
      <c r="N66" s="2"/>
      <c r="O66" s="2"/>
      <c r="P66" s="2"/>
      <c r="Q66" s="2"/>
      <c r="R66" s="2"/>
      <c r="S66" s="2"/>
      <c r="T66" s="2"/>
      <c r="U66" s="2"/>
      <c r="V66" s="2"/>
      <c r="W66" s="2"/>
      <c r="X66" s="2"/>
      <c r="Y66" s="2"/>
      <c r="Z66" s="2"/>
    </row>
    <row r="67" ht="14.25" customHeight="1" spans="1:26">
      <c r="A67" s="6" t="s">
        <v>297</v>
      </c>
      <c r="B67" s="2" t="s">
        <v>5580</v>
      </c>
      <c r="C67" s="2" t="s">
        <v>1807</v>
      </c>
      <c r="D67" s="8">
        <v>1000</v>
      </c>
      <c r="E67" s="2" t="s">
        <v>37</v>
      </c>
      <c r="F67" s="2" t="s">
        <v>5581</v>
      </c>
      <c r="G67" s="2" t="s">
        <v>5582</v>
      </c>
      <c r="H67" s="2"/>
      <c r="I67" s="2"/>
      <c r="J67" s="2"/>
      <c r="K67" s="2"/>
      <c r="L67" s="2"/>
      <c r="M67" s="2"/>
      <c r="N67" s="2"/>
      <c r="O67" s="2"/>
      <c r="P67" s="2"/>
      <c r="Q67" s="2"/>
      <c r="R67" s="2"/>
      <c r="S67" s="2"/>
      <c r="T67" s="2"/>
      <c r="U67" s="2"/>
      <c r="V67" s="2"/>
      <c r="W67" s="2"/>
      <c r="X67" s="2"/>
      <c r="Y67" s="2"/>
      <c r="Z67" s="2"/>
    </row>
    <row r="68" ht="14.25" customHeight="1" spans="1:26">
      <c r="A68" s="6" t="s">
        <v>302</v>
      </c>
      <c r="B68" s="2" t="s">
        <v>5583</v>
      </c>
      <c r="C68" s="2" t="s">
        <v>304</v>
      </c>
      <c r="D68" s="2"/>
      <c r="E68" s="2"/>
      <c r="F68" s="2" t="s">
        <v>5584</v>
      </c>
      <c r="G68" s="2" t="s">
        <v>5585</v>
      </c>
      <c r="H68" s="2"/>
      <c r="I68" s="2"/>
      <c r="J68" s="2"/>
      <c r="K68" s="2"/>
      <c r="L68" s="2"/>
      <c r="M68" s="2"/>
      <c r="N68" s="2"/>
      <c r="O68" s="2"/>
      <c r="P68" s="2"/>
      <c r="Q68" s="2"/>
      <c r="R68" s="2"/>
      <c r="S68" s="2"/>
      <c r="T68" s="2"/>
      <c r="U68" s="2"/>
      <c r="V68" s="2"/>
      <c r="W68" s="2"/>
      <c r="X68" s="2"/>
      <c r="Y68" s="2"/>
      <c r="Z68" s="2"/>
    </row>
    <row r="69" ht="14.25" customHeight="1" spans="1:26">
      <c r="A69" s="6" t="s">
        <v>307</v>
      </c>
      <c r="B69" s="9" t="str">
        <f>HYPERLINK("http://partners.webmasterplan.com/click.asp?ref=586499&amp;site=5247&amp;type=text&amp;tnb=4","24K.ua")</f>
        <v>24K.ua</v>
      </c>
      <c r="C69" s="2" t="s">
        <v>309</v>
      </c>
      <c r="D69" s="8">
        <v>45</v>
      </c>
      <c r="E69" s="2" t="s">
        <v>310</v>
      </c>
      <c r="F69" s="2" t="s">
        <v>5586</v>
      </c>
      <c r="G69" s="2" t="s">
        <v>5587</v>
      </c>
      <c r="H69" s="2"/>
      <c r="I69" s="2"/>
      <c r="J69" s="2"/>
      <c r="K69" s="2"/>
      <c r="L69" s="2"/>
      <c r="M69" s="2"/>
      <c r="N69" s="2"/>
      <c r="O69" s="2"/>
      <c r="P69" s="2"/>
      <c r="Q69" s="2"/>
      <c r="R69" s="2"/>
      <c r="S69" s="2"/>
      <c r="T69" s="2"/>
      <c r="U69" s="2"/>
      <c r="V69" s="2"/>
      <c r="W69" s="2"/>
      <c r="X69" s="2"/>
      <c r="Y69" s="2"/>
      <c r="Z69" s="2"/>
    </row>
    <row r="70" ht="14.25" customHeight="1" spans="1:26">
      <c r="A70" s="6" t="s">
        <v>317</v>
      </c>
      <c r="B70" s="2" t="s">
        <v>5588</v>
      </c>
      <c r="C70" s="2" t="s">
        <v>319</v>
      </c>
      <c r="D70" s="2">
        <v>400</v>
      </c>
      <c r="E70" s="2" t="s">
        <v>245</v>
      </c>
      <c r="F70" s="2" t="s">
        <v>5589</v>
      </c>
      <c r="G70" s="2" t="s">
        <v>5590</v>
      </c>
      <c r="H70" s="2"/>
      <c r="I70" s="2"/>
      <c r="J70" s="2"/>
      <c r="K70" s="2"/>
      <c r="L70" s="2"/>
      <c r="M70" s="2"/>
      <c r="N70" s="2"/>
      <c r="O70" s="2"/>
      <c r="P70" s="2"/>
      <c r="Q70" s="2"/>
      <c r="R70" s="2"/>
      <c r="S70" s="2"/>
      <c r="T70" s="2"/>
      <c r="U70" s="2"/>
      <c r="V70" s="2"/>
      <c r="W70" s="2"/>
      <c r="X70" s="2"/>
      <c r="Y70" s="2"/>
      <c r="Z70" s="2"/>
    </row>
    <row r="71" ht="14.25" customHeight="1" spans="1:26">
      <c r="A71" s="6" t="s">
        <v>321</v>
      </c>
      <c r="B71" s="2" t="s">
        <v>5591</v>
      </c>
      <c r="C71" s="2" t="s">
        <v>315</v>
      </c>
      <c r="D71" s="2">
        <v>13</v>
      </c>
      <c r="E71" s="2" t="s">
        <v>262</v>
      </c>
      <c r="F71" s="2" t="s">
        <v>5592</v>
      </c>
      <c r="G71" s="2" t="s">
        <v>5593</v>
      </c>
      <c r="H71" s="2"/>
      <c r="I71" s="2"/>
      <c r="J71" s="2"/>
      <c r="K71" s="2"/>
      <c r="L71" s="2"/>
      <c r="M71" s="2"/>
      <c r="N71" s="2"/>
      <c r="O71" s="2"/>
      <c r="P71" s="2"/>
      <c r="Q71" s="2"/>
      <c r="R71" s="2"/>
      <c r="S71" s="2"/>
      <c r="T71" s="2"/>
      <c r="U71" s="2"/>
      <c r="V71" s="2"/>
      <c r="W71" s="2"/>
      <c r="X71" s="2"/>
      <c r="Y71" s="2"/>
      <c r="Z71" s="2"/>
    </row>
    <row r="72" ht="14.25" customHeight="1" spans="1:26">
      <c r="A72" s="6" t="s">
        <v>325</v>
      </c>
      <c r="B72" s="2" t="s">
        <v>5594</v>
      </c>
      <c r="C72" s="2" t="s">
        <v>327</v>
      </c>
      <c r="D72" s="8">
        <v>25</v>
      </c>
      <c r="E72" s="2" t="s">
        <v>310</v>
      </c>
      <c r="F72" s="2" t="s">
        <v>5595</v>
      </c>
      <c r="G72" s="2" t="s">
        <v>5596</v>
      </c>
      <c r="H72" s="2"/>
      <c r="I72" s="2"/>
      <c r="J72" s="2"/>
      <c r="K72" s="2"/>
      <c r="L72" s="2"/>
      <c r="M72" s="2"/>
      <c r="N72" s="2"/>
      <c r="O72" s="2"/>
      <c r="P72" s="2"/>
      <c r="Q72" s="2"/>
      <c r="R72" s="2"/>
      <c r="S72" s="2"/>
      <c r="T72" s="2"/>
      <c r="U72" s="2"/>
      <c r="V72" s="2"/>
      <c r="W72" s="2"/>
      <c r="X72" s="2"/>
      <c r="Y72" s="2"/>
      <c r="Z72" s="2"/>
    </row>
    <row r="73" ht="14.25" customHeight="1" spans="1:26">
      <c r="A73" s="6" t="s">
        <v>330</v>
      </c>
      <c r="B73" s="2" t="s">
        <v>5597</v>
      </c>
      <c r="C73" s="2" t="s">
        <v>315</v>
      </c>
      <c r="D73" s="2">
        <v>50</v>
      </c>
      <c r="E73" s="2" t="s">
        <v>37</v>
      </c>
      <c r="F73" s="2" t="s">
        <v>5598</v>
      </c>
      <c r="G73" s="2" t="s">
        <v>5599</v>
      </c>
      <c r="H73" s="2"/>
      <c r="I73" s="2"/>
      <c r="J73" s="2"/>
      <c r="K73" s="2"/>
      <c r="L73" s="2"/>
      <c r="M73" s="2"/>
      <c r="N73" s="2"/>
      <c r="O73" s="2"/>
      <c r="P73" s="2"/>
      <c r="Q73" s="2"/>
      <c r="R73" s="2"/>
      <c r="S73" s="2"/>
      <c r="T73" s="2"/>
      <c r="U73" s="2"/>
      <c r="V73" s="2"/>
      <c r="W73" s="2"/>
      <c r="X73" s="2"/>
      <c r="Y73" s="2"/>
      <c r="Z73" s="2"/>
    </row>
    <row r="74" ht="14.25" customHeight="1" spans="1:26">
      <c r="A74" s="6" t="s">
        <v>334</v>
      </c>
      <c r="B74" s="2" t="s">
        <v>5600</v>
      </c>
      <c r="C74" s="2" t="s">
        <v>315</v>
      </c>
      <c r="D74" s="2">
        <v>50</v>
      </c>
      <c r="E74" s="2" t="s">
        <v>37</v>
      </c>
      <c r="F74" s="2" t="s">
        <v>5601</v>
      </c>
      <c r="G74" s="2" t="s">
        <v>5602</v>
      </c>
      <c r="H74" s="2"/>
      <c r="I74" s="2"/>
      <c r="J74" s="2"/>
      <c r="K74" s="2"/>
      <c r="L74" s="2"/>
      <c r="M74" s="2"/>
      <c r="N74" s="2"/>
      <c r="O74" s="2"/>
      <c r="P74" s="2"/>
      <c r="Q74" s="2"/>
      <c r="R74" s="2"/>
      <c r="S74" s="2"/>
      <c r="T74" s="2"/>
      <c r="U74" s="2"/>
      <c r="V74" s="2"/>
      <c r="W74" s="2"/>
      <c r="X74" s="2"/>
      <c r="Y74" s="2"/>
      <c r="Z74" s="2"/>
    </row>
    <row r="75" ht="14.25" customHeight="1" spans="1:26">
      <c r="A75" s="6" t="s">
        <v>338</v>
      </c>
      <c r="B75" s="2" t="s">
        <v>5603</v>
      </c>
      <c r="C75" s="2" t="s">
        <v>315</v>
      </c>
      <c r="D75" s="2">
        <v>125</v>
      </c>
      <c r="E75" s="2" t="s">
        <v>262</v>
      </c>
      <c r="F75" s="2" t="s">
        <v>5604</v>
      </c>
      <c r="G75" s="2" t="s">
        <v>5605</v>
      </c>
      <c r="H75" s="2"/>
      <c r="I75" s="2"/>
      <c r="J75" s="2"/>
      <c r="K75" s="2"/>
      <c r="L75" s="2"/>
      <c r="M75" s="2"/>
      <c r="N75" s="2"/>
      <c r="O75" s="2"/>
      <c r="P75" s="2"/>
      <c r="Q75" s="2"/>
      <c r="R75" s="2"/>
      <c r="S75" s="2"/>
      <c r="T75" s="2"/>
      <c r="U75" s="2"/>
      <c r="V75" s="2"/>
      <c r="W75" s="2"/>
      <c r="X75" s="2"/>
      <c r="Y75" s="2"/>
      <c r="Z75" s="2"/>
    </row>
    <row r="76" ht="18" customHeight="1" spans="1:26">
      <c r="A76" s="6" t="s">
        <v>342</v>
      </c>
      <c r="B76" s="2" t="s">
        <v>5606</v>
      </c>
      <c r="C76" s="2" t="s">
        <v>315</v>
      </c>
      <c r="D76" s="2">
        <v>126</v>
      </c>
      <c r="E76" s="2" t="s">
        <v>262</v>
      </c>
      <c r="F76" s="2" t="s">
        <v>5607</v>
      </c>
      <c r="G76" s="2" t="s">
        <v>5608</v>
      </c>
      <c r="H76" s="2"/>
      <c r="I76" s="2"/>
      <c r="J76" s="2"/>
      <c r="K76" s="2"/>
      <c r="L76" s="2"/>
      <c r="M76" s="2"/>
      <c r="N76" s="2"/>
      <c r="O76" s="2"/>
      <c r="P76" s="2"/>
      <c r="Q76" s="2"/>
      <c r="R76" s="2"/>
      <c r="S76" s="2"/>
      <c r="T76" s="2"/>
      <c r="U76" s="2"/>
      <c r="V76" s="2"/>
      <c r="W76" s="2"/>
      <c r="X76" s="2"/>
      <c r="Y76" s="2"/>
      <c r="Z76" s="2"/>
    </row>
    <row r="77" ht="14.25" customHeight="1" spans="1:26">
      <c r="A77" s="6" t="s">
        <v>346</v>
      </c>
      <c r="B77" s="2" t="s">
        <v>5609</v>
      </c>
      <c r="C77" s="2" t="s">
        <v>315</v>
      </c>
      <c r="D77" s="2">
        <v>127</v>
      </c>
      <c r="E77" s="2" t="s">
        <v>262</v>
      </c>
      <c r="F77" s="2" t="s">
        <v>5610</v>
      </c>
      <c r="G77" s="2" t="s">
        <v>5611</v>
      </c>
      <c r="H77" s="2"/>
      <c r="I77" s="2"/>
      <c r="J77" s="2"/>
      <c r="K77" s="2"/>
      <c r="L77" s="2"/>
      <c r="M77" s="2"/>
      <c r="N77" s="2"/>
      <c r="O77" s="2"/>
      <c r="P77" s="2"/>
      <c r="Q77" s="2"/>
      <c r="R77" s="2"/>
      <c r="S77" s="2"/>
      <c r="T77" s="2"/>
      <c r="U77" s="2"/>
      <c r="V77" s="2"/>
      <c r="W77" s="2"/>
      <c r="X77" s="2"/>
      <c r="Y77" s="2"/>
      <c r="Z77" s="2"/>
    </row>
    <row r="78" ht="14.25" customHeight="1" spans="1:26">
      <c r="A78" s="6" t="s">
        <v>350</v>
      </c>
      <c r="B78" s="2" t="s">
        <v>5612</v>
      </c>
      <c r="C78" s="2" t="s">
        <v>315</v>
      </c>
      <c r="D78" s="2">
        <v>128</v>
      </c>
      <c r="E78" s="2" t="s">
        <v>262</v>
      </c>
      <c r="F78" s="2" t="s">
        <v>5613</v>
      </c>
      <c r="G78" s="2" t="s">
        <v>5614</v>
      </c>
      <c r="H78" s="2"/>
      <c r="I78" s="2"/>
      <c r="J78" s="2"/>
      <c r="K78" s="2"/>
      <c r="L78" s="2"/>
      <c r="M78" s="2"/>
      <c r="N78" s="2"/>
      <c r="O78" s="2"/>
      <c r="P78" s="2"/>
      <c r="Q78" s="2"/>
      <c r="R78" s="2"/>
      <c r="S78" s="2"/>
      <c r="T78" s="2"/>
      <c r="U78" s="2"/>
      <c r="V78" s="2"/>
      <c r="W78" s="2"/>
      <c r="X78" s="2"/>
      <c r="Y78" s="2"/>
      <c r="Z78" s="2"/>
    </row>
    <row r="79" ht="14.25" customHeight="1" spans="1:26">
      <c r="A79" s="6" t="s">
        <v>354</v>
      </c>
      <c r="B79" s="2" t="s">
        <v>5615</v>
      </c>
      <c r="C79" s="2" t="s">
        <v>315</v>
      </c>
      <c r="D79" s="2">
        <v>129</v>
      </c>
      <c r="E79" s="2" t="s">
        <v>262</v>
      </c>
      <c r="F79" s="2" t="s">
        <v>5616</v>
      </c>
      <c r="G79" s="2" t="s">
        <v>5617</v>
      </c>
      <c r="H79" s="2"/>
      <c r="I79" s="2"/>
      <c r="J79" s="2"/>
      <c r="K79" s="2"/>
      <c r="L79" s="2"/>
      <c r="M79" s="2"/>
      <c r="N79" s="2"/>
      <c r="O79" s="2"/>
      <c r="P79" s="2"/>
      <c r="Q79" s="2"/>
      <c r="R79" s="2"/>
      <c r="S79" s="2"/>
      <c r="T79" s="2"/>
      <c r="U79" s="2"/>
      <c r="V79" s="2"/>
      <c r="W79" s="2"/>
      <c r="X79" s="2"/>
      <c r="Y79" s="2"/>
      <c r="Z79" s="2"/>
    </row>
    <row r="80" ht="14.25" customHeight="1" spans="1:26">
      <c r="A80" s="6" t="s">
        <v>359</v>
      </c>
      <c r="B80" s="2" t="s">
        <v>5618</v>
      </c>
      <c r="C80" s="2" t="s">
        <v>315</v>
      </c>
      <c r="D80" s="2">
        <v>130</v>
      </c>
      <c r="E80" s="2" t="s">
        <v>262</v>
      </c>
      <c r="F80" s="2" t="s">
        <v>5619</v>
      </c>
      <c r="G80" s="2" t="s">
        <v>5620</v>
      </c>
      <c r="H80" s="2"/>
      <c r="I80" s="2"/>
      <c r="J80" s="2"/>
      <c r="K80" s="2"/>
      <c r="L80" s="2"/>
      <c r="M80" s="2"/>
      <c r="N80" s="2"/>
      <c r="O80" s="2"/>
      <c r="P80" s="2"/>
      <c r="Q80" s="2"/>
      <c r="R80" s="2"/>
      <c r="S80" s="2"/>
      <c r="T80" s="2"/>
      <c r="U80" s="2"/>
      <c r="V80" s="2"/>
      <c r="W80" s="2"/>
      <c r="X80" s="2"/>
      <c r="Y80" s="2"/>
      <c r="Z80" s="2"/>
    </row>
    <row r="81" ht="14.25" customHeight="1" spans="1:26">
      <c r="A81" s="6" t="s">
        <v>364</v>
      </c>
      <c r="B81" s="2" t="s">
        <v>5621</v>
      </c>
      <c r="C81" s="2" t="s">
        <v>315</v>
      </c>
      <c r="D81" s="2">
        <v>131</v>
      </c>
      <c r="E81" s="2" t="s">
        <v>262</v>
      </c>
      <c r="F81" s="2" t="s">
        <v>5622</v>
      </c>
      <c r="G81" s="2" t="s">
        <v>5623</v>
      </c>
      <c r="H81" s="2"/>
      <c r="I81" s="2"/>
      <c r="J81" s="2"/>
      <c r="K81" s="2"/>
      <c r="L81" s="2"/>
      <c r="M81" s="2"/>
      <c r="N81" s="2"/>
      <c r="O81" s="2"/>
      <c r="P81" s="2"/>
      <c r="Q81" s="2"/>
      <c r="R81" s="2"/>
      <c r="S81" s="2"/>
      <c r="T81" s="2"/>
      <c r="U81" s="2"/>
      <c r="V81" s="2"/>
      <c r="W81" s="2"/>
      <c r="X81" s="2"/>
      <c r="Y81" s="2"/>
      <c r="Z81" s="2"/>
    </row>
    <row r="82" ht="14.25" customHeight="1" spans="1:26">
      <c r="A82" s="6" t="s">
        <v>368</v>
      </c>
      <c r="B82" s="2" t="s">
        <v>5624</v>
      </c>
      <c r="C82" s="2" t="s">
        <v>315</v>
      </c>
      <c r="D82" s="2">
        <v>132</v>
      </c>
      <c r="E82" s="2" t="s">
        <v>262</v>
      </c>
      <c r="F82" s="2" t="s">
        <v>5625</v>
      </c>
      <c r="G82" s="2" t="s">
        <v>5626</v>
      </c>
      <c r="H82" s="2"/>
      <c r="I82" s="2"/>
      <c r="J82" s="2"/>
      <c r="K82" s="2"/>
      <c r="L82" s="2"/>
      <c r="M82" s="2"/>
      <c r="N82" s="2"/>
      <c r="O82" s="2"/>
      <c r="P82" s="2"/>
      <c r="Q82" s="2"/>
      <c r="R82" s="2"/>
      <c r="S82" s="2"/>
      <c r="T82" s="2"/>
      <c r="U82" s="2"/>
      <c r="V82" s="2"/>
      <c r="W82" s="2"/>
      <c r="X82" s="2"/>
      <c r="Y82" s="2"/>
      <c r="Z82" s="2"/>
    </row>
    <row r="83" ht="14.25" customHeight="1" spans="1:26">
      <c r="A83" s="6" t="s">
        <v>371</v>
      </c>
      <c r="B83" s="2" t="s">
        <v>5627</v>
      </c>
      <c r="C83" s="2" t="s">
        <v>315</v>
      </c>
      <c r="D83" s="2">
        <v>133</v>
      </c>
      <c r="E83" s="2" t="s">
        <v>262</v>
      </c>
      <c r="F83" s="2" t="s">
        <v>5628</v>
      </c>
      <c r="G83" s="2" t="s">
        <v>5629</v>
      </c>
      <c r="H83" s="2"/>
      <c r="I83" s="2"/>
      <c r="J83" s="2"/>
      <c r="K83" s="2"/>
      <c r="L83" s="2"/>
      <c r="M83" s="2"/>
      <c r="N83" s="2"/>
      <c r="O83" s="2"/>
      <c r="P83" s="2"/>
      <c r="Q83" s="2"/>
      <c r="R83" s="2"/>
      <c r="S83" s="2"/>
      <c r="T83" s="2"/>
      <c r="U83" s="2"/>
      <c r="V83" s="2"/>
      <c r="W83" s="2"/>
      <c r="X83" s="2"/>
      <c r="Y83" s="2"/>
      <c r="Z83" s="2"/>
    </row>
    <row r="84" ht="14.25" customHeight="1" spans="1:26">
      <c r="A84" s="6" t="s">
        <v>375</v>
      </c>
      <c r="B84" s="2" t="s">
        <v>5630</v>
      </c>
      <c r="C84" s="2" t="s">
        <v>315</v>
      </c>
      <c r="D84" s="2">
        <v>134</v>
      </c>
      <c r="E84" s="2" t="s">
        <v>262</v>
      </c>
      <c r="F84" s="2" t="s">
        <v>5631</v>
      </c>
      <c r="G84" s="2" t="s">
        <v>5632</v>
      </c>
      <c r="H84" s="2"/>
      <c r="I84" s="2"/>
      <c r="J84" s="2"/>
      <c r="K84" s="2"/>
      <c r="L84" s="2"/>
      <c r="M84" s="2"/>
      <c r="N84" s="2"/>
      <c r="O84" s="2"/>
      <c r="P84" s="2"/>
      <c r="Q84" s="2"/>
      <c r="R84" s="2"/>
      <c r="S84" s="2"/>
      <c r="T84" s="2"/>
      <c r="U84" s="2"/>
      <c r="V84" s="2"/>
      <c r="W84" s="2"/>
      <c r="X84" s="2"/>
      <c r="Y84" s="2"/>
      <c r="Z84" s="2"/>
    </row>
    <row r="85" ht="14.25" customHeight="1" spans="1:26">
      <c r="A85" s="6" t="s">
        <v>379</v>
      </c>
      <c r="B85" s="2" t="s">
        <v>5633</v>
      </c>
      <c r="C85" s="2" t="s">
        <v>315</v>
      </c>
      <c r="D85" s="2">
        <v>135</v>
      </c>
      <c r="E85" s="2" t="s">
        <v>262</v>
      </c>
      <c r="F85" s="2" t="s">
        <v>5634</v>
      </c>
      <c r="G85" s="2" t="s">
        <v>5635</v>
      </c>
      <c r="H85" s="2"/>
      <c r="I85" s="2"/>
      <c r="J85" s="2"/>
      <c r="K85" s="2"/>
      <c r="L85" s="2"/>
      <c r="M85" s="2"/>
      <c r="N85" s="2"/>
      <c r="O85" s="2"/>
      <c r="P85" s="2"/>
      <c r="Q85" s="2"/>
      <c r="R85" s="2"/>
      <c r="S85" s="2"/>
      <c r="T85" s="2"/>
      <c r="U85" s="2"/>
      <c r="V85" s="2"/>
      <c r="W85" s="2"/>
      <c r="X85" s="2"/>
      <c r="Y85" s="2"/>
      <c r="Z85" s="2"/>
    </row>
    <row r="86" ht="14.25" customHeight="1" spans="1:26">
      <c r="A86" s="6" t="s">
        <v>383</v>
      </c>
      <c r="B86" s="2" t="s">
        <v>5636</v>
      </c>
      <c r="C86" s="2" t="s">
        <v>315</v>
      </c>
      <c r="D86" s="2">
        <v>136</v>
      </c>
      <c r="E86" s="2" t="s">
        <v>262</v>
      </c>
      <c r="F86" s="2" t="s">
        <v>5637</v>
      </c>
      <c r="G86" s="2" t="s">
        <v>5638</v>
      </c>
      <c r="H86" s="2"/>
      <c r="I86" s="2"/>
      <c r="J86" s="2"/>
      <c r="K86" s="2"/>
      <c r="L86" s="2"/>
      <c r="M86" s="2"/>
      <c r="N86" s="2"/>
      <c r="O86" s="2"/>
      <c r="P86" s="2"/>
      <c r="Q86" s="2"/>
      <c r="R86" s="2"/>
      <c r="S86" s="2"/>
      <c r="T86" s="2"/>
      <c r="U86" s="2"/>
      <c r="V86" s="2"/>
      <c r="W86" s="2"/>
      <c r="X86" s="2"/>
      <c r="Y86" s="2"/>
      <c r="Z86" s="2"/>
    </row>
    <row r="87" ht="14.25" customHeight="1" spans="1:26">
      <c r="A87" s="6" t="s">
        <v>387</v>
      </c>
      <c r="B87" s="2" t="s">
        <v>5639</v>
      </c>
      <c r="C87" s="2" t="s">
        <v>315</v>
      </c>
      <c r="D87" s="2">
        <v>137</v>
      </c>
      <c r="E87" s="2" t="s">
        <v>262</v>
      </c>
      <c r="F87" s="2" t="s">
        <v>5640</v>
      </c>
      <c r="G87" s="2" t="s">
        <v>5641</v>
      </c>
      <c r="H87" s="2"/>
      <c r="I87" s="2"/>
      <c r="J87" s="2"/>
      <c r="K87" s="2"/>
      <c r="L87" s="2"/>
      <c r="M87" s="2"/>
      <c r="N87" s="2"/>
      <c r="O87" s="2"/>
      <c r="P87" s="2"/>
      <c r="Q87" s="2"/>
      <c r="R87" s="2"/>
      <c r="S87" s="2"/>
      <c r="T87" s="2"/>
      <c r="U87" s="2"/>
      <c r="V87" s="2"/>
      <c r="W87" s="2"/>
      <c r="X87" s="2"/>
      <c r="Y87" s="2"/>
      <c r="Z87" s="2"/>
    </row>
    <row r="88" ht="14.25" customHeight="1" spans="1:26">
      <c r="A88" s="6" t="s">
        <v>391</v>
      </c>
      <c r="B88" s="2" t="s">
        <v>5642</v>
      </c>
      <c r="C88" s="2" t="s">
        <v>315</v>
      </c>
      <c r="D88" s="2">
        <v>138</v>
      </c>
      <c r="E88" s="2" t="s">
        <v>262</v>
      </c>
      <c r="F88" s="2" t="s">
        <v>5643</v>
      </c>
      <c r="G88" s="2" t="s">
        <v>5644</v>
      </c>
      <c r="H88" s="2"/>
      <c r="I88" s="2"/>
      <c r="J88" s="2"/>
      <c r="K88" s="2"/>
      <c r="L88" s="2"/>
      <c r="M88" s="2"/>
      <c r="N88" s="2"/>
      <c r="O88" s="2"/>
      <c r="P88" s="2"/>
      <c r="Q88" s="2"/>
      <c r="R88" s="2"/>
      <c r="S88" s="2"/>
      <c r="T88" s="2"/>
      <c r="U88" s="2"/>
      <c r="V88" s="2"/>
      <c r="W88" s="2"/>
      <c r="X88" s="2"/>
      <c r="Y88" s="2"/>
      <c r="Z88" s="2"/>
    </row>
    <row r="89" ht="14.25" customHeight="1" spans="1:26">
      <c r="A89" s="6" t="s">
        <v>395</v>
      </c>
      <c r="B89" s="2" t="s">
        <v>5645</v>
      </c>
      <c r="C89" s="2" t="s">
        <v>315</v>
      </c>
      <c r="D89" s="2">
        <v>139</v>
      </c>
      <c r="E89" s="2" t="s">
        <v>262</v>
      </c>
      <c r="F89" s="2" t="s">
        <v>5646</v>
      </c>
      <c r="G89" s="2" t="s">
        <v>5647</v>
      </c>
      <c r="H89" s="2"/>
      <c r="I89" s="2"/>
      <c r="J89" s="2"/>
      <c r="K89" s="2"/>
      <c r="L89" s="2"/>
      <c r="M89" s="2"/>
      <c r="N89" s="2"/>
      <c r="O89" s="2"/>
      <c r="P89" s="2"/>
      <c r="Q89" s="2"/>
      <c r="R89" s="2"/>
      <c r="S89" s="2"/>
      <c r="T89" s="2"/>
      <c r="U89" s="2"/>
      <c r="V89" s="2"/>
      <c r="W89" s="2"/>
      <c r="X89" s="2"/>
      <c r="Y89" s="2"/>
      <c r="Z89" s="2"/>
    </row>
    <row r="90" ht="14.25" customHeight="1" spans="1:26">
      <c r="A90" s="6" t="s">
        <v>399</v>
      </c>
      <c r="B90" s="2" t="s">
        <v>5648</v>
      </c>
      <c r="C90" s="2" t="s">
        <v>315</v>
      </c>
      <c r="D90" s="2">
        <v>140</v>
      </c>
      <c r="E90" s="2" t="s">
        <v>262</v>
      </c>
      <c r="F90" s="2" t="s">
        <v>5649</v>
      </c>
      <c r="G90" s="2" t="s">
        <v>5650</v>
      </c>
      <c r="H90" s="2"/>
      <c r="I90" s="2"/>
      <c r="J90" s="2"/>
      <c r="K90" s="2"/>
      <c r="L90" s="2"/>
      <c r="M90" s="2"/>
      <c r="N90" s="2"/>
      <c r="O90" s="2"/>
      <c r="P90" s="2"/>
      <c r="Q90" s="2"/>
      <c r="R90" s="2"/>
      <c r="S90" s="2"/>
      <c r="T90" s="2"/>
      <c r="U90" s="2"/>
      <c r="V90" s="2"/>
      <c r="W90" s="2"/>
      <c r="X90" s="2"/>
      <c r="Y90" s="2"/>
      <c r="Z90" s="2"/>
    </row>
    <row r="91" ht="14.25" customHeight="1" spans="1:26">
      <c r="A91" s="6" t="s">
        <v>403</v>
      </c>
      <c r="B91" s="2" t="s">
        <v>5651</v>
      </c>
      <c r="C91" s="2" t="s">
        <v>315</v>
      </c>
      <c r="D91" s="2">
        <v>141</v>
      </c>
      <c r="E91" s="2" t="s">
        <v>262</v>
      </c>
      <c r="F91" s="2" t="s">
        <v>5652</v>
      </c>
      <c r="G91" s="2" t="s">
        <v>5653</v>
      </c>
      <c r="H91" s="2"/>
      <c r="I91" s="2"/>
      <c r="J91" s="2"/>
      <c r="K91" s="2"/>
      <c r="L91" s="2"/>
      <c r="M91" s="2"/>
      <c r="N91" s="2"/>
      <c r="O91" s="2"/>
      <c r="P91" s="2"/>
      <c r="Q91" s="2"/>
      <c r="R91" s="2"/>
      <c r="S91" s="2"/>
      <c r="T91" s="2"/>
      <c r="U91" s="2"/>
      <c r="V91" s="2"/>
      <c r="W91" s="2"/>
      <c r="X91" s="2"/>
      <c r="Y91" s="2"/>
      <c r="Z91" s="2"/>
    </row>
    <row r="92" ht="14.25" customHeight="1" spans="1:26">
      <c r="A92" s="6" t="s">
        <v>407</v>
      </c>
      <c r="B92" s="2" t="s">
        <v>5654</v>
      </c>
      <c r="C92" s="2" t="s">
        <v>315</v>
      </c>
      <c r="D92" s="2">
        <v>142</v>
      </c>
      <c r="E92" s="2" t="s">
        <v>262</v>
      </c>
      <c r="F92" s="2" t="s">
        <v>5655</v>
      </c>
      <c r="G92" s="2" t="s">
        <v>5656</v>
      </c>
      <c r="H92" s="2"/>
      <c r="I92" s="2"/>
      <c r="J92" s="2"/>
      <c r="K92" s="2"/>
      <c r="L92" s="2"/>
      <c r="M92" s="2"/>
      <c r="N92" s="2"/>
      <c r="O92" s="2"/>
      <c r="P92" s="2"/>
      <c r="Q92" s="2"/>
      <c r="R92" s="2"/>
      <c r="S92" s="2"/>
      <c r="T92" s="2"/>
      <c r="U92" s="2"/>
      <c r="V92" s="2"/>
      <c r="W92" s="2"/>
      <c r="X92" s="2"/>
      <c r="Y92" s="2"/>
      <c r="Z92" s="2"/>
    </row>
    <row r="93" ht="14.25" customHeight="1" spans="1:26">
      <c r="A93" s="6" t="s">
        <v>411</v>
      </c>
      <c r="B93" s="2" t="s">
        <v>413</v>
      </c>
      <c r="C93" s="2" t="s">
        <v>315</v>
      </c>
      <c r="D93" s="2">
        <v>143</v>
      </c>
      <c r="E93" s="2" t="s">
        <v>262</v>
      </c>
      <c r="F93" s="2" t="s">
        <v>5657</v>
      </c>
      <c r="G93" s="2" t="s">
        <v>5658</v>
      </c>
      <c r="H93" s="2"/>
      <c r="I93" s="2"/>
      <c r="J93" s="2"/>
      <c r="K93" s="2"/>
      <c r="L93" s="2"/>
      <c r="M93" s="2"/>
      <c r="N93" s="2"/>
      <c r="O93" s="2"/>
      <c r="P93" s="2"/>
      <c r="Q93" s="2"/>
      <c r="R93" s="2"/>
      <c r="S93" s="2"/>
      <c r="T93" s="2"/>
      <c r="U93" s="2"/>
      <c r="V93" s="2"/>
      <c r="W93" s="2"/>
      <c r="X93" s="2"/>
      <c r="Y93" s="2"/>
      <c r="Z93" s="2"/>
    </row>
    <row r="94" ht="14.25" customHeight="1" spans="1:26">
      <c r="A94" s="6" t="s">
        <v>416</v>
      </c>
      <c r="B94" s="2" t="s">
        <v>5659</v>
      </c>
      <c r="C94" s="2" t="s">
        <v>315</v>
      </c>
      <c r="D94" s="2">
        <v>144</v>
      </c>
      <c r="E94" s="2" t="s">
        <v>262</v>
      </c>
      <c r="F94" s="2" t="s">
        <v>5660</v>
      </c>
      <c r="G94" s="2" t="s">
        <v>5661</v>
      </c>
      <c r="H94" s="2"/>
      <c r="I94" s="2"/>
      <c r="J94" s="2"/>
      <c r="K94" s="2"/>
      <c r="L94" s="2"/>
      <c r="M94" s="2"/>
      <c r="N94" s="2"/>
      <c r="O94" s="2"/>
      <c r="P94" s="2"/>
      <c r="Q94" s="2"/>
      <c r="R94" s="2"/>
      <c r="S94" s="2"/>
      <c r="T94" s="2"/>
      <c r="U94" s="2"/>
      <c r="V94" s="2"/>
      <c r="W94" s="2"/>
      <c r="X94" s="2"/>
      <c r="Y94" s="2"/>
      <c r="Z94" s="2"/>
    </row>
    <row r="95" ht="14.25" customHeight="1" spans="1:26">
      <c r="A95" s="6" t="s">
        <v>421</v>
      </c>
      <c r="B95" s="2" t="s">
        <v>5662</v>
      </c>
      <c r="C95" s="2" t="s">
        <v>315</v>
      </c>
      <c r="D95" s="2">
        <v>145</v>
      </c>
      <c r="E95" s="2" t="s">
        <v>310</v>
      </c>
      <c r="F95" s="2" t="s">
        <v>5663</v>
      </c>
      <c r="G95" s="2" t="s">
        <v>5664</v>
      </c>
      <c r="H95" s="2"/>
      <c r="I95" s="2"/>
      <c r="J95" s="2"/>
      <c r="K95" s="2"/>
      <c r="L95" s="2"/>
      <c r="M95" s="2"/>
      <c r="N95" s="2"/>
      <c r="O95" s="2"/>
      <c r="P95" s="2"/>
      <c r="Q95" s="2"/>
      <c r="R95" s="2"/>
      <c r="S95" s="2"/>
      <c r="T95" s="2"/>
      <c r="U95" s="2"/>
      <c r="V95" s="2"/>
      <c r="W95" s="2"/>
      <c r="X95" s="2"/>
      <c r="Y95" s="2"/>
      <c r="Z95" s="2"/>
    </row>
    <row r="96" ht="14.25" customHeight="1" spans="1:26">
      <c r="A96" s="6" t="s">
        <v>426</v>
      </c>
      <c r="B96" s="2" t="s">
        <v>5665</v>
      </c>
      <c r="C96" s="2" t="s">
        <v>315</v>
      </c>
      <c r="D96" s="2">
        <v>146</v>
      </c>
      <c r="E96" s="2" t="s">
        <v>262</v>
      </c>
      <c r="F96" s="2" t="s">
        <v>5666</v>
      </c>
      <c r="G96" s="2" t="s">
        <v>5667</v>
      </c>
      <c r="H96" s="2"/>
      <c r="I96" s="2"/>
      <c r="J96" s="2"/>
      <c r="K96" s="2"/>
      <c r="L96" s="2"/>
      <c r="M96" s="2"/>
      <c r="N96" s="2"/>
      <c r="O96" s="2"/>
      <c r="P96" s="2"/>
      <c r="Q96" s="2"/>
      <c r="R96" s="2"/>
      <c r="S96" s="2"/>
      <c r="T96" s="2"/>
      <c r="U96" s="2"/>
      <c r="V96" s="2"/>
      <c r="W96" s="2"/>
      <c r="X96" s="2"/>
      <c r="Y96" s="2"/>
      <c r="Z96" s="2"/>
    </row>
    <row r="97" ht="14.25" customHeight="1" spans="1:26">
      <c r="A97" s="6" t="s">
        <v>431</v>
      </c>
      <c r="B97" s="2" t="s">
        <v>5668</v>
      </c>
      <c r="C97" s="2" t="s">
        <v>315</v>
      </c>
      <c r="D97" s="2">
        <v>147</v>
      </c>
      <c r="E97" s="2" t="s">
        <v>21</v>
      </c>
      <c r="F97" s="2" t="s">
        <v>5669</v>
      </c>
      <c r="G97" s="2" t="s">
        <v>5670</v>
      </c>
      <c r="H97" s="2"/>
      <c r="I97" s="2"/>
      <c r="J97" s="2"/>
      <c r="K97" s="2"/>
      <c r="L97" s="2"/>
      <c r="M97" s="2"/>
      <c r="N97" s="2"/>
      <c r="O97" s="2"/>
      <c r="P97" s="2"/>
      <c r="Q97" s="2"/>
      <c r="R97" s="2"/>
      <c r="S97" s="2"/>
      <c r="T97" s="2"/>
      <c r="U97" s="2"/>
      <c r="V97" s="2"/>
      <c r="W97" s="2"/>
      <c r="X97" s="2"/>
      <c r="Y97" s="2"/>
      <c r="Z97" s="2"/>
    </row>
    <row r="98" ht="14.25" customHeight="1" spans="1:26">
      <c r="A98" s="6" t="s">
        <v>435</v>
      </c>
      <c r="B98" s="2" t="s">
        <v>5671</v>
      </c>
      <c r="C98" s="2" t="s">
        <v>315</v>
      </c>
      <c r="D98" s="2">
        <v>148</v>
      </c>
      <c r="E98" s="2" t="s">
        <v>21</v>
      </c>
      <c r="F98" s="2" t="s">
        <v>5672</v>
      </c>
      <c r="G98" s="2" t="s">
        <v>5673</v>
      </c>
      <c r="H98" s="2"/>
      <c r="I98" s="2"/>
      <c r="J98" s="2"/>
      <c r="K98" s="2"/>
      <c r="L98" s="2"/>
      <c r="M98" s="2"/>
      <c r="N98" s="2"/>
      <c r="O98" s="2"/>
      <c r="P98" s="2"/>
      <c r="Q98" s="2"/>
      <c r="R98" s="2"/>
      <c r="S98" s="2"/>
      <c r="T98" s="2"/>
      <c r="U98" s="2"/>
      <c r="V98" s="2"/>
      <c r="W98" s="2"/>
      <c r="X98" s="2"/>
      <c r="Y98" s="2"/>
      <c r="Z98" s="2"/>
    </row>
    <row r="99" ht="14.25" customHeight="1" spans="1:26">
      <c r="A99" s="6" t="s">
        <v>439</v>
      </c>
      <c r="B99" s="2" t="s">
        <v>5674</v>
      </c>
      <c r="C99" s="2" t="s">
        <v>315</v>
      </c>
      <c r="D99" s="2">
        <v>149</v>
      </c>
      <c r="E99" s="2" t="s">
        <v>37</v>
      </c>
      <c r="F99" s="2" t="s">
        <v>5675</v>
      </c>
      <c r="G99" s="2" t="s">
        <v>5676</v>
      </c>
      <c r="H99" s="2"/>
      <c r="I99" s="2"/>
      <c r="J99" s="2"/>
      <c r="K99" s="2"/>
      <c r="L99" s="2"/>
      <c r="M99" s="2"/>
      <c r="N99" s="2"/>
      <c r="O99" s="2"/>
      <c r="P99" s="2"/>
      <c r="Q99" s="2"/>
      <c r="R99" s="2"/>
      <c r="S99" s="2"/>
      <c r="T99" s="2"/>
      <c r="U99" s="2"/>
      <c r="V99" s="2"/>
      <c r="W99" s="2"/>
      <c r="X99" s="2"/>
      <c r="Y99" s="2"/>
      <c r="Z99" s="2"/>
    </row>
    <row r="100" ht="14.25" customHeight="1" spans="1:26">
      <c r="A100" s="6" t="s">
        <v>443</v>
      </c>
      <c r="B100" s="2" t="s">
        <v>5677</v>
      </c>
      <c r="C100" s="2" t="s">
        <v>315</v>
      </c>
      <c r="D100" s="2">
        <v>150</v>
      </c>
      <c r="E100" s="2" t="s">
        <v>310</v>
      </c>
      <c r="F100" s="2" t="s">
        <v>5678</v>
      </c>
      <c r="G100" s="2" t="s">
        <v>5679</v>
      </c>
      <c r="H100" s="2"/>
      <c r="I100" s="2"/>
      <c r="J100" s="2"/>
      <c r="K100" s="2"/>
      <c r="L100" s="2"/>
      <c r="M100" s="2"/>
      <c r="N100" s="2"/>
      <c r="O100" s="2"/>
      <c r="P100" s="2"/>
      <c r="Q100" s="2"/>
      <c r="R100" s="2"/>
      <c r="S100" s="2"/>
      <c r="T100" s="2"/>
      <c r="U100" s="2"/>
      <c r="V100" s="2"/>
      <c r="W100" s="2"/>
      <c r="X100" s="2"/>
      <c r="Y100" s="2"/>
      <c r="Z100" s="2"/>
    </row>
    <row r="101" ht="14.25" customHeight="1" spans="1:26">
      <c r="A101" s="6" t="s">
        <v>448</v>
      </c>
      <c r="B101" s="2" t="s">
        <v>5680</v>
      </c>
      <c r="C101" s="2" t="s">
        <v>315</v>
      </c>
      <c r="D101" s="2">
        <v>151</v>
      </c>
      <c r="E101" s="2" t="s">
        <v>310</v>
      </c>
      <c r="F101" s="2" t="s">
        <v>5681</v>
      </c>
      <c r="G101" s="2" t="s">
        <v>5682</v>
      </c>
      <c r="H101" s="2"/>
      <c r="I101" s="2"/>
      <c r="J101" s="2"/>
      <c r="K101" s="2"/>
      <c r="L101" s="2"/>
      <c r="M101" s="2"/>
      <c r="N101" s="2"/>
      <c r="O101" s="2"/>
      <c r="P101" s="2"/>
      <c r="Q101" s="2"/>
      <c r="R101" s="2"/>
      <c r="S101" s="2"/>
      <c r="T101" s="2"/>
      <c r="U101" s="2"/>
      <c r="V101" s="2"/>
      <c r="W101" s="2"/>
      <c r="X101" s="2"/>
      <c r="Y101" s="2"/>
      <c r="Z101" s="2"/>
    </row>
    <row r="102" ht="14.25" customHeight="1" spans="1:26">
      <c r="A102" s="6" t="s">
        <v>452</v>
      </c>
      <c r="B102" s="2" t="s">
        <v>5683</v>
      </c>
      <c r="C102" s="2" t="s">
        <v>315</v>
      </c>
      <c r="D102" s="2">
        <v>152</v>
      </c>
      <c r="E102" s="2" t="s">
        <v>310</v>
      </c>
      <c r="F102" s="2" t="s">
        <v>5684</v>
      </c>
      <c r="G102" s="2" t="s">
        <v>5685</v>
      </c>
      <c r="H102" s="2"/>
      <c r="I102" s="2"/>
      <c r="J102" s="2"/>
      <c r="K102" s="2"/>
      <c r="L102" s="2"/>
      <c r="M102" s="2"/>
      <c r="N102" s="2"/>
      <c r="O102" s="2"/>
      <c r="P102" s="2"/>
      <c r="Q102" s="2"/>
      <c r="R102" s="2"/>
      <c r="S102" s="2"/>
      <c r="T102" s="2"/>
      <c r="U102" s="2"/>
      <c r="V102" s="2"/>
      <c r="W102" s="2"/>
      <c r="X102" s="2"/>
      <c r="Y102" s="2"/>
      <c r="Z102" s="2"/>
    </row>
    <row r="103" ht="14.25" customHeight="1" spans="1:26">
      <c r="A103" s="6" t="s">
        <v>455</v>
      </c>
      <c r="B103" s="2" t="s">
        <v>5686</v>
      </c>
      <c r="C103" s="2" t="s">
        <v>315</v>
      </c>
      <c r="D103" s="2">
        <v>153</v>
      </c>
      <c r="E103" s="2" t="s">
        <v>21</v>
      </c>
      <c r="F103" s="2" t="s">
        <v>5687</v>
      </c>
      <c r="G103" s="2" t="s">
        <v>5688</v>
      </c>
      <c r="H103" s="2"/>
      <c r="I103" s="2"/>
      <c r="J103" s="2"/>
      <c r="K103" s="2"/>
      <c r="L103" s="2"/>
      <c r="M103" s="2"/>
      <c r="N103" s="2"/>
      <c r="O103" s="2"/>
      <c r="P103" s="2"/>
      <c r="Q103" s="2"/>
      <c r="R103" s="2"/>
      <c r="S103" s="2"/>
      <c r="T103" s="2"/>
      <c r="U103" s="2"/>
      <c r="V103" s="2"/>
      <c r="W103" s="2"/>
      <c r="X103" s="2"/>
      <c r="Y103" s="2"/>
      <c r="Z103" s="2"/>
    </row>
    <row r="104" ht="14.25" customHeight="1" spans="1:26">
      <c r="A104" s="6" t="s">
        <v>460</v>
      </c>
      <c r="B104" s="2" t="s">
        <v>5689</v>
      </c>
      <c r="C104" s="2" t="s">
        <v>315</v>
      </c>
      <c r="D104" s="2">
        <v>154</v>
      </c>
      <c r="E104" s="2" t="s">
        <v>37</v>
      </c>
      <c r="F104" s="2" t="s">
        <v>5690</v>
      </c>
      <c r="G104" s="2" t="s">
        <v>5691</v>
      </c>
      <c r="H104" s="2"/>
      <c r="I104" s="2"/>
      <c r="J104" s="2"/>
      <c r="K104" s="2"/>
      <c r="L104" s="2"/>
      <c r="M104" s="2"/>
      <c r="N104" s="2"/>
      <c r="O104" s="2"/>
      <c r="P104" s="2"/>
      <c r="Q104" s="2"/>
      <c r="R104" s="2"/>
      <c r="S104" s="2"/>
      <c r="T104" s="2"/>
      <c r="U104" s="2"/>
      <c r="V104" s="2"/>
      <c r="W104" s="2"/>
      <c r="X104" s="2"/>
      <c r="Y104" s="2"/>
      <c r="Z104" s="2"/>
    </row>
    <row r="105" ht="14.25" customHeight="1" spans="1:26">
      <c r="A105" s="6" t="s">
        <v>465</v>
      </c>
      <c r="B105" s="2" t="s">
        <v>5692</v>
      </c>
      <c r="C105" s="2" t="s">
        <v>315</v>
      </c>
      <c r="D105" s="2">
        <v>155</v>
      </c>
      <c r="E105" s="2" t="s">
        <v>21</v>
      </c>
      <c r="F105" s="2" t="s">
        <v>5693</v>
      </c>
      <c r="G105" s="2" t="s">
        <v>5694</v>
      </c>
      <c r="H105" s="2"/>
      <c r="I105" s="2"/>
      <c r="J105" s="2"/>
      <c r="K105" s="2"/>
      <c r="L105" s="2"/>
      <c r="M105" s="2"/>
      <c r="N105" s="2"/>
      <c r="O105" s="2"/>
      <c r="P105" s="2"/>
      <c r="Q105" s="2"/>
      <c r="R105" s="2"/>
      <c r="S105" s="2"/>
      <c r="T105" s="2"/>
      <c r="U105" s="2"/>
      <c r="V105" s="2"/>
      <c r="W105" s="2"/>
      <c r="X105" s="2"/>
      <c r="Y105" s="2"/>
      <c r="Z105" s="2"/>
    </row>
    <row r="106" ht="14.25" customHeight="1" spans="1:26">
      <c r="A106" s="6" t="s">
        <v>469</v>
      </c>
      <c r="B106" s="2" t="s">
        <v>5695</v>
      </c>
      <c r="C106" s="2" t="s">
        <v>315</v>
      </c>
      <c r="D106" s="2">
        <v>156</v>
      </c>
      <c r="E106" s="2" t="s">
        <v>310</v>
      </c>
      <c r="F106" s="2" t="s">
        <v>5696</v>
      </c>
      <c r="G106" s="2" t="s">
        <v>5697</v>
      </c>
      <c r="H106" s="2"/>
      <c r="I106" s="2"/>
      <c r="J106" s="2"/>
      <c r="K106" s="2"/>
      <c r="L106" s="2"/>
      <c r="M106" s="2"/>
      <c r="N106" s="2"/>
      <c r="O106" s="2"/>
      <c r="P106" s="2"/>
      <c r="Q106" s="2"/>
      <c r="R106" s="2"/>
      <c r="S106" s="2"/>
      <c r="T106" s="2"/>
      <c r="U106" s="2"/>
      <c r="V106" s="2"/>
      <c r="W106" s="2"/>
      <c r="X106" s="2"/>
      <c r="Y106" s="2"/>
      <c r="Z106" s="2"/>
    </row>
    <row r="107" ht="14.25" customHeight="1" spans="1:26">
      <c r="A107" s="6" t="s">
        <v>474</v>
      </c>
      <c r="B107" s="2" t="s">
        <v>5698</v>
      </c>
      <c r="C107" s="2" t="s">
        <v>315</v>
      </c>
      <c r="D107" s="2">
        <v>157</v>
      </c>
      <c r="E107" s="2" t="s">
        <v>310</v>
      </c>
      <c r="F107" s="125"/>
      <c r="G107" s="2" t="s">
        <v>5699</v>
      </c>
      <c r="H107" s="2"/>
      <c r="I107" s="2"/>
      <c r="J107" s="2"/>
      <c r="K107" s="2"/>
      <c r="L107" s="2"/>
      <c r="M107" s="2"/>
      <c r="N107" s="2"/>
      <c r="O107" s="2"/>
      <c r="P107" s="2"/>
      <c r="Q107" s="2"/>
      <c r="R107" s="2"/>
      <c r="S107" s="2"/>
      <c r="T107" s="2"/>
      <c r="U107" s="2"/>
      <c r="V107" s="2"/>
      <c r="W107" s="2"/>
      <c r="X107" s="2"/>
      <c r="Y107" s="2"/>
      <c r="Z107" s="2"/>
    </row>
    <row r="108" ht="14.25" customHeight="1" spans="1:26">
      <c r="A108" s="6" t="s">
        <v>479</v>
      </c>
      <c r="B108" s="2" t="s">
        <v>5700</v>
      </c>
      <c r="C108" s="2" t="s">
        <v>315</v>
      </c>
      <c r="D108" s="2">
        <v>158</v>
      </c>
      <c r="E108" s="2" t="s">
        <v>310</v>
      </c>
      <c r="F108" s="125"/>
      <c r="G108" s="2" t="s">
        <v>5701</v>
      </c>
      <c r="H108" s="2"/>
      <c r="I108" s="2"/>
      <c r="J108" s="2"/>
      <c r="K108" s="2"/>
      <c r="L108" s="2"/>
      <c r="M108" s="2"/>
      <c r="N108" s="2"/>
      <c r="O108" s="2"/>
      <c r="P108" s="2"/>
      <c r="Q108" s="2"/>
      <c r="R108" s="2"/>
      <c r="S108" s="2"/>
      <c r="T108" s="2"/>
      <c r="U108" s="2"/>
      <c r="V108" s="2"/>
      <c r="W108" s="2"/>
      <c r="X108" s="2"/>
      <c r="Y108" s="2"/>
      <c r="Z108" s="2"/>
    </row>
    <row r="109" ht="14.25" customHeight="1" spans="1:26">
      <c r="A109" s="6" t="s">
        <v>483</v>
      </c>
      <c r="B109" s="2" t="s">
        <v>5702</v>
      </c>
      <c r="C109" s="2" t="s">
        <v>315</v>
      </c>
      <c r="D109" s="2">
        <v>159</v>
      </c>
      <c r="E109" s="2" t="s">
        <v>37</v>
      </c>
      <c r="F109" s="126" t="s">
        <v>5703</v>
      </c>
      <c r="G109" s="2" t="s">
        <v>5704</v>
      </c>
      <c r="H109" s="2"/>
      <c r="I109" s="2"/>
      <c r="J109" s="2"/>
      <c r="K109" s="2"/>
      <c r="L109" s="2"/>
      <c r="M109" s="2"/>
      <c r="N109" s="2"/>
      <c r="O109" s="2"/>
      <c r="P109" s="2"/>
      <c r="Q109" s="2"/>
      <c r="R109" s="2"/>
      <c r="S109" s="2"/>
      <c r="T109" s="2"/>
      <c r="U109" s="2"/>
      <c r="V109" s="2"/>
      <c r="W109" s="2"/>
      <c r="X109" s="2"/>
      <c r="Y109" s="2"/>
      <c r="Z109" s="2"/>
    </row>
    <row r="110" ht="14.25" customHeight="1" spans="1:26">
      <c r="A110" s="6" t="s">
        <v>488</v>
      </c>
      <c r="B110" s="2" t="s">
        <v>5705</v>
      </c>
      <c r="C110" s="2" t="s">
        <v>315</v>
      </c>
      <c r="D110" s="2">
        <v>160</v>
      </c>
      <c r="E110" s="2" t="s">
        <v>37</v>
      </c>
      <c r="F110" s="2" t="s">
        <v>5706</v>
      </c>
      <c r="G110" s="2" t="s">
        <v>5707</v>
      </c>
      <c r="H110" s="2"/>
      <c r="I110" s="2"/>
      <c r="J110" s="2"/>
      <c r="K110" s="2"/>
      <c r="L110" s="2"/>
      <c r="M110" s="2"/>
      <c r="N110" s="2"/>
      <c r="O110" s="2"/>
      <c r="P110" s="2"/>
      <c r="Q110" s="2"/>
      <c r="R110" s="2"/>
      <c r="S110" s="2"/>
      <c r="T110" s="2"/>
      <c r="U110" s="2"/>
      <c r="V110" s="2"/>
      <c r="W110" s="2"/>
      <c r="X110" s="2"/>
      <c r="Y110" s="2"/>
      <c r="Z110" s="2"/>
    </row>
    <row r="111" ht="14.25" customHeight="1" spans="1:26">
      <c r="A111" s="6" t="s">
        <v>493</v>
      </c>
      <c r="B111" s="2" t="s">
        <v>5708</v>
      </c>
      <c r="C111" s="2" t="s">
        <v>315</v>
      </c>
      <c r="D111" s="2">
        <v>161</v>
      </c>
      <c r="E111" s="2"/>
      <c r="F111" s="125"/>
      <c r="G111" s="2" t="s">
        <v>5709</v>
      </c>
      <c r="H111" s="2"/>
      <c r="I111" s="2"/>
      <c r="J111" s="2"/>
      <c r="K111" s="2"/>
      <c r="L111" s="2"/>
      <c r="M111" s="2"/>
      <c r="N111" s="2"/>
      <c r="O111" s="2"/>
      <c r="P111" s="2"/>
      <c r="Q111" s="2"/>
      <c r="R111" s="2"/>
      <c r="S111" s="2"/>
      <c r="T111" s="2"/>
      <c r="U111" s="2"/>
      <c r="V111" s="2"/>
      <c r="W111" s="2"/>
      <c r="X111" s="2"/>
      <c r="Y111" s="2"/>
      <c r="Z111" s="2"/>
    </row>
    <row r="112" ht="14.25" customHeight="1" spans="1:26">
      <c r="A112" s="6" t="s">
        <v>498</v>
      </c>
      <c r="B112" s="2" t="s">
        <v>5710</v>
      </c>
      <c r="C112" s="2" t="s">
        <v>315</v>
      </c>
      <c r="D112" s="2">
        <v>162</v>
      </c>
      <c r="E112" s="2"/>
      <c r="F112" s="146" t="s">
        <v>5711</v>
      </c>
      <c r="G112" s="2" t="s">
        <v>5712</v>
      </c>
      <c r="H112" s="2"/>
      <c r="I112" s="2"/>
      <c r="J112" s="2"/>
      <c r="K112" s="2"/>
      <c r="L112" s="2"/>
      <c r="M112" s="2"/>
      <c r="N112" s="2"/>
      <c r="O112" s="2"/>
      <c r="P112" s="2"/>
      <c r="Q112" s="2"/>
      <c r="R112" s="2"/>
      <c r="S112" s="2"/>
      <c r="T112" s="2"/>
      <c r="U112" s="2"/>
      <c r="V112" s="2"/>
      <c r="W112" s="2"/>
      <c r="X112" s="2"/>
      <c r="Y112" s="2"/>
      <c r="Z112" s="2"/>
    </row>
    <row r="113" ht="14.25" customHeight="1" spans="1:26">
      <c r="A113" s="6" t="s">
        <v>503</v>
      </c>
      <c r="B113" s="2" t="s">
        <v>5713</v>
      </c>
      <c r="C113" s="2" t="s">
        <v>315</v>
      </c>
      <c r="D113" s="2">
        <v>163</v>
      </c>
      <c r="E113" s="2" t="s">
        <v>37</v>
      </c>
      <c r="F113" s="2" t="s">
        <v>5714</v>
      </c>
      <c r="G113" s="2" t="s">
        <v>5715</v>
      </c>
      <c r="H113" s="2"/>
      <c r="I113" s="2"/>
      <c r="J113" s="2"/>
      <c r="K113" s="2"/>
      <c r="L113" s="2"/>
      <c r="M113" s="2"/>
      <c r="N113" s="2"/>
      <c r="O113" s="2"/>
      <c r="P113" s="2"/>
      <c r="Q113" s="2"/>
      <c r="R113" s="2"/>
      <c r="S113" s="2"/>
      <c r="T113" s="2"/>
      <c r="U113" s="2"/>
      <c r="V113" s="2"/>
      <c r="W113" s="2"/>
      <c r="X113" s="2"/>
      <c r="Y113" s="2"/>
      <c r="Z113" s="2"/>
    </row>
    <row r="114" ht="14.25" customHeight="1" spans="1:26">
      <c r="A114" s="6" t="s">
        <v>508</v>
      </c>
      <c r="B114" s="2" t="s">
        <v>5716</v>
      </c>
      <c r="C114" s="2" t="s">
        <v>315</v>
      </c>
      <c r="D114" s="2">
        <v>164</v>
      </c>
      <c r="E114" s="2" t="s">
        <v>37</v>
      </c>
      <c r="F114" s="2" t="s">
        <v>5717</v>
      </c>
      <c r="G114" s="2" t="s">
        <v>5718</v>
      </c>
      <c r="H114" s="2"/>
      <c r="I114" s="2"/>
      <c r="J114" s="2"/>
      <c r="K114" s="2"/>
      <c r="L114" s="2"/>
      <c r="M114" s="2"/>
      <c r="N114" s="2"/>
      <c r="O114" s="2"/>
      <c r="P114" s="2"/>
      <c r="Q114" s="2"/>
      <c r="R114" s="2"/>
      <c r="S114" s="2"/>
      <c r="T114" s="2"/>
      <c r="U114" s="2"/>
      <c r="V114" s="2"/>
      <c r="W114" s="2"/>
      <c r="X114" s="2"/>
      <c r="Y114" s="2"/>
      <c r="Z114" s="2"/>
    </row>
    <row r="115" ht="14.25" customHeight="1" spans="1:26">
      <c r="A115" s="6" t="s">
        <v>513</v>
      </c>
      <c r="B115" s="2" t="s">
        <v>5719</v>
      </c>
      <c r="C115" s="2" t="s">
        <v>515</v>
      </c>
      <c r="D115" s="2">
        <v>165</v>
      </c>
      <c r="E115" s="2" t="s">
        <v>37</v>
      </c>
      <c r="F115" s="146" t="s">
        <v>5720</v>
      </c>
      <c r="G115" s="2" t="s">
        <v>5721</v>
      </c>
      <c r="H115" s="2"/>
      <c r="I115" s="2"/>
      <c r="J115" s="2"/>
      <c r="K115" s="2"/>
      <c r="L115" s="2"/>
      <c r="M115" s="2"/>
      <c r="N115" s="2"/>
      <c r="O115" s="2"/>
      <c r="P115" s="2"/>
      <c r="Q115" s="2"/>
      <c r="R115" s="2"/>
      <c r="S115" s="2"/>
      <c r="T115" s="2"/>
      <c r="U115" s="2"/>
      <c r="V115" s="2"/>
      <c r="W115" s="2"/>
      <c r="X115" s="2"/>
      <c r="Y115" s="2"/>
      <c r="Z115" s="2"/>
    </row>
    <row r="116" ht="14.25" customHeight="1" spans="1:26">
      <c r="A116" s="6" t="s">
        <v>518</v>
      </c>
      <c r="B116" s="2" t="s">
        <v>5722</v>
      </c>
      <c r="C116" s="2" t="s">
        <v>519</v>
      </c>
      <c r="D116" s="2">
        <v>166</v>
      </c>
      <c r="E116" s="2" t="s">
        <v>37</v>
      </c>
      <c r="F116" s="2" t="s">
        <v>5723</v>
      </c>
      <c r="G116" s="2" t="s">
        <v>5724</v>
      </c>
      <c r="H116" s="2"/>
      <c r="I116" s="2"/>
      <c r="J116" s="2"/>
      <c r="K116" s="2"/>
      <c r="L116" s="2"/>
      <c r="M116" s="2"/>
      <c r="N116" s="2"/>
      <c r="O116" s="2"/>
      <c r="P116" s="2"/>
      <c r="Q116" s="2"/>
      <c r="R116" s="2"/>
      <c r="S116" s="2"/>
      <c r="T116" s="2"/>
      <c r="U116" s="2"/>
      <c r="V116" s="2"/>
      <c r="W116" s="2"/>
      <c r="X116" s="2"/>
      <c r="Y116" s="2"/>
      <c r="Z116" s="2"/>
    </row>
    <row r="117" ht="14.25" customHeight="1" spans="1:26">
      <c r="A117" s="6" t="s">
        <v>520</v>
      </c>
      <c r="B117" s="2" t="s">
        <v>5494</v>
      </c>
      <c r="C117" s="2" t="s">
        <v>515</v>
      </c>
      <c r="D117" s="2">
        <v>167</v>
      </c>
      <c r="E117" s="2" t="s">
        <v>37</v>
      </c>
      <c r="F117" s="2" t="s">
        <v>5725</v>
      </c>
      <c r="G117" s="2" t="s">
        <v>5726</v>
      </c>
      <c r="H117" s="2"/>
      <c r="I117" s="2"/>
      <c r="J117" s="2"/>
      <c r="K117" s="2"/>
      <c r="L117" s="2"/>
      <c r="M117" s="2"/>
      <c r="N117" s="2"/>
      <c r="O117" s="2"/>
      <c r="P117" s="2"/>
      <c r="Q117" s="2"/>
      <c r="R117" s="2"/>
      <c r="S117" s="2"/>
      <c r="T117" s="2"/>
      <c r="U117" s="2"/>
      <c r="V117" s="2"/>
      <c r="W117" s="2"/>
      <c r="X117" s="2"/>
      <c r="Y117" s="2"/>
      <c r="Z117" s="2"/>
    </row>
    <row r="118" ht="14.25" customHeight="1" spans="1:26">
      <c r="A118" s="6" t="s">
        <v>522</v>
      </c>
      <c r="B118" s="2" t="s">
        <v>5727</v>
      </c>
      <c r="C118" s="2" t="s">
        <v>524</v>
      </c>
      <c r="D118" s="2">
        <v>168</v>
      </c>
      <c r="E118" s="2" t="s">
        <v>37</v>
      </c>
      <c r="F118" s="2" t="s">
        <v>5728</v>
      </c>
      <c r="G118" s="2" t="s">
        <v>5729</v>
      </c>
      <c r="H118" s="2"/>
      <c r="I118" s="2"/>
      <c r="J118" s="2"/>
      <c r="K118" s="2"/>
      <c r="L118" s="2"/>
      <c r="M118" s="2"/>
      <c r="N118" s="2"/>
      <c r="O118" s="2"/>
      <c r="P118" s="2"/>
      <c r="Q118" s="2"/>
      <c r="R118" s="2"/>
      <c r="S118" s="2"/>
      <c r="T118" s="2"/>
      <c r="U118" s="2"/>
      <c r="V118" s="2"/>
      <c r="W118" s="2"/>
      <c r="X118" s="2"/>
      <c r="Y118" s="2"/>
      <c r="Z118" s="2"/>
    </row>
    <row r="119" ht="14.25" customHeight="1" spans="1:26">
      <c r="A119" s="6" t="s">
        <v>527</v>
      </c>
      <c r="B119" s="2" t="s">
        <v>5730</v>
      </c>
      <c r="C119" s="2" t="s">
        <v>529</v>
      </c>
      <c r="D119" s="2">
        <v>169</v>
      </c>
      <c r="E119" s="2" t="s">
        <v>37</v>
      </c>
      <c r="F119" s="2" t="s">
        <v>5731</v>
      </c>
      <c r="G119" s="2" t="s">
        <v>5732</v>
      </c>
      <c r="H119" s="2"/>
      <c r="I119" s="2"/>
      <c r="J119" s="2"/>
      <c r="K119" s="2"/>
      <c r="L119" s="2"/>
      <c r="M119" s="2"/>
      <c r="N119" s="2"/>
      <c r="O119" s="2"/>
      <c r="P119" s="2"/>
      <c r="Q119" s="2"/>
      <c r="R119" s="2"/>
      <c r="S119" s="2"/>
      <c r="T119" s="2"/>
      <c r="U119" s="2"/>
      <c r="V119" s="2"/>
      <c r="W119" s="2"/>
      <c r="X119" s="2"/>
      <c r="Y119" s="2"/>
      <c r="Z119" s="2"/>
    </row>
    <row r="120" ht="14.25" customHeight="1" spans="1:26">
      <c r="A120" s="6" t="s">
        <v>532</v>
      </c>
      <c r="B120" s="2" t="s">
        <v>5733</v>
      </c>
      <c r="C120" s="2" t="s">
        <v>534</v>
      </c>
      <c r="D120" s="2">
        <v>170</v>
      </c>
      <c r="E120" s="2" t="s">
        <v>37</v>
      </c>
      <c r="F120" s="2" t="s">
        <v>5734</v>
      </c>
      <c r="G120" s="2" t="s">
        <v>5735</v>
      </c>
      <c r="H120" s="2"/>
      <c r="I120" s="2"/>
      <c r="J120" s="2"/>
      <c r="K120" s="2"/>
      <c r="L120" s="2"/>
      <c r="M120" s="2"/>
      <c r="N120" s="2"/>
      <c r="O120" s="2"/>
      <c r="P120" s="2"/>
      <c r="Q120" s="2"/>
      <c r="R120" s="2"/>
      <c r="S120" s="2"/>
      <c r="T120" s="2"/>
      <c r="U120" s="2"/>
      <c r="V120" s="2"/>
      <c r="W120" s="2"/>
      <c r="X120" s="2"/>
      <c r="Y120" s="2"/>
      <c r="Z120" s="2"/>
    </row>
    <row r="121" ht="14.25" customHeight="1" spans="1:26">
      <c r="A121" s="6" t="s">
        <v>537</v>
      </c>
      <c r="B121" s="2" t="s">
        <v>5736</v>
      </c>
      <c r="C121" s="2" t="s">
        <v>539</v>
      </c>
      <c r="D121" s="2">
        <v>171</v>
      </c>
      <c r="E121" s="2" t="s">
        <v>37</v>
      </c>
      <c r="F121" s="125"/>
      <c r="G121" s="2" t="s">
        <v>5737</v>
      </c>
      <c r="H121" s="2"/>
      <c r="I121" s="2"/>
      <c r="J121" s="2"/>
      <c r="K121" s="2"/>
      <c r="L121" s="2"/>
      <c r="M121" s="2"/>
      <c r="N121" s="2"/>
      <c r="O121" s="2"/>
      <c r="P121" s="2"/>
      <c r="Q121" s="2"/>
      <c r="R121" s="2"/>
      <c r="S121" s="2"/>
      <c r="T121" s="2"/>
      <c r="U121" s="2"/>
      <c r="V121" s="2"/>
      <c r="W121" s="2"/>
      <c r="X121" s="2"/>
      <c r="Y121" s="2"/>
      <c r="Z121" s="2"/>
    </row>
    <row r="122" ht="14.25" customHeight="1" spans="1:26">
      <c r="A122" s="6" t="s">
        <v>542</v>
      </c>
      <c r="B122" s="2" t="s">
        <v>5738</v>
      </c>
      <c r="C122" s="2" t="s">
        <v>539</v>
      </c>
      <c r="D122" s="2">
        <v>172</v>
      </c>
      <c r="E122" s="2" t="s">
        <v>37</v>
      </c>
      <c r="F122" s="125"/>
      <c r="G122" s="2" t="s">
        <v>5739</v>
      </c>
      <c r="H122" s="2"/>
      <c r="I122" s="2"/>
      <c r="J122" s="2"/>
      <c r="K122" s="2"/>
      <c r="L122" s="2"/>
      <c r="M122" s="2"/>
      <c r="N122" s="2"/>
      <c r="O122" s="2"/>
      <c r="P122" s="2"/>
      <c r="Q122" s="2"/>
      <c r="R122" s="2"/>
      <c r="S122" s="2"/>
      <c r="T122" s="2"/>
      <c r="U122" s="2"/>
      <c r="V122" s="2"/>
      <c r="W122" s="2"/>
      <c r="X122" s="2"/>
      <c r="Y122" s="2"/>
      <c r="Z122" s="2"/>
    </row>
    <row r="123" ht="14.25" customHeight="1" spans="1:26">
      <c r="A123" s="6" t="s">
        <v>546</v>
      </c>
      <c r="B123" s="2" t="s">
        <v>5740</v>
      </c>
      <c r="C123" s="2" t="s">
        <v>548</v>
      </c>
      <c r="D123" s="2">
        <v>173</v>
      </c>
      <c r="E123" s="2" t="s">
        <v>37</v>
      </c>
      <c r="F123" s="2" t="s">
        <v>5741</v>
      </c>
      <c r="G123" s="2" t="s">
        <v>5742</v>
      </c>
      <c r="H123" s="2"/>
      <c r="I123" s="2"/>
      <c r="J123" s="2"/>
      <c r="K123" s="2"/>
      <c r="L123" s="2"/>
      <c r="M123" s="2"/>
      <c r="N123" s="2"/>
      <c r="O123" s="2"/>
      <c r="P123" s="2"/>
      <c r="Q123" s="2"/>
      <c r="R123" s="2"/>
      <c r="S123" s="2"/>
      <c r="T123" s="2"/>
      <c r="U123" s="2"/>
      <c r="V123" s="2"/>
      <c r="W123" s="2"/>
      <c r="X123" s="2"/>
      <c r="Y123" s="2"/>
      <c r="Z123" s="2"/>
    </row>
    <row r="124" ht="14.25" customHeight="1" spans="1:26">
      <c r="A124" s="6" t="s">
        <v>551</v>
      </c>
      <c r="B124" s="2" t="s">
        <v>5743</v>
      </c>
      <c r="C124" s="2" t="s">
        <v>553</v>
      </c>
      <c r="D124" s="2">
        <v>174</v>
      </c>
      <c r="E124" s="2" t="s">
        <v>37</v>
      </c>
      <c r="F124" s="2" t="s">
        <v>5744</v>
      </c>
      <c r="G124" s="2" t="s">
        <v>5745</v>
      </c>
      <c r="H124" s="2"/>
      <c r="I124" s="2"/>
      <c r="J124" s="2"/>
      <c r="K124" s="2"/>
      <c r="L124" s="2"/>
      <c r="M124" s="2"/>
      <c r="N124" s="2"/>
      <c r="O124" s="2"/>
      <c r="P124" s="2"/>
      <c r="Q124" s="2"/>
      <c r="R124" s="2"/>
      <c r="S124" s="2"/>
      <c r="T124" s="2"/>
      <c r="U124" s="2"/>
      <c r="V124" s="2"/>
      <c r="W124" s="2"/>
      <c r="X124" s="2"/>
      <c r="Y124" s="2"/>
      <c r="Z124" s="2"/>
    </row>
    <row r="125" ht="14.25" customHeight="1" spans="1:26">
      <c r="A125" s="6" t="s">
        <v>556</v>
      </c>
      <c r="B125" s="2" t="s">
        <v>5746</v>
      </c>
      <c r="C125" s="2" t="s">
        <v>557</v>
      </c>
      <c r="D125" s="2">
        <v>175</v>
      </c>
      <c r="E125" s="2" t="s">
        <v>37</v>
      </c>
      <c r="F125" s="125"/>
      <c r="G125" s="2" t="s">
        <v>5747</v>
      </c>
      <c r="H125" s="2"/>
      <c r="I125" s="2"/>
      <c r="J125" s="2"/>
      <c r="K125" s="2"/>
      <c r="L125" s="2"/>
      <c r="M125" s="2"/>
      <c r="N125" s="2"/>
      <c r="O125" s="2"/>
      <c r="P125" s="2"/>
      <c r="Q125" s="2"/>
      <c r="R125" s="2"/>
      <c r="S125" s="2"/>
      <c r="T125" s="2"/>
      <c r="U125" s="2"/>
      <c r="V125" s="2"/>
      <c r="W125" s="2"/>
      <c r="X125" s="2"/>
      <c r="Y125" s="2"/>
      <c r="Z125" s="2"/>
    </row>
    <row r="126" ht="14.25" customHeight="1" spans="1:26">
      <c r="A126" s="6" t="s">
        <v>558</v>
      </c>
      <c r="B126" s="2" t="s">
        <v>5748</v>
      </c>
      <c r="C126" s="2" t="s">
        <v>560</v>
      </c>
      <c r="D126" s="2">
        <v>176</v>
      </c>
      <c r="E126" s="2" t="s">
        <v>37</v>
      </c>
      <c r="F126" s="2" t="s">
        <v>5749</v>
      </c>
      <c r="G126" s="2" t="s">
        <v>5750</v>
      </c>
      <c r="H126" s="2"/>
      <c r="I126" s="2"/>
      <c r="J126" s="2"/>
      <c r="K126" s="2"/>
      <c r="L126" s="2"/>
      <c r="M126" s="2"/>
      <c r="N126" s="2"/>
      <c r="O126" s="2"/>
      <c r="P126" s="2"/>
      <c r="Q126" s="2"/>
      <c r="R126" s="2"/>
      <c r="S126" s="2"/>
      <c r="T126" s="2"/>
      <c r="U126" s="2"/>
      <c r="V126" s="2"/>
      <c r="W126" s="2"/>
      <c r="X126" s="2"/>
      <c r="Y126" s="2"/>
      <c r="Z126" s="2"/>
    </row>
    <row r="127" ht="14.25" customHeight="1" spans="1:26">
      <c r="A127" s="6" t="s">
        <v>563</v>
      </c>
      <c r="B127" s="2" t="s">
        <v>5751</v>
      </c>
      <c r="C127" s="2" t="s">
        <v>565</v>
      </c>
      <c r="D127" s="2">
        <v>177</v>
      </c>
      <c r="E127" s="2" t="s">
        <v>37</v>
      </c>
      <c r="F127" s="2" t="s">
        <v>5752</v>
      </c>
      <c r="G127" s="2" t="s">
        <v>5753</v>
      </c>
      <c r="H127" s="2"/>
      <c r="I127" s="2"/>
      <c r="J127" s="2"/>
      <c r="K127" s="2"/>
      <c r="L127" s="2"/>
      <c r="M127" s="2"/>
      <c r="N127" s="2"/>
      <c r="O127" s="2"/>
      <c r="P127" s="2"/>
      <c r="Q127" s="2"/>
      <c r="R127" s="2"/>
      <c r="S127" s="2"/>
      <c r="T127" s="2"/>
      <c r="U127" s="2"/>
      <c r="V127" s="2"/>
      <c r="W127" s="2"/>
      <c r="X127" s="2"/>
      <c r="Y127" s="2"/>
      <c r="Z127" s="2"/>
    </row>
    <row r="128" ht="14.25" customHeight="1" spans="1:26">
      <c r="A128" s="6" t="s">
        <v>313</v>
      </c>
      <c r="B128" s="2" t="s">
        <v>5754</v>
      </c>
      <c r="C128" s="2" t="s">
        <v>5755</v>
      </c>
      <c r="D128" s="2">
        <v>178</v>
      </c>
      <c r="E128" s="2" t="s">
        <v>37</v>
      </c>
      <c r="F128" s="2" t="s">
        <v>5756</v>
      </c>
      <c r="G128" s="2" t="s">
        <v>5757</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5758</v>
      </c>
      <c r="C129" s="10" t="s">
        <v>570</v>
      </c>
      <c r="D129" s="2"/>
      <c r="E129" s="2"/>
      <c r="F129" s="2" t="s">
        <v>2309</v>
      </c>
      <c r="G129" s="2" t="s">
        <v>5759</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147" t="s">
        <v>5760</v>
      </c>
      <c r="C130" s="2" t="s">
        <v>570</v>
      </c>
      <c r="D130" s="2"/>
      <c r="E130" s="2"/>
      <c r="F130" s="2" t="s">
        <v>2309</v>
      </c>
      <c r="G130" s="2" t="s">
        <v>5761</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5762</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5763</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5764</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5765</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5766</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5767</v>
      </c>
      <c r="C136" s="11" t="s">
        <v>578</v>
      </c>
      <c r="D136" s="2"/>
      <c r="E136" s="2"/>
      <c r="F136" s="2" t="s">
        <v>5768</v>
      </c>
      <c r="G136" s="2" t="s">
        <v>5769</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5770</v>
      </c>
      <c r="C137" s="11" t="s">
        <v>578</v>
      </c>
      <c r="D137" s="2"/>
      <c r="E137" s="2"/>
      <c r="F137" s="2" t="s">
        <v>5771</v>
      </c>
      <c r="G137" s="2" t="s">
        <v>5772</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5773</v>
      </c>
      <c r="C138" s="11" t="s">
        <v>578</v>
      </c>
      <c r="D138" s="2"/>
      <c r="E138" s="2"/>
      <c r="F138" s="2" t="s">
        <v>5774</v>
      </c>
      <c r="G138" s="2" t="s">
        <v>5775</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5776</v>
      </c>
      <c r="C139" s="11" t="s">
        <v>578</v>
      </c>
      <c r="D139" s="2"/>
      <c r="E139" s="2"/>
      <c r="F139" s="2" t="s">
        <v>5777</v>
      </c>
      <c r="G139" s="2" t="s">
        <v>5778</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148" t="s">
        <v>5779</v>
      </c>
      <c r="C140" s="11" t="s">
        <v>578</v>
      </c>
      <c r="D140" s="2"/>
      <c r="E140" s="2"/>
      <c r="F140" s="2" t="s">
        <v>5780</v>
      </c>
      <c r="G140" s="2" t="s">
        <v>5781</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5782</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5783</v>
      </c>
      <c r="C145" s="11" t="s">
        <v>612</v>
      </c>
      <c r="D145" s="2"/>
      <c r="E145" s="2"/>
      <c r="F145" s="2" t="s">
        <v>5784</v>
      </c>
      <c r="G145" s="2" t="s">
        <v>5785</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5786</v>
      </c>
      <c r="C146" s="11" t="s">
        <v>612</v>
      </c>
      <c r="D146" s="2"/>
      <c r="E146" s="2"/>
      <c r="F146" s="2" t="s">
        <v>5787</v>
      </c>
      <c r="G146" s="2" t="s">
        <v>5788</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5789</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5790</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5791</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5792</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5793</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5794</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5795</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5796</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5797</v>
      </c>
      <c r="C157" s="13" t="s">
        <v>648</v>
      </c>
      <c r="D157" s="14">
        <v>120</v>
      </c>
      <c r="E157" s="13" t="s">
        <v>37</v>
      </c>
      <c r="F157" s="13" t="s">
        <v>649</v>
      </c>
      <c r="G157" s="13" t="s">
        <v>5798</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5799</v>
      </c>
      <c r="C158" s="11" t="s">
        <v>653</v>
      </c>
      <c r="D158" s="2"/>
      <c r="E158" s="2"/>
      <c r="F158" s="2" t="s">
        <v>5800</v>
      </c>
      <c r="G158" s="2" t="s">
        <v>5801</v>
      </c>
      <c r="H158" s="2"/>
      <c r="I158" s="2"/>
      <c r="J158" s="2"/>
      <c r="K158" s="2"/>
      <c r="L158" s="2"/>
      <c r="M158" s="2"/>
      <c r="N158" s="2"/>
      <c r="O158" s="2"/>
      <c r="P158" s="2"/>
      <c r="Q158" s="2"/>
      <c r="R158" s="2"/>
      <c r="S158" s="2"/>
      <c r="T158" s="2"/>
      <c r="U158" s="2"/>
      <c r="V158" s="2"/>
      <c r="W158" s="2"/>
      <c r="X158" s="2"/>
      <c r="Y158" s="2"/>
      <c r="Z158" s="2"/>
    </row>
    <row r="159" ht="14.25" customHeight="1" spans="1:26">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43 B145:B148 B155:B156">
      <formula1>ValidLondonCounterpartyNames</formula1>
    </dataValidation>
  </dataValidation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workbookViewId="0">
      <selection activeCell="A1" sqref="A1"/>
    </sheetView>
  </sheetViews>
  <sheetFormatPr defaultColWidth="12.6607142857143" defaultRowHeight="15" customHeight="1"/>
  <cols>
    <col min="1" max="1" width="29.8303571428571" customWidth="1"/>
    <col min="2" max="2" width="24" customWidth="1"/>
    <col min="3" max="3" width="20.1607142857143" customWidth="1"/>
    <col min="4" max="4" width="21" customWidth="1"/>
    <col min="5" max="5" width="37.3303571428571" customWidth="1"/>
    <col min="6" max="6" width="64.5" customWidth="1"/>
    <col min="7" max="7" width="35.6607142857143" customWidth="1"/>
    <col min="8" max="17" width="8.83035714285714" customWidth="1"/>
    <col min="18" max="26" width="11.1607142857143" customWidth="1"/>
  </cols>
  <sheetData>
    <row r="1" ht="14.8" spans="1:26">
      <c r="A1" s="1" t="s">
        <v>0</v>
      </c>
      <c r="B1" s="2"/>
      <c r="C1" s="2"/>
      <c r="D1" s="2"/>
      <c r="E1" s="2"/>
      <c r="F1" s="2"/>
      <c r="G1" s="2"/>
      <c r="H1" s="2"/>
      <c r="I1" s="2"/>
      <c r="J1" s="2"/>
      <c r="K1" s="2"/>
      <c r="L1" s="2"/>
      <c r="M1" s="2"/>
      <c r="N1" s="2"/>
      <c r="O1" s="2"/>
      <c r="P1" s="2"/>
      <c r="Q1" s="2"/>
      <c r="R1" s="2"/>
      <c r="S1" s="2"/>
      <c r="T1" s="2"/>
      <c r="U1" s="2"/>
      <c r="V1" s="2"/>
      <c r="W1" s="2"/>
      <c r="X1" s="2"/>
      <c r="Y1" s="2"/>
      <c r="Z1" s="2"/>
    </row>
    <row r="2" ht="14.8" spans="1:26">
      <c r="A2" s="1" t="s">
        <v>5802</v>
      </c>
      <c r="B2" s="2"/>
      <c r="C2" s="2"/>
      <c r="D2" s="2" t="s">
        <v>2</v>
      </c>
      <c r="E2" s="2"/>
      <c r="F2" s="2"/>
      <c r="G2" s="2"/>
      <c r="H2" s="2"/>
      <c r="I2" s="2"/>
      <c r="J2" s="2"/>
      <c r="K2" s="2"/>
      <c r="L2" s="2"/>
      <c r="M2" s="2"/>
      <c r="N2" s="2"/>
      <c r="O2" s="2"/>
      <c r="P2" s="2"/>
      <c r="Q2" s="2"/>
      <c r="R2" s="2"/>
      <c r="S2" s="2"/>
      <c r="T2" s="2"/>
      <c r="U2" s="2"/>
      <c r="V2" s="2"/>
      <c r="W2" s="2"/>
      <c r="X2" s="2"/>
      <c r="Y2" s="2"/>
      <c r="Z2" s="2"/>
    </row>
    <row r="3" ht="14.8" spans="1:26">
      <c r="A3" s="3" t="s">
        <v>3</v>
      </c>
      <c r="B3" s="4" t="s">
        <v>4</v>
      </c>
      <c r="C3" s="5" t="s">
        <v>5</v>
      </c>
      <c r="D3" s="4" t="s">
        <v>6</v>
      </c>
      <c r="E3" s="4" t="s">
        <v>7</v>
      </c>
      <c r="F3" s="4" t="s">
        <v>8</v>
      </c>
      <c r="G3" s="4" t="s">
        <v>9</v>
      </c>
      <c r="H3" s="2"/>
      <c r="I3" s="2"/>
      <c r="J3" s="2"/>
      <c r="K3" s="2"/>
      <c r="L3" s="2"/>
      <c r="M3" s="2"/>
      <c r="N3" s="2"/>
      <c r="O3" s="2"/>
      <c r="P3" s="2"/>
      <c r="Q3" s="2"/>
      <c r="R3" s="2"/>
      <c r="S3" s="2"/>
      <c r="T3" s="2"/>
      <c r="U3" s="2"/>
      <c r="V3" s="2"/>
      <c r="W3" s="2"/>
      <c r="X3" s="2"/>
      <c r="Y3" s="2"/>
      <c r="Z3" s="2"/>
    </row>
    <row r="4" ht="14.8" spans="1:26">
      <c r="A4" s="6" t="s">
        <v>10</v>
      </c>
      <c r="B4" s="2" t="s">
        <v>5803</v>
      </c>
      <c r="C4" s="2" t="s">
        <v>12</v>
      </c>
      <c r="D4" s="2"/>
      <c r="E4" s="2"/>
      <c r="F4" s="2" t="s">
        <v>5804</v>
      </c>
      <c r="G4" s="2" t="s">
        <v>5805</v>
      </c>
      <c r="H4" s="2"/>
      <c r="I4" s="2"/>
      <c r="J4" s="2"/>
      <c r="K4" s="2"/>
      <c r="L4" s="2"/>
      <c r="M4" s="2"/>
      <c r="N4" s="2"/>
      <c r="O4" s="2"/>
      <c r="P4" s="2"/>
      <c r="Q4" s="2"/>
      <c r="R4" s="2"/>
      <c r="S4" s="2"/>
      <c r="T4" s="2"/>
      <c r="U4" s="2"/>
      <c r="V4" s="2"/>
      <c r="W4" s="2"/>
      <c r="X4" s="2"/>
      <c r="Y4" s="2"/>
      <c r="Z4" s="2"/>
    </row>
    <row r="5" ht="14.8" spans="1:26">
      <c r="A5" s="7" t="s">
        <v>15</v>
      </c>
      <c r="B5" s="2" t="s">
        <v>5806</v>
      </c>
      <c r="C5" s="2" t="s">
        <v>12</v>
      </c>
      <c r="D5" s="2"/>
      <c r="E5" s="2"/>
      <c r="F5" s="2" t="s">
        <v>5807</v>
      </c>
      <c r="G5" s="2" t="s">
        <v>5808</v>
      </c>
      <c r="H5" s="2"/>
      <c r="I5" s="2"/>
      <c r="J5" s="2"/>
      <c r="K5" s="2"/>
      <c r="L5" s="2"/>
      <c r="M5" s="2"/>
      <c r="N5" s="2"/>
      <c r="O5" s="2"/>
      <c r="P5" s="2"/>
      <c r="Q5" s="2"/>
      <c r="R5" s="2"/>
      <c r="S5" s="2"/>
      <c r="T5" s="2"/>
      <c r="U5" s="2"/>
      <c r="V5" s="2"/>
      <c r="W5" s="2"/>
      <c r="X5" s="2"/>
      <c r="Y5" s="2"/>
      <c r="Z5" s="2"/>
    </row>
    <row r="6" ht="14.8" spans="1:26">
      <c r="A6" s="2" t="s">
        <v>18</v>
      </c>
      <c r="B6" s="2" t="s">
        <v>5809</v>
      </c>
      <c r="C6" s="2" t="s">
        <v>20</v>
      </c>
      <c r="D6" s="8">
        <v>340</v>
      </c>
      <c r="E6" s="2" t="s">
        <v>21</v>
      </c>
      <c r="F6" s="2" t="s">
        <v>5810</v>
      </c>
      <c r="G6" s="2" t="s">
        <v>5811</v>
      </c>
      <c r="H6" s="2"/>
      <c r="I6" s="2"/>
      <c r="J6" s="2"/>
      <c r="K6" s="2"/>
      <c r="L6" s="2"/>
      <c r="M6" s="2"/>
      <c r="N6" s="2"/>
      <c r="O6" s="2"/>
      <c r="P6" s="2"/>
      <c r="Q6" s="2"/>
      <c r="R6" s="2"/>
      <c r="S6" s="2"/>
      <c r="T6" s="2"/>
      <c r="U6" s="2"/>
      <c r="V6" s="2"/>
      <c r="W6" s="2"/>
      <c r="X6" s="2"/>
      <c r="Y6" s="2"/>
      <c r="Z6" s="2"/>
    </row>
    <row r="7" ht="14.8" spans="1:26">
      <c r="A7" s="6" t="s">
        <v>24</v>
      </c>
      <c r="B7" s="2" t="s">
        <v>5812</v>
      </c>
      <c r="C7" s="2" t="s">
        <v>5813</v>
      </c>
      <c r="D7" s="8">
        <v>85</v>
      </c>
      <c r="E7" s="2" t="s">
        <v>21</v>
      </c>
      <c r="F7" s="2" t="s">
        <v>5814</v>
      </c>
      <c r="G7" s="2" t="s">
        <v>5815</v>
      </c>
      <c r="H7" s="2"/>
      <c r="I7" s="2"/>
      <c r="J7" s="2"/>
      <c r="K7" s="2"/>
      <c r="L7" s="2"/>
      <c r="M7" s="2"/>
      <c r="N7" s="2"/>
      <c r="O7" s="2"/>
      <c r="P7" s="2"/>
      <c r="Q7" s="2"/>
      <c r="R7" s="2"/>
      <c r="S7" s="2"/>
      <c r="T7" s="2"/>
      <c r="U7" s="2"/>
      <c r="V7" s="2"/>
      <c r="W7" s="2"/>
      <c r="X7" s="2"/>
      <c r="Y7" s="2"/>
      <c r="Z7" s="2"/>
    </row>
    <row r="8" ht="14.8" spans="1:26">
      <c r="A8" s="6" t="s">
        <v>29</v>
      </c>
      <c r="B8" s="2" t="s">
        <v>5816</v>
      </c>
      <c r="C8" s="2" t="s">
        <v>31</v>
      </c>
      <c r="D8" s="2">
        <v>30</v>
      </c>
      <c r="E8" s="2" t="s">
        <v>32</v>
      </c>
      <c r="F8" s="2" t="s">
        <v>5817</v>
      </c>
      <c r="G8" s="2" t="s">
        <v>5818</v>
      </c>
      <c r="H8" s="2"/>
      <c r="I8" s="2"/>
      <c r="J8" s="2"/>
      <c r="K8" s="2"/>
      <c r="L8" s="2"/>
      <c r="M8" s="2"/>
      <c r="N8" s="2"/>
      <c r="O8" s="2"/>
      <c r="P8" s="2"/>
      <c r="Q8" s="2"/>
      <c r="R8" s="2"/>
      <c r="S8" s="2"/>
      <c r="T8" s="2"/>
      <c r="U8" s="2"/>
      <c r="V8" s="2"/>
      <c r="W8" s="2"/>
      <c r="X8" s="2"/>
      <c r="Y8" s="2"/>
      <c r="Z8" s="2"/>
    </row>
    <row r="9" ht="14.8" spans="1:26">
      <c r="A9" s="6" t="s">
        <v>35</v>
      </c>
      <c r="B9" s="2" t="s">
        <v>5819</v>
      </c>
      <c r="C9" s="2" t="s">
        <v>31</v>
      </c>
      <c r="D9" s="2">
        <v>30</v>
      </c>
      <c r="E9" s="2" t="s">
        <v>37</v>
      </c>
      <c r="F9" s="2" t="s">
        <v>5820</v>
      </c>
      <c r="G9" s="2" t="s">
        <v>5821</v>
      </c>
      <c r="H9" s="2"/>
      <c r="I9" s="2"/>
      <c r="J9" s="2"/>
      <c r="K9" s="2"/>
      <c r="L9" s="2"/>
      <c r="M9" s="2"/>
      <c r="N9" s="2"/>
      <c r="O9" s="2"/>
      <c r="P9" s="2"/>
      <c r="Q9" s="2"/>
      <c r="R9" s="2"/>
      <c r="S9" s="2"/>
      <c r="T9" s="2"/>
      <c r="U9" s="2"/>
      <c r="V9" s="2"/>
      <c r="W9" s="2"/>
      <c r="X9" s="2"/>
      <c r="Y9" s="2"/>
      <c r="Z9" s="2"/>
    </row>
    <row r="10" ht="14.8" spans="1:26">
      <c r="A10" s="6" t="s">
        <v>40</v>
      </c>
      <c r="B10" s="2" t="s">
        <v>5822</v>
      </c>
      <c r="C10" s="2" t="s">
        <v>4167</v>
      </c>
      <c r="D10" s="2">
        <v>106</v>
      </c>
      <c r="E10" s="2" t="s">
        <v>21</v>
      </c>
      <c r="F10" s="2" t="s">
        <v>5823</v>
      </c>
      <c r="G10" s="2" t="s">
        <v>5824</v>
      </c>
      <c r="H10" s="2"/>
      <c r="I10" s="2"/>
      <c r="J10" s="2"/>
      <c r="K10" s="2"/>
      <c r="L10" s="2"/>
      <c r="M10" s="2"/>
      <c r="N10" s="2"/>
      <c r="O10" s="2"/>
      <c r="P10" s="2"/>
      <c r="Q10" s="2"/>
      <c r="R10" s="2"/>
      <c r="S10" s="2"/>
      <c r="T10" s="2"/>
      <c r="U10" s="2"/>
      <c r="V10" s="2"/>
      <c r="W10" s="2"/>
      <c r="X10" s="2"/>
      <c r="Y10" s="2"/>
      <c r="Z10" s="2"/>
    </row>
    <row r="11" ht="14.8" spans="1:26">
      <c r="A11" s="6" t="s">
        <v>44</v>
      </c>
      <c r="B11" s="2" t="s">
        <v>5825</v>
      </c>
      <c r="C11" s="2" t="s">
        <v>46</v>
      </c>
      <c r="D11" s="2"/>
      <c r="E11" s="2"/>
      <c r="F11" s="2" t="s">
        <v>5826</v>
      </c>
      <c r="G11" s="2" t="s">
        <v>5827</v>
      </c>
      <c r="H11" s="2"/>
      <c r="I11" s="2"/>
      <c r="J11" s="2"/>
      <c r="K11" s="2"/>
      <c r="L11" s="2"/>
      <c r="M11" s="2"/>
      <c r="N11" s="2"/>
      <c r="O11" s="2"/>
      <c r="P11" s="2"/>
      <c r="Q11" s="2"/>
      <c r="R11" s="2"/>
      <c r="S11" s="2"/>
      <c r="T11" s="2"/>
      <c r="U11" s="2"/>
      <c r="V11" s="2"/>
      <c r="W11" s="2"/>
      <c r="X11" s="2"/>
      <c r="Y11" s="2"/>
      <c r="Z11" s="2"/>
    </row>
    <row r="12" ht="14.8" spans="1:26">
      <c r="A12" s="2" t="s">
        <v>49</v>
      </c>
      <c r="B12" s="2" t="s">
        <v>5828</v>
      </c>
      <c r="C12" s="2" t="s">
        <v>5829</v>
      </c>
      <c r="D12" s="2"/>
      <c r="E12" s="2"/>
      <c r="F12" s="2" t="s">
        <v>5830</v>
      </c>
      <c r="G12" s="2" t="s">
        <v>5831</v>
      </c>
      <c r="H12" s="2"/>
      <c r="I12" s="2"/>
      <c r="J12" s="2"/>
      <c r="K12" s="2"/>
      <c r="L12" s="2"/>
      <c r="M12" s="2"/>
      <c r="N12" s="2"/>
      <c r="O12" s="2"/>
      <c r="P12" s="2"/>
      <c r="Q12" s="2"/>
      <c r="R12" s="2"/>
      <c r="S12" s="2"/>
      <c r="T12" s="2"/>
      <c r="U12" s="2"/>
      <c r="V12" s="2"/>
      <c r="W12" s="2"/>
      <c r="X12" s="2"/>
      <c r="Y12" s="2"/>
      <c r="Z12" s="2"/>
    </row>
    <row r="13" ht="14.8" spans="1:26">
      <c r="A13" s="6" t="s">
        <v>54</v>
      </c>
      <c r="B13" s="2" t="s">
        <v>5832</v>
      </c>
      <c r="C13" s="2" t="s">
        <v>2579</v>
      </c>
      <c r="D13" s="2"/>
      <c r="E13" s="2"/>
      <c r="F13" s="2" t="s">
        <v>5833</v>
      </c>
      <c r="G13" s="2" t="s">
        <v>5834</v>
      </c>
      <c r="H13" s="2"/>
      <c r="I13" s="2"/>
      <c r="J13" s="2"/>
      <c r="K13" s="2"/>
      <c r="L13" s="2"/>
      <c r="M13" s="2"/>
      <c r="N13" s="2"/>
      <c r="O13" s="2"/>
      <c r="P13" s="2"/>
      <c r="Q13" s="2"/>
      <c r="R13" s="2"/>
      <c r="S13" s="2"/>
      <c r="T13" s="2"/>
      <c r="U13" s="2"/>
      <c r="V13" s="2"/>
      <c r="W13" s="2"/>
      <c r="X13" s="2"/>
      <c r="Y13" s="2"/>
      <c r="Z13" s="2"/>
    </row>
    <row r="14" ht="14.8" spans="1:26">
      <c r="A14" s="6" t="s">
        <v>59</v>
      </c>
      <c r="B14" s="2" t="s">
        <v>5835</v>
      </c>
      <c r="C14" s="2" t="s">
        <v>61</v>
      </c>
      <c r="D14" s="2">
        <v>13</v>
      </c>
      <c r="E14" s="2" t="s">
        <v>37</v>
      </c>
      <c r="F14" s="2" t="s">
        <v>5836</v>
      </c>
      <c r="G14" s="2" t="s">
        <v>5837</v>
      </c>
      <c r="H14" s="2"/>
      <c r="I14" s="2"/>
      <c r="J14" s="2"/>
      <c r="K14" s="2"/>
      <c r="L14" s="2"/>
      <c r="M14" s="2"/>
      <c r="N14" s="2"/>
      <c r="O14" s="2"/>
      <c r="P14" s="2"/>
      <c r="Q14" s="2"/>
      <c r="R14" s="2"/>
      <c r="S14" s="2"/>
      <c r="T14" s="2"/>
      <c r="U14" s="2"/>
      <c r="V14" s="2"/>
      <c r="W14" s="2"/>
      <c r="X14" s="2"/>
      <c r="Y14" s="2"/>
      <c r="Z14" s="2"/>
    </row>
    <row r="15" ht="14.8" spans="1:26">
      <c r="A15" s="6" t="s">
        <v>64</v>
      </c>
      <c r="B15" s="2" t="s">
        <v>5838</v>
      </c>
      <c r="C15" s="2" t="s">
        <v>66</v>
      </c>
      <c r="D15" s="2">
        <v>13</v>
      </c>
      <c r="E15" s="2" t="s">
        <v>32</v>
      </c>
      <c r="F15" s="2" t="s">
        <v>5839</v>
      </c>
      <c r="G15" s="2" t="s">
        <v>5840</v>
      </c>
      <c r="H15" s="2"/>
      <c r="I15" s="2"/>
      <c r="J15" s="2"/>
      <c r="K15" s="2"/>
      <c r="L15" s="2"/>
      <c r="M15" s="2"/>
      <c r="N15" s="2"/>
      <c r="O15" s="2"/>
      <c r="P15" s="2"/>
      <c r="Q15" s="2"/>
      <c r="R15" s="2"/>
      <c r="S15" s="2"/>
      <c r="T15" s="2"/>
      <c r="U15" s="2"/>
      <c r="V15" s="2"/>
      <c r="W15" s="2"/>
      <c r="X15" s="2"/>
      <c r="Y15" s="2"/>
      <c r="Z15" s="2"/>
    </row>
    <row r="16" ht="14.8" spans="1:26">
      <c r="A16" s="6" t="s">
        <v>69</v>
      </c>
      <c r="B16" s="2" t="s">
        <v>5841</v>
      </c>
      <c r="C16" s="2" t="s">
        <v>66</v>
      </c>
      <c r="D16" s="2">
        <v>12</v>
      </c>
      <c r="E16" s="2" t="s">
        <v>71</v>
      </c>
      <c r="F16" s="2" t="s">
        <v>5842</v>
      </c>
      <c r="G16" s="2" t="s">
        <v>5843</v>
      </c>
      <c r="H16" s="2"/>
      <c r="I16" s="2"/>
      <c r="J16" s="2"/>
      <c r="K16" s="2"/>
      <c r="L16" s="2"/>
      <c r="M16" s="2"/>
      <c r="N16" s="2"/>
      <c r="O16" s="2"/>
      <c r="P16" s="2"/>
      <c r="Q16" s="2"/>
      <c r="R16" s="2"/>
      <c r="S16" s="2"/>
      <c r="T16" s="2"/>
      <c r="U16" s="2"/>
      <c r="V16" s="2"/>
      <c r="W16" s="2"/>
      <c r="X16" s="2"/>
      <c r="Y16" s="2"/>
      <c r="Z16" s="2"/>
    </row>
    <row r="17" ht="14.8" spans="1:26">
      <c r="A17" s="6" t="s">
        <v>74</v>
      </c>
      <c r="B17" s="2" t="s">
        <v>5844</v>
      </c>
      <c r="C17" s="2" t="s">
        <v>76</v>
      </c>
      <c r="D17" s="2"/>
      <c r="E17" s="2"/>
      <c r="F17" s="2" t="s">
        <v>5845</v>
      </c>
      <c r="G17" s="2" t="s">
        <v>5846</v>
      </c>
      <c r="H17" s="2"/>
      <c r="I17" s="2"/>
      <c r="J17" s="2"/>
      <c r="K17" s="2"/>
      <c r="L17" s="2"/>
      <c r="M17" s="2"/>
      <c r="N17" s="2"/>
      <c r="O17" s="2"/>
      <c r="P17" s="2"/>
      <c r="Q17" s="2"/>
      <c r="R17" s="2"/>
      <c r="S17" s="2"/>
      <c r="T17" s="2"/>
      <c r="U17" s="2"/>
      <c r="V17" s="2"/>
      <c r="W17" s="2"/>
      <c r="X17" s="2"/>
      <c r="Y17" s="2"/>
      <c r="Z17" s="2"/>
    </row>
    <row r="18" ht="14.8" spans="1:26">
      <c r="A18" s="6" t="s">
        <v>79</v>
      </c>
      <c r="B18" s="2" t="s">
        <v>5847</v>
      </c>
      <c r="C18" s="2" t="s">
        <v>81</v>
      </c>
      <c r="D18" s="2">
        <v>30</v>
      </c>
      <c r="E18" s="2" t="s">
        <v>37</v>
      </c>
      <c r="F18" s="126" t="s">
        <v>5848</v>
      </c>
      <c r="G18" s="2" t="s">
        <v>5849</v>
      </c>
      <c r="H18" s="2"/>
      <c r="I18" s="2"/>
      <c r="J18" s="2"/>
      <c r="K18" s="2"/>
      <c r="L18" s="2"/>
      <c r="M18" s="2"/>
      <c r="N18" s="2"/>
      <c r="O18" s="2"/>
      <c r="P18" s="2"/>
      <c r="Q18" s="2"/>
      <c r="R18" s="2"/>
      <c r="S18" s="2"/>
      <c r="T18" s="2"/>
      <c r="U18" s="2"/>
      <c r="V18" s="2"/>
      <c r="W18" s="2"/>
      <c r="X18" s="2"/>
      <c r="Y18" s="2"/>
      <c r="Z18" s="2"/>
    </row>
    <row r="19" ht="14.8" spans="1:26">
      <c r="A19" s="6" t="s">
        <v>84</v>
      </c>
      <c r="B19" s="2" t="s">
        <v>5850</v>
      </c>
      <c r="C19" s="2" t="s">
        <v>86</v>
      </c>
      <c r="D19" s="8">
        <v>134</v>
      </c>
      <c r="E19" s="2" t="s">
        <v>21</v>
      </c>
      <c r="F19" s="2" t="s">
        <v>5851</v>
      </c>
      <c r="G19" s="2" t="s">
        <v>5852</v>
      </c>
      <c r="H19" s="2"/>
      <c r="I19" s="2"/>
      <c r="J19" s="2"/>
      <c r="K19" s="2"/>
      <c r="L19" s="2"/>
      <c r="M19" s="2"/>
      <c r="N19" s="2"/>
      <c r="O19" s="2"/>
      <c r="P19" s="2"/>
      <c r="Q19" s="2"/>
      <c r="R19" s="2"/>
      <c r="S19" s="2"/>
      <c r="T19" s="2"/>
      <c r="U19" s="2"/>
      <c r="V19" s="2"/>
      <c r="W19" s="2"/>
      <c r="X19" s="2"/>
      <c r="Y19" s="2"/>
      <c r="Z19" s="2"/>
    </row>
    <row r="20" ht="14.8" spans="1:26">
      <c r="A20" s="6" t="s">
        <v>89</v>
      </c>
      <c r="B20" s="2" t="s">
        <v>5853</v>
      </c>
      <c r="C20" s="2" t="s">
        <v>91</v>
      </c>
      <c r="D20" s="2"/>
      <c r="E20" s="2"/>
      <c r="F20" s="2" t="s">
        <v>5854</v>
      </c>
      <c r="G20" s="2" t="s">
        <v>5855</v>
      </c>
      <c r="H20" s="2"/>
      <c r="I20" s="2"/>
      <c r="J20" s="2"/>
      <c r="K20" s="2"/>
      <c r="L20" s="2"/>
      <c r="M20" s="2"/>
      <c r="N20" s="2"/>
      <c r="O20" s="2"/>
      <c r="P20" s="2"/>
      <c r="Q20" s="2"/>
      <c r="R20" s="2"/>
      <c r="S20" s="2"/>
      <c r="T20" s="2"/>
      <c r="U20" s="2"/>
      <c r="V20" s="2"/>
      <c r="W20" s="2"/>
      <c r="X20" s="2"/>
      <c r="Y20" s="2"/>
      <c r="Z20" s="2"/>
    </row>
    <row r="21" ht="14.8" spans="1:26">
      <c r="A21" s="6" t="s">
        <v>94</v>
      </c>
      <c r="B21" s="2" t="s">
        <v>5856</v>
      </c>
      <c r="C21" s="2" t="s">
        <v>925</v>
      </c>
      <c r="D21" s="2">
        <v>60</v>
      </c>
      <c r="E21" s="2" t="s">
        <v>71</v>
      </c>
      <c r="F21" s="2" t="s">
        <v>5857</v>
      </c>
      <c r="G21" s="2" t="s">
        <v>5858</v>
      </c>
      <c r="H21" s="2"/>
      <c r="I21" s="2"/>
      <c r="J21" s="2"/>
      <c r="K21" s="2"/>
      <c r="L21" s="2"/>
      <c r="M21" s="2"/>
      <c r="N21" s="2"/>
      <c r="O21" s="2"/>
      <c r="P21" s="2"/>
      <c r="Q21" s="2"/>
      <c r="R21" s="2"/>
      <c r="S21" s="2"/>
      <c r="T21" s="2"/>
      <c r="U21" s="2"/>
      <c r="V21" s="2"/>
      <c r="W21" s="2"/>
      <c r="X21" s="2"/>
      <c r="Y21" s="2"/>
      <c r="Z21" s="2"/>
    </row>
    <row r="22" ht="14.8" spans="1:26">
      <c r="A22" s="6" t="s">
        <v>99</v>
      </c>
      <c r="B22" s="2" t="s">
        <v>5859</v>
      </c>
      <c r="C22" s="2" t="s">
        <v>925</v>
      </c>
      <c r="D22" s="2">
        <v>70</v>
      </c>
      <c r="E22" s="2" t="s">
        <v>32</v>
      </c>
      <c r="F22" s="2" t="s">
        <v>5860</v>
      </c>
      <c r="G22" s="2" t="s">
        <v>1618</v>
      </c>
      <c r="H22" s="2"/>
      <c r="I22" s="2"/>
      <c r="J22" s="2"/>
      <c r="K22" s="2"/>
      <c r="L22" s="2"/>
      <c r="M22" s="2"/>
      <c r="N22" s="2"/>
      <c r="O22" s="2"/>
      <c r="P22" s="2"/>
      <c r="Q22" s="2"/>
      <c r="R22" s="2"/>
      <c r="S22" s="2"/>
      <c r="T22" s="2"/>
      <c r="U22" s="2"/>
      <c r="V22" s="2"/>
      <c r="W22" s="2"/>
      <c r="X22" s="2"/>
      <c r="Y22" s="2"/>
      <c r="Z22" s="2"/>
    </row>
    <row r="23" ht="14.8" spans="1:26">
      <c r="A23" s="6" t="s">
        <v>102</v>
      </c>
      <c r="B23" s="2" t="s">
        <v>5861</v>
      </c>
      <c r="C23" s="2" t="s">
        <v>108</v>
      </c>
      <c r="D23" s="2">
        <v>123</v>
      </c>
      <c r="E23" s="2" t="s">
        <v>21</v>
      </c>
      <c r="F23" s="2" t="s">
        <v>5862</v>
      </c>
      <c r="G23" s="2" t="s">
        <v>5863</v>
      </c>
      <c r="H23" s="2"/>
      <c r="I23" s="2"/>
      <c r="J23" s="2"/>
      <c r="K23" s="2"/>
      <c r="L23" s="2"/>
      <c r="M23" s="2"/>
      <c r="N23" s="2"/>
      <c r="O23" s="2"/>
      <c r="P23" s="2"/>
      <c r="Q23" s="2"/>
      <c r="R23" s="2"/>
      <c r="S23" s="2"/>
      <c r="T23" s="2"/>
      <c r="U23" s="2"/>
      <c r="V23" s="2"/>
      <c r="W23" s="2"/>
      <c r="X23" s="2"/>
      <c r="Y23" s="2"/>
      <c r="Z23" s="2"/>
    </row>
    <row r="24" ht="14.8" spans="1:26">
      <c r="A24" s="6" t="s">
        <v>107</v>
      </c>
      <c r="B24" s="2" t="s">
        <v>5864</v>
      </c>
      <c r="C24" s="2" t="s">
        <v>104</v>
      </c>
      <c r="D24" s="2"/>
      <c r="E24" s="2"/>
      <c r="F24" s="2" t="s">
        <v>5865</v>
      </c>
      <c r="G24" s="2" t="s">
        <v>5866</v>
      </c>
      <c r="H24" s="2"/>
      <c r="I24" s="2"/>
      <c r="J24" s="2"/>
      <c r="K24" s="2"/>
      <c r="L24" s="2"/>
      <c r="M24" s="2"/>
      <c r="N24" s="2"/>
      <c r="O24" s="2"/>
      <c r="P24" s="2"/>
      <c r="Q24" s="2"/>
      <c r="R24" s="2"/>
      <c r="S24" s="2"/>
      <c r="T24" s="2"/>
      <c r="U24" s="2"/>
      <c r="V24" s="2"/>
      <c r="W24" s="2"/>
      <c r="X24" s="2"/>
      <c r="Y24" s="2"/>
      <c r="Z24" s="2"/>
    </row>
    <row r="25" ht="14.8" spans="1:26">
      <c r="A25" s="6" t="s">
        <v>110</v>
      </c>
      <c r="B25" s="2" t="s">
        <v>5867</v>
      </c>
      <c r="C25" s="2" t="s">
        <v>112</v>
      </c>
      <c r="D25" s="2"/>
      <c r="E25" s="2"/>
      <c r="F25" s="2" t="s">
        <v>5868</v>
      </c>
      <c r="G25" s="2" t="s">
        <v>5869</v>
      </c>
      <c r="H25" s="2"/>
      <c r="I25" s="2"/>
      <c r="J25" s="2"/>
      <c r="K25" s="2"/>
      <c r="L25" s="2"/>
      <c r="M25" s="2"/>
      <c r="N25" s="2"/>
      <c r="O25" s="2"/>
      <c r="P25" s="2"/>
      <c r="Q25" s="2"/>
      <c r="R25" s="2"/>
      <c r="S25" s="2"/>
      <c r="T25" s="2"/>
      <c r="U25" s="2"/>
      <c r="V25" s="2"/>
      <c r="W25" s="2"/>
      <c r="X25" s="2"/>
      <c r="Y25" s="2"/>
      <c r="Z25" s="2"/>
    </row>
    <row r="26" ht="14.8" spans="1:26">
      <c r="A26" s="2" t="s">
        <v>115</v>
      </c>
      <c r="B26" s="2" t="s">
        <v>5870</v>
      </c>
      <c r="C26" s="2" t="s">
        <v>117</v>
      </c>
      <c r="D26" s="2">
        <v>90</v>
      </c>
      <c r="E26" s="2" t="s">
        <v>32</v>
      </c>
      <c r="F26" s="2" t="s">
        <v>5871</v>
      </c>
      <c r="G26" s="2" t="s">
        <v>5872</v>
      </c>
      <c r="H26" s="2"/>
      <c r="I26" s="2"/>
      <c r="J26" s="2"/>
      <c r="K26" s="2"/>
      <c r="L26" s="2"/>
      <c r="M26" s="2"/>
      <c r="N26" s="2"/>
      <c r="O26" s="2"/>
      <c r="P26" s="2"/>
      <c r="Q26" s="2"/>
      <c r="R26" s="2"/>
      <c r="S26" s="2"/>
      <c r="T26" s="2"/>
      <c r="U26" s="2"/>
      <c r="V26" s="2"/>
      <c r="W26" s="2"/>
      <c r="X26" s="2"/>
      <c r="Y26" s="2"/>
      <c r="Z26" s="2"/>
    </row>
    <row r="27" ht="14.8" spans="1:26">
      <c r="A27" s="6" t="s">
        <v>120</v>
      </c>
      <c r="B27" s="2" t="s">
        <v>121</v>
      </c>
      <c r="C27" s="2" t="s">
        <v>117</v>
      </c>
      <c r="D27" s="2">
        <v>60</v>
      </c>
      <c r="E27" s="2" t="s">
        <v>37</v>
      </c>
      <c r="F27" s="126" t="s">
        <v>5873</v>
      </c>
      <c r="G27" s="2" t="s">
        <v>5874</v>
      </c>
      <c r="H27" s="2"/>
      <c r="I27" s="2"/>
      <c r="J27" s="2"/>
      <c r="K27" s="2"/>
      <c r="L27" s="2"/>
      <c r="M27" s="2"/>
      <c r="N27" s="2"/>
      <c r="O27" s="2"/>
      <c r="P27" s="2"/>
      <c r="Q27" s="2"/>
      <c r="R27" s="2"/>
      <c r="S27" s="2"/>
      <c r="T27" s="2"/>
      <c r="U27" s="2"/>
      <c r="V27" s="2"/>
      <c r="W27" s="2"/>
      <c r="X27" s="2"/>
      <c r="Y27" s="2"/>
      <c r="Z27" s="2"/>
    </row>
    <row r="28" ht="14.8" spans="1:26">
      <c r="A28" s="6" t="s">
        <v>123</v>
      </c>
      <c r="B28" s="2" t="s">
        <v>1964</v>
      </c>
      <c r="C28" s="2" t="s">
        <v>117</v>
      </c>
      <c r="D28" s="2">
        <v>80</v>
      </c>
      <c r="E28" s="2" t="s">
        <v>245</v>
      </c>
      <c r="F28" s="2" t="s">
        <v>5875</v>
      </c>
      <c r="G28" s="2" t="s">
        <v>5876</v>
      </c>
      <c r="H28" s="2"/>
      <c r="I28" s="2"/>
      <c r="J28" s="2"/>
      <c r="K28" s="2"/>
      <c r="L28" s="2"/>
      <c r="M28" s="2"/>
      <c r="N28" s="2"/>
      <c r="O28" s="2"/>
      <c r="P28" s="2"/>
      <c r="Q28" s="2"/>
      <c r="R28" s="2"/>
      <c r="S28" s="2"/>
      <c r="T28" s="2"/>
      <c r="U28" s="2"/>
      <c r="V28" s="2"/>
      <c r="W28" s="2"/>
      <c r="X28" s="2"/>
      <c r="Y28" s="2"/>
      <c r="Z28" s="2"/>
    </row>
    <row r="29" ht="14.8" spans="1:26">
      <c r="A29" s="6" t="s">
        <v>127</v>
      </c>
      <c r="B29" s="2" t="s">
        <v>5877</v>
      </c>
      <c r="C29" s="2" t="s">
        <v>117</v>
      </c>
      <c r="D29" s="2">
        <v>50</v>
      </c>
      <c r="E29" s="2" t="s">
        <v>37</v>
      </c>
      <c r="F29" s="2" t="s">
        <v>5878</v>
      </c>
      <c r="G29" s="2" t="s">
        <v>5879</v>
      </c>
      <c r="H29" s="2"/>
      <c r="I29" s="2"/>
      <c r="J29" s="2"/>
      <c r="K29" s="2"/>
      <c r="L29" s="2"/>
      <c r="M29" s="2"/>
      <c r="N29" s="2"/>
      <c r="O29" s="2"/>
      <c r="P29" s="2"/>
      <c r="Q29" s="2"/>
      <c r="R29" s="2"/>
      <c r="S29" s="2"/>
      <c r="T29" s="2"/>
      <c r="U29" s="2"/>
      <c r="V29" s="2"/>
      <c r="W29" s="2"/>
      <c r="X29" s="2"/>
      <c r="Y29" s="2"/>
      <c r="Z29" s="2"/>
    </row>
    <row r="30" ht="14.8" spans="1:26">
      <c r="A30" s="6" t="s">
        <v>131</v>
      </c>
      <c r="B30" s="2" t="s">
        <v>5880</v>
      </c>
      <c r="C30" s="2" t="s">
        <v>117</v>
      </c>
      <c r="D30" s="2">
        <v>50</v>
      </c>
      <c r="E30" s="2" t="s">
        <v>32</v>
      </c>
      <c r="F30" s="2" t="s">
        <v>5881</v>
      </c>
      <c r="G30" s="2" t="s">
        <v>5882</v>
      </c>
      <c r="H30" s="2"/>
      <c r="I30" s="2"/>
      <c r="J30" s="2"/>
      <c r="K30" s="2"/>
      <c r="L30" s="2"/>
      <c r="M30" s="2"/>
      <c r="N30" s="2"/>
      <c r="O30" s="2"/>
      <c r="P30" s="2"/>
      <c r="Q30" s="2"/>
      <c r="R30" s="2"/>
      <c r="S30" s="2"/>
      <c r="T30" s="2"/>
      <c r="U30" s="2"/>
      <c r="V30" s="2"/>
      <c r="W30" s="2"/>
      <c r="X30" s="2"/>
      <c r="Y30" s="2"/>
      <c r="Z30" s="2"/>
    </row>
    <row r="31" ht="14.8" spans="1:26">
      <c r="A31" s="6" t="s">
        <v>135</v>
      </c>
      <c r="B31" s="2" t="s">
        <v>5883</v>
      </c>
      <c r="C31" s="2" t="s">
        <v>117</v>
      </c>
      <c r="D31" s="2">
        <v>30</v>
      </c>
      <c r="E31" s="2" t="s">
        <v>32</v>
      </c>
      <c r="F31" s="126" t="s">
        <v>5884</v>
      </c>
      <c r="G31" s="2" t="s">
        <v>5885</v>
      </c>
      <c r="H31" s="2"/>
      <c r="I31" s="2"/>
      <c r="J31" s="2"/>
      <c r="K31" s="2"/>
      <c r="L31" s="2"/>
      <c r="M31" s="2"/>
      <c r="N31" s="2"/>
      <c r="O31" s="2"/>
      <c r="P31" s="2"/>
      <c r="Q31" s="2"/>
      <c r="R31" s="2"/>
      <c r="S31" s="2"/>
      <c r="T31" s="2"/>
      <c r="U31" s="2"/>
      <c r="V31" s="2"/>
      <c r="W31" s="2"/>
      <c r="X31" s="2"/>
      <c r="Y31" s="2"/>
      <c r="Z31" s="2"/>
    </row>
    <row r="32" ht="14.8" spans="1:26">
      <c r="A32" s="6" t="s">
        <v>139</v>
      </c>
      <c r="B32" s="2" t="s">
        <v>5886</v>
      </c>
      <c r="C32" s="2" t="s">
        <v>141</v>
      </c>
      <c r="D32" s="8">
        <v>55</v>
      </c>
      <c r="E32" s="2" t="s">
        <v>37</v>
      </c>
      <c r="F32" s="2" t="s">
        <v>5887</v>
      </c>
      <c r="G32" s="2" t="s">
        <v>5888</v>
      </c>
      <c r="H32" s="2"/>
      <c r="I32" s="2"/>
      <c r="J32" s="2"/>
      <c r="K32" s="2"/>
      <c r="L32" s="2"/>
      <c r="M32" s="2"/>
      <c r="N32" s="2"/>
      <c r="O32" s="2"/>
      <c r="P32" s="2"/>
      <c r="Q32" s="2"/>
      <c r="R32" s="2"/>
      <c r="S32" s="2"/>
      <c r="T32" s="2"/>
      <c r="U32" s="2"/>
      <c r="V32" s="2"/>
      <c r="W32" s="2"/>
      <c r="X32" s="2"/>
      <c r="Y32" s="2"/>
      <c r="Z32" s="2"/>
    </row>
    <row r="33" ht="14.8" spans="1:26">
      <c r="A33" s="6" t="s">
        <v>144</v>
      </c>
      <c r="B33" s="2" t="s">
        <v>5889</v>
      </c>
      <c r="C33" s="2" t="s">
        <v>146</v>
      </c>
      <c r="D33" s="2"/>
      <c r="E33" s="2"/>
      <c r="F33" s="2" t="s">
        <v>5890</v>
      </c>
      <c r="G33" s="2" t="s">
        <v>5891</v>
      </c>
      <c r="H33" s="2"/>
      <c r="I33" s="2"/>
      <c r="J33" s="2"/>
      <c r="K33" s="2"/>
      <c r="L33" s="2"/>
      <c r="M33" s="2"/>
      <c r="N33" s="2"/>
      <c r="O33" s="2"/>
      <c r="P33" s="2"/>
      <c r="Q33" s="2"/>
      <c r="R33" s="2"/>
      <c r="S33" s="2"/>
      <c r="T33" s="2"/>
      <c r="U33" s="2"/>
      <c r="V33" s="2"/>
      <c r="W33" s="2"/>
      <c r="X33" s="2"/>
      <c r="Y33" s="2"/>
      <c r="Z33" s="2"/>
    </row>
    <row r="34" ht="14.8" spans="1:26">
      <c r="A34" s="6" t="s">
        <v>149</v>
      </c>
      <c r="B34" s="2" t="s">
        <v>5892</v>
      </c>
      <c r="C34" s="2" t="s">
        <v>151</v>
      </c>
      <c r="D34" s="2"/>
      <c r="E34" s="2"/>
      <c r="F34" s="2" t="s">
        <v>5893</v>
      </c>
      <c r="G34" s="2" t="s">
        <v>5894</v>
      </c>
      <c r="H34" s="2"/>
      <c r="I34" s="2"/>
      <c r="J34" s="2"/>
      <c r="K34" s="2"/>
      <c r="L34" s="2"/>
      <c r="M34" s="2"/>
      <c r="N34" s="2"/>
      <c r="O34" s="2"/>
      <c r="P34" s="2"/>
      <c r="Q34" s="2"/>
      <c r="R34" s="2"/>
      <c r="S34" s="2"/>
      <c r="T34" s="2"/>
      <c r="U34" s="2"/>
      <c r="V34" s="2"/>
      <c r="W34" s="2"/>
      <c r="X34" s="2"/>
      <c r="Y34" s="2"/>
      <c r="Z34" s="2"/>
    </row>
    <row r="35" ht="14.8" spans="1:26">
      <c r="A35" s="6" t="s">
        <v>154</v>
      </c>
      <c r="B35" s="2" t="s">
        <v>5895</v>
      </c>
      <c r="C35" s="2" t="s">
        <v>156</v>
      </c>
      <c r="D35" s="2">
        <v>30</v>
      </c>
      <c r="E35" s="2" t="s">
        <v>37</v>
      </c>
      <c r="F35" s="2" t="s">
        <v>5896</v>
      </c>
      <c r="G35" s="2" t="s">
        <v>5897</v>
      </c>
      <c r="H35" s="2"/>
      <c r="I35" s="2"/>
      <c r="J35" s="2"/>
      <c r="K35" s="2"/>
      <c r="L35" s="2"/>
      <c r="M35" s="2"/>
      <c r="N35" s="2"/>
      <c r="O35" s="2"/>
      <c r="P35" s="2"/>
      <c r="Q35" s="2"/>
      <c r="R35" s="2"/>
      <c r="S35" s="2"/>
      <c r="T35" s="2"/>
      <c r="U35" s="2"/>
      <c r="V35" s="2"/>
      <c r="W35" s="2"/>
      <c r="X35" s="2"/>
      <c r="Y35" s="2"/>
      <c r="Z35" s="2"/>
    </row>
    <row r="36" ht="14.8" spans="1:26">
      <c r="A36" s="6" t="s">
        <v>159</v>
      </c>
      <c r="B36" s="2" t="s">
        <v>5898</v>
      </c>
      <c r="C36" s="2" t="s">
        <v>161</v>
      </c>
      <c r="D36" s="2"/>
      <c r="E36" s="2"/>
      <c r="F36" s="2" t="s">
        <v>5899</v>
      </c>
      <c r="G36" s="2" t="s">
        <v>5900</v>
      </c>
      <c r="H36" s="2"/>
      <c r="I36" s="2"/>
      <c r="J36" s="2"/>
      <c r="K36" s="2"/>
      <c r="L36" s="2"/>
      <c r="M36" s="2"/>
      <c r="N36" s="2"/>
      <c r="O36" s="2"/>
      <c r="P36" s="2"/>
      <c r="Q36" s="2"/>
      <c r="R36" s="2"/>
      <c r="S36" s="2"/>
      <c r="T36" s="2"/>
      <c r="U36" s="2"/>
      <c r="V36" s="2"/>
      <c r="W36" s="2"/>
      <c r="X36" s="2"/>
      <c r="Y36" s="2"/>
      <c r="Z36" s="2"/>
    </row>
    <row r="37" ht="14.8" spans="1:26">
      <c r="A37" s="6" t="s">
        <v>164</v>
      </c>
      <c r="B37" s="2" t="s">
        <v>5901</v>
      </c>
      <c r="C37" s="2" t="s">
        <v>166</v>
      </c>
      <c r="D37" s="2"/>
      <c r="E37" s="2"/>
      <c r="F37" s="2" t="s">
        <v>5902</v>
      </c>
      <c r="G37" s="2" t="s">
        <v>5903</v>
      </c>
      <c r="H37" s="2"/>
      <c r="I37" s="2"/>
      <c r="J37" s="2"/>
      <c r="K37" s="2"/>
      <c r="L37" s="2"/>
      <c r="M37" s="2"/>
      <c r="N37" s="2"/>
      <c r="O37" s="2"/>
      <c r="P37" s="2"/>
      <c r="Q37" s="2"/>
      <c r="R37" s="2"/>
      <c r="S37" s="2"/>
      <c r="T37" s="2"/>
      <c r="U37" s="2"/>
      <c r="V37" s="2"/>
      <c r="W37" s="2"/>
      <c r="X37" s="2"/>
      <c r="Y37" s="2"/>
      <c r="Z37" s="2"/>
    </row>
    <row r="38" ht="14.8" spans="1:26">
      <c r="A38" s="6" t="s">
        <v>169</v>
      </c>
      <c r="B38" s="2" t="s">
        <v>5904</v>
      </c>
      <c r="C38" s="2" t="s">
        <v>171</v>
      </c>
      <c r="D38" s="2">
        <v>46</v>
      </c>
      <c r="E38" s="2" t="s">
        <v>37</v>
      </c>
      <c r="F38" s="2" t="s">
        <v>5905</v>
      </c>
      <c r="G38" s="2" t="s">
        <v>5906</v>
      </c>
      <c r="H38" s="2"/>
      <c r="I38" s="2"/>
      <c r="J38" s="2"/>
      <c r="K38" s="2"/>
      <c r="L38" s="2"/>
      <c r="M38" s="2"/>
      <c r="N38" s="2"/>
      <c r="O38" s="2"/>
      <c r="P38" s="2"/>
      <c r="Q38" s="2"/>
      <c r="R38" s="2"/>
      <c r="S38" s="2"/>
      <c r="T38" s="2"/>
      <c r="U38" s="2"/>
      <c r="V38" s="2"/>
      <c r="W38" s="2"/>
      <c r="X38" s="2"/>
      <c r="Y38" s="2"/>
      <c r="Z38" s="2"/>
    </row>
    <row r="39" ht="14.8" spans="1:26">
      <c r="A39" s="6" t="s">
        <v>174</v>
      </c>
      <c r="B39" s="2" t="s">
        <v>5907</v>
      </c>
      <c r="C39" s="2" t="s">
        <v>171</v>
      </c>
      <c r="D39" s="2">
        <v>30</v>
      </c>
      <c r="E39" s="2" t="s">
        <v>37</v>
      </c>
      <c r="F39" s="2" t="s">
        <v>5908</v>
      </c>
      <c r="G39" s="2" t="s">
        <v>5909</v>
      </c>
      <c r="H39" s="2"/>
      <c r="I39" s="2"/>
      <c r="J39" s="2"/>
      <c r="K39" s="2"/>
      <c r="L39" s="2"/>
      <c r="M39" s="2"/>
      <c r="N39" s="2"/>
      <c r="O39" s="2"/>
      <c r="P39" s="2"/>
      <c r="Q39" s="2"/>
      <c r="R39" s="2"/>
      <c r="S39" s="2"/>
      <c r="T39" s="2"/>
      <c r="U39" s="2"/>
      <c r="V39" s="2"/>
      <c r="W39" s="2"/>
      <c r="X39" s="2"/>
      <c r="Y39" s="2"/>
      <c r="Z39" s="2"/>
    </row>
    <row r="40" ht="14.8" spans="1:26">
      <c r="A40" s="6" t="s">
        <v>178</v>
      </c>
      <c r="B40" s="2" t="s">
        <v>5910</v>
      </c>
      <c r="C40" s="2" t="s">
        <v>180</v>
      </c>
      <c r="D40" s="2">
        <v>45</v>
      </c>
      <c r="E40" s="2" t="s">
        <v>37</v>
      </c>
      <c r="F40" s="2" t="s">
        <v>5911</v>
      </c>
      <c r="G40" s="2" t="s">
        <v>5912</v>
      </c>
      <c r="H40" s="2"/>
      <c r="I40" s="2"/>
      <c r="J40" s="2"/>
      <c r="K40" s="2"/>
      <c r="L40" s="2"/>
      <c r="M40" s="2"/>
      <c r="N40" s="2"/>
      <c r="O40" s="2"/>
      <c r="P40" s="2"/>
      <c r="Q40" s="2"/>
      <c r="R40" s="2"/>
      <c r="S40" s="2"/>
      <c r="T40" s="2"/>
      <c r="U40" s="2"/>
      <c r="V40" s="2"/>
      <c r="W40" s="2"/>
      <c r="X40" s="2"/>
      <c r="Y40" s="2"/>
      <c r="Z40" s="2"/>
    </row>
    <row r="41" ht="14.8" spans="1:26">
      <c r="A41" s="6" t="s">
        <v>183</v>
      </c>
      <c r="B41" s="2" t="s">
        <v>5913</v>
      </c>
      <c r="C41" s="2" t="s">
        <v>185</v>
      </c>
      <c r="D41" s="2">
        <v>7</v>
      </c>
      <c r="E41" s="2" t="s">
        <v>37</v>
      </c>
      <c r="F41" s="2" t="s">
        <v>5905</v>
      </c>
      <c r="G41" s="2" t="s">
        <v>5914</v>
      </c>
      <c r="H41" s="2"/>
      <c r="I41" s="2"/>
      <c r="J41" s="2"/>
      <c r="K41" s="2"/>
      <c r="L41" s="2"/>
      <c r="M41" s="2"/>
      <c r="N41" s="2"/>
      <c r="O41" s="2"/>
      <c r="P41" s="2"/>
      <c r="Q41" s="2"/>
      <c r="R41" s="2"/>
      <c r="S41" s="2"/>
      <c r="T41" s="2"/>
      <c r="U41" s="2"/>
      <c r="V41" s="2"/>
      <c r="W41" s="2"/>
      <c r="X41" s="2"/>
      <c r="Y41" s="2"/>
      <c r="Z41" s="2"/>
    </row>
    <row r="42" ht="14.8" spans="1:26">
      <c r="A42" s="6" t="s">
        <v>188</v>
      </c>
      <c r="B42" s="2" t="s">
        <v>5915</v>
      </c>
      <c r="C42" s="2" t="s">
        <v>190</v>
      </c>
      <c r="D42" s="2">
        <v>650</v>
      </c>
      <c r="E42" s="2" t="s">
        <v>37</v>
      </c>
      <c r="F42" s="2" t="s">
        <v>5916</v>
      </c>
      <c r="G42" s="2" t="s">
        <v>5917</v>
      </c>
      <c r="H42" s="2"/>
      <c r="I42" s="2"/>
      <c r="J42" s="2"/>
      <c r="K42" s="2"/>
      <c r="L42" s="2"/>
      <c r="M42" s="2"/>
      <c r="N42" s="2"/>
      <c r="O42" s="2"/>
      <c r="P42" s="2"/>
      <c r="Q42" s="2"/>
      <c r="R42" s="2"/>
      <c r="S42" s="2"/>
      <c r="T42" s="2"/>
      <c r="U42" s="2"/>
      <c r="V42" s="2"/>
      <c r="W42" s="2"/>
      <c r="X42" s="2"/>
      <c r="Y42" s="2"/>
      <c r="Z42" s="2"/>
    </row>
    <row r="43" ht="14.8" spans="1:26">
      <c r="A43" s="6" t="s">
        <v>193</v>
      </c>
      <c r="B43" s="2" t="s">
        <v>4069</v>
      </c>
      <c r="C43" s="2" t="s">
        <v>195</v>
      </c>
      <c r="D43" s="2"/>
      <c r="E43" s="2"/>
      <c r="F43" s="2" t="s">
        <v>5918</v>
      </c>
      <c r="G43" s="2" t="s">
        <v>5919</v>
      </c>
      <c r="H43" s="2"/>
      <c r="I43" s="2"/>
      <c r="J43" s="2"/>
      <c r="K43" s="2"/>
      <c r="L43" s="2"/>
      <c r="M43" s="2"/>
      <c r="N43" s="2"/>
      <c r="O43" s="2"/>
      <c r="P43" s="2"/>
      <c r="Q43" s="2"/>
      <c r="R43" s="2"/>
      <c r="S43" s="2"/>
      <c r="T43" s="2"/>
      <c r="U43" s="2"/>
      <c r="V43" s="2"/>
      <c r="W43" s="2"/>
      <c r="X43" s="2"/>
      <c r="Y43" s="2"/>
      <c r="Z43" s="2"/>
    </row>
    <row r="44" ht="14.8" spans="1:26">
      <c r="A44" s="6" t="s">
        <v>198</v>
      </c>
      <c r="B44" s="2" t="s">
        <v>5920</v>
      </c>
      <c r="C44" s="2" t="s">
        <v>200</v>
      </c>
      <c r="D44" s="2">
        <v>30</v>
      </c>
      <c r="E44" s="2" t="s">
        <v>21</v>
      </c>
      <c r="F44" s="2" t="s">
        <v>5921</v>
      </c>
      <c r="G44" s="2" t="s">
        <v>5922</v>
      </c>
      <c r="H44" s="2"/>
      <c r="I44" s="2"/>
      <c r="J44" s="2"/>
      <c r="K44" s="2"/>
      <c r="L44" s="2"/>
      <c r="M44" s="2"/>
      <c r="N44" s="2"/>
      <c r="O44" s="2"/>
      <c r="P44" s="2"/>
      <c r="Q44" s="2"/>
      <c r="R44" s="2"/>
      <c r="S44" s="2"/>
      <c r="T44" s="2"/>
      <c r="U44" s="2"/>
      <c r="V44" s="2"/>
      <c r="W44" s="2"/>
      <c r="X44" s="2"/>
      <c r="Y44" s="2"/>
      <c r="Z44" s="2"/>
    </row>
    <row r="45" ht="14.8" spans="1:26">
      <c r="A45" s="6" t="s">
        <v>203</v>
      </c>
      <c r="B45" s="2" t="s">
        <v>5923</v>
      </c>
      <c r="C45" s="2" t="s">
        <v>200</v>
      </c>
      <c r="D45" s="8">
        <v>80</v>
      </c>
      <c r="E45" s="2" t="s">
        <v>21</v>
      </c>
      <c r="F45" s="2" t="s">
        <v>5924</v>
      </c>
      <c r="G45" s="2" t="s">
        <v>5925</v>
      </c>
      <c r="H45" s="2"/>
      <c r="I45" s="2"/>
      <c r="J45" s="2"/>
      <c r="K45" s="2"/>
      <c r="L45" s="2"/>
      <c r="M45" s="2"/>
      <c r="N45" s="2"/>
      <c r="O45" s="2"/>
      <c r="P45" s="2"/>
      <c r="Q45" s="2"/>
      <c r="R45" s="2"/>
      <c r="S45" s="2"/>
      <c r="T45" s="2"/>
      <c r="U45" s="2"/>
      <c r="V45" s="2"/>
      <c r="W45" s="2"/>
      <c r="X45" s="2"/>
      <c r="Y45" s="2"/>
      <c r="Z45" s="2"/>
    </row>
    <row r="46" ht="14.8" spans="1:26">
      <c r="A46" s="6" t="s">
        <v>207</v>
      </c>
      <c r="B46" s="2" t="s">
        <v>5926</v>
      </c>
      <c r="C46" s="2" t="s">
        <v>209</v>
      </c>
      <c r="D46" s="2">
        <v>5</v>
      </c>
      <c r="E46" s="2" t="s">
        <v>37</v>
      </c>
      <c r="F46" s="2" t="s">
        <v>5927</v>
      </c>
      <c r="G46" s="2" t="s">
        <v>5928</v>
      </c>
      <c r="H46" s="2"/>
      <c r="I46" s="2"/>
      <c r="J46" s="2"/>
      <c r="K46" s="2"/>
      <c r="L46" s="2"/>
      <c r="M46" s="2"/>
      <c r="N46" s="2"/>
      <c r="O46" s="2"/>
      <c r="P46" s="2"/>
      <c r="Q46" s="2"/>
      <c r="R46" s="2"/>
      <c r="S46" s="2"/>
      <c r="T46" s="2"/>
      <c r="U46" s="2"/>
      <c r="V46" s="2"/>
      <c r="W46" s="2"/>
      <c r="X46" s="2"/>
      <c r="Y46" s="2"/>
      <c r="Z46" s="2"/>
    </row>
    <row r="47" ht="14.8" spans="1:26">
      <c r="A47" s="6" t="s">
        <v>212</v>
      </c>
      <c r="B47" s="2" t="s">
        <v>5929</v>
      </c>
      <c r="C47" s="2" t="s">
        <v>214</v>
      </c>
      <c r="D47" s="8">
        <v>20</v>
      </c>
      <c r="E47" s="2" t="s">
        <v>37</v>
      </c>
      <c r="F47" s="2" t="s">
        <v>5930</v>
      </c>
      <c r="G47" s="2" t="s">
        <v>5931</v>
      </c>
      <c r="H47" s="2"/>
      <c r="I47" s="2"/>
      <c r="J47" s="2"/>
      <c r="K47" s="2"/>
      <c r="L47" s="2"/>
      <c r="M47" s="2"/>
      <c r="N47" s="2"/>
      <c r="O47" s="2"/>
      <c r="P47" s="2"/>
      <c r="Q47" s="2"/>
      <c r="R47" s="2"/>
      <c r="S47" s="2"/>
      <c r="T47" s="2"/>
      <c r="U47" s="2"/>
      <c r="V47" s="2"/>
      <c r="W47" s="2"/>
      <c r="X47" s="2"/>
      <c r="Y47" s="2"/>
      <c r="Z47" s="2"/>
    </row>
    <row r="48" ht="14.8" spans="1:26">
      <c r="A48" s="6" t="s">
        <v>217</v>
      </c>
      <c r="B48" s="2" t="s">
        <v>5932</v>
      </c>
      <c r="C48" s="2" t="s">
        <v>219</v>
      </c>
      <c r="D48" s="2"/>
      <c r="E48" s="2"/>
      <c r="F48" s="2" t="s">
        <v>5933</v>
      </c>
      <c r="G48" s="2" t="s">
        <v>5934</v>
      </c>
      <c r="H48" s="2"/>
      <c r="I48" s="2"/>
      <c r="J48" s="2"/>
      <c r="K48" s="2"/>
      <c r="L48" s="2"/>
      <c r="M48" s="2"/>
      <c r="N48" s="2"/>
      <c r="O48" s="2"/>
      <c r="P48" s="2"/>
      <c r="Q48" s="2"/>
      <c r="R48" s="2"/>
      <c r="S48" s="2"/>
      <c r="T48" s="2"/>
      <c r="U48" s="2"/>
      <c r="V48" s="2"/>
      <c r="W48" s="2"/>
      <c r="X48" s="2"/>
      <c r="Y48" s="2"/>
      <c r="Z48" s="2"/>
    </row>
    <row r="49" ht="14.8" spans="1:26">
      <c r="A49" s="6" t="s">
        <v>222</v>
      </c>
      <c r="B49" s="2" t="s">
        <v>5935</v>
      </c>
      <c r="C49" s="2" t="s">
        <v>224</v>
      </c>
      <c r="D49" s="8">
        <v>96</v>
      </c>
      <c r="E49" s="2" t="s">
        <v>21</v>
      </c>
      <c r="F49" s="2" t="s">
        <v>5936</v>
      </c>
      <c r="G49" s="2" t="s">
        <v>5937</v>
      </c>
      <c r="H49" s="2"/>
      <c r="I49" s="2"/>
      <c r="J49" s="2"/>
      <c r="K49" s="2"/>
      <c r="L49" s="2"/>
      <c r="M49" s="2"/>
      <c r="N49" s="2"/>
      <c r="O49" s="2"/>
      <c r="P49" s="2"/>
      <c r="Q49" s="2"/>
      <c r="R49" s="2"/>
      <c r="S49" s="2"/>
      <c r="T49" s="2"/>
      <c r="U49" s="2"/>
      <c r="V49" s="2"/>
      <c r="W49" s="2"/>
      <c r="X49" s="2"/>
      <c r="Y49" s="2"/>
      <c r="Z49" s="2"/>
    </row>
    <row r="50" ht="14.8" spans="1:26">
      <c r="A50" s="6" t="s">
        <v>227</v>
      </c>
      <c r="B50" s="2" t="s">
        <v>5938</v>
      </c>
      <c r="C50" s="2" t="s">
        <v>229</v>
      </c>
      <c r="D50" s="8">
        <v>66</v>
      </c>
      <c r="E50" s="2" t="s">
        <v>21</v>
      </c>
      <c r="F50" s="126" t="s">
        <v>5939</v>
      </c>
      <c r="G50" s="2" t="s">
        <v>5940</v>
      </c>
      <c r="H50" s="2"/>
      <c r="I50" s="2"/>
      <c r="J50" s="2"/>
      <c r="K50" s="2"/>
      <c r="L50" s="2"/>
      <c r="M50" s="2"/>
      <c r="N50" s="2"/>
      <c r="O50" s="2"/>
      <c r="P50" s="2"/>
      <c r="Q50" s="2"/>
      <c r="R50" s="2"/>
      <c r="S50" s="2"/>
      <c r="T50" s="2"/>
      <c r="U50" s="2"/>
      <c r="V50" s="2"/>
      <c r="W50" s="2"/>
      <c r="X50" s="2"/>
      <c r="Y50" s="2"/>
      <c r="Z50" s="2"/>
    </row>
    <row r="51" ht="14.8" spans="1:26">
      <c r="A51" s="6" t="s">
        <v>231</v>
      </c>
      <c r="B51" s="125"/>
      <c r="C51" s="2" t="s">
        <v>224</v>
      </c>
      <c r="D51" s="8">
        <v>156</v>
      </c>
      <c r="E51" s="2" t="s">
        <v>21</v>
      </c>
      <c r="F51" s="125"/>
      <c r="G51" s="125"/>
      <c r="H51" s="2"/>
      <c r="I51" s="2"/>
      <c r="J51" s="2"/>
      <c r="K51" s="2"/>
      <c r="L51" s="2"/>
      <c r="M51" s="2"/>
      <c r="N51" s="2"/>
      <c r="O51" s="2"/>
      <c r="P51" s="2"/>
      <c r="Q51" s="2"/>
      <c r="R51" s="2"/>
      <c r="S51" s="2"/>
      <c r="T51" s="2"/>
      <c r="U51" s="2"/>
      <c r="V51" s="2"/>
      <c r="W51" s="2"/>
      <c r="X51" s="2"/>
      <c r="Y51" s="2"/>
      <c r="Z51" s="2"/>
    </row>
    <row r="52" ht="14.8" spans="1:26">
      <c r="A52" s="6" t="s">
        <v>234</v>
      </c>
      <c r="B52" s="2" t="s">
        <v>5941</v>
      </c>
      <c r="C52" s="2" t="s">
        <v>236</v>
      </c>
      <c r="D52" s="2">
        <v>30</v>
      </c>
      <c r="E52" s="2" t="s">
        <v>37</v>
      </c>
      <c r="F52" s="2" t="s">
        <v>5942</v>
      </c>
      <c r="G52" s="2" t="s">
        <v>5943</v>
      </c>
      <c r="H52" s="2"/>
      <c r="I52" s="2"/>
      <c r="J52" s="2"/>
      <c r="K52" s="2"/>
      <c r="L52" s="2"/>
      <c r="M52" s="2"/>
      <c r="N52" s="2"/>
      <c r="O52" s="2"/>
      <c r="P52" s="2"/>
      <c r="Q52" s="2"/>
      <c r="R52" s="2"/>
      <c r="S52" s="2"/>
      <c r="T52" s="2"/>
      <c r="U52" s="2"/>
      <c r="V52" s="2"/>
      <c r="W52" s="2"/>
      <c r="X52" s="2"/>
      <c r="Y52" s="2"/>
      <c r="Z52" s="2"/>
    </row>
    <row r="53" ht="14.8" spans="1:26">
      <c r="A53" s="6" t="s">
        <v>239</v>
      </c>
      <c r="B53" s="2" t="s">
        <v>5944</v>
      </c>
      <c r="C53" s="2" t="s">
        <v>236</v>
      </c>
      <c r="D53" s="8">
        <v>230</v>
      </c>
      <c r="E53" s="2" t="s">
        <v>21</v>
      </c>
      <c r="F53" s="126" t="s">
        <v>5945</v>
      </c>
      <c r="G53" s="2" t="s">
        <v>5946</v>
      </c>
      <c r="H53" s="2"/>
      <c r="I53" s="2"/>
      <c r="J53" s="2"/>
      <c r="K53" s="2"/>
      <c r="L53" s="2"/>
      <c r="M53" s="2"/>
      <c r="N53" s="2"/>
      <c r="O53" s="2"/>
      <c r="P53" s="2"/>
      <c r="Q53" s="2"/>
      <c r="R53" s="2"/>
      <c r="S53" s="2"/>
      <c r="T53" s="2"/>
      <c r="U53" s="2"/>
      <c r="V53" s="2"/>
      <c r="W53" s="2"/>
      <c r="X53" s="2"/>
      <c r="Y53" s="2"/>
      <c r="Z53" s="2"/>
    </row>
    <row r="54" ht="14.8" spans="1:26">
      <c r="A54" s="6" t="s">
        <v>243</v>
      </c>
      <c r="B54" s="2" t="s">
        <v>5947</v>
      </c>
      <c r="C54" s="2" t="s">
        <v>236</v>
      </c>
      <c r="D54" s="8">
        <v>100</v>
      </c>
      <c r="E54" s="2" t="s">
        <v>245</v>
      </c>
      <c r="F54" s="126" t="s">
        <v>5948</v>
      </c>
      <c r="G54" s="2" t="s">
        <v>5949</v>
      </c>
      <c r="H54" s="2"/>
      <c r="I54" s="2"/>
      <c r="J54" s="2"/>
      <c r="K54" s="2"/>
      <c r="L54" s="2"/>
      <c r="M54" s="2"/>
      <c r="N54" s="2"/>
      <c r="O54" s="2"/>
      <c r="P54" s="2"/>
      <c r="Q54" s="2"/>
      <c r="R54" s="2"/>
      <c r="S54" s="2"/>
      <c r="T54" s="2"/>
      <c r="U54" s="2"/>
      <c r="V54" s="2"/>
      <c r="W54" s="2"/>
      <c r="X54" s="2"/>
      <c r="Y54" s="2"/>
      <c r="Z54" s="2"/>
    </row>
    <row r="55" ht="14.8" spans="1:26">
      <c r="A55" s="6" t="s">
        <v>248</v>
      </c>
      <c r="B55" s="2" t="s">
        <v>5950</v>
      </c>
      <c r="C55" s="2" t="s">
        <v>236</v>
      </c>
      <c r="D55" s="8">
        <v>100</v>
      </c>
      <c r="E55" s="2" t="s">
        <v>245</v>
      </c>
      <c r="F55" s="2" t="s">
        <v>5951</v>
      </c>
      <c r="G55" s="2" t="s">
        <v>5952</v>
      </c>
      <c r="H55" s="2"/>
      <c r="I55" s="2"/>
      <c r="J55" s="2"/>
      <c r="K55" s="2"/>
      <c r="L55" s="2"/>
      <c r="M55" s="2"/>
      <c r="N55" s="2"/>
      <c r="O55" s="2"/>
      <c r="P55" s="2"/>
      <c r="Q55" s="2"/>
      <c r="R55" s="2"/>
      <c r="S55" s="2"/>
      <c r="T55" s="2"/>
      <c r="U55" s="2"/>
      <c r="V55" s="2"/>
      <c r="W55" s="2"/>
      <c r="X55" s="2"/>
      <c r="Y55" s="2"/>
      <c r="Z55" s="2"/>
    </row>
    <row r="56" ht="14.8" spans="1:26">
      <c r="A56" s="6" t="s">
        <v>252</v>
      </c>
      <c r="B56" s="2" t="s">
        <v>5953</v>
      </c>
      <c r="C56" s="2" t="s">
        <v>236</v>
      </c>
      <c r="D56" s="2">
        <v>35</v>
      </c>
      <c r="E56" s="2" t="s">
        <v>37</v>
      </c>
      <c r="F56" s="2" t="s">
        <v>5954</v>
      </c>
      <c r="G56" s="2" t="s">
        <v>5955</v>
      </c>
      <c r="H56" s="2"/>
      <c r="I56" s="2"/>
      <c r="J56" s="2"/>
      <c r="K56" s="2"/>
      <c r="L56" s="2"/>
      <c r="M56" s="2"/>
      <c r="N56" s="2"/>
      <c r="O56" s="2"/>
      <c r="P56" s="2"/>
      <c r="Q56" s="2"/>
      <c r="R56" s="2"/>
      <c r="S56" s="2"/>
      <c r="T56" s="2"/>
      <c r="U56" s="2"/>
      <c r="V56" s="2"/>
      <c r="W56" s="2"/>
      <c r="X56" s="2"/>
      <c r="Y56" s="2"/>
      <c r="Z56" s="2"/>
    </row>
    <row r="57" ht="14.8" spans="1:26">
      <c r="A57" s="6" t="s">
        <v>256</v>
      </c>
      <c r="B57" s="2" t="s">
        <v>5956</v>
      </c>
      <c r="C57" s="2" t="s">
        <v>236</v>
      </c>
      <c r="D57" s="2">
        <v>40</v>
      </c>
      <c r="E57" s="2" t="s">
        <v>37</v>
      </c>
      <c r="F57" s="2" t="s">
        <v>5957</v>
      </c>
      <c r="G57" s="2" t="s">
        <v>5958</v>
      </c>
      <c r="H57" s="2"/>
      <c r="I57" s="2"/>
      <c r="J57" s="2"/>
      <c r="K57" s="2"/>
      <c r="L57" s="2"/>
      <c r="M57" s="2"/>
      <c r="N57" s="2"/>
      <c r="O57" s="2"/>
      <c r="P57" s="2"/>
      <c r="Q57" s="2"/>
      <c r="R57" s="2"/>
      <c r="S57" s="2"/>
      <c r="T57" s="2"/>
      <c r="U57" s="2"/>
      <c r="V57" s="2"/>
      <c r="W57" s="2"/>
      <c r="X57" s="2"/>
      <c r="Y57" s="2"/>
      <c r="Z57" s="2"/>
    </row>
    <row r="58" ht="14.8" spans="1:26">
      <c r="A58" s="6" t="s">
        <v>260</v>
      </c>
      <c r="B58" s="2" t="s">
        <v>5959</v>
      </c>
      <c r="C58" s="2" t="s">
        <v>236</v>
      </c>
      <c r="D58" s="2">
        <v>8</v>
      </c>
      <c r="E58" s="2" t="s">
        <v>262</v>
      </c>
      <c r="F58" s="2" t="s">
        <v>5960</v>
      </c>
      <c r="G58" s="2" t="s">
        <v>5961</v>
      </c>
      <c r="H58" s="2"/>
      <c r="I58" s="2"/>
      <c r="J58" s="2"/>
      <c r="K58" s="2"/>
      <c r="L58" s="2"/>
      <c r="M58" s="2"/>
      <c r="N58" s="2"/>
      <c r="O58" s="2"/>
      <c r="P58" s="2"/>
      <c r="Q58" s="2"/>
      <c r="R58" s="2"/>
      <c r="S58" s="2"/>
      <c r="T58" s="2"/>
      <c r="U58" s="2"/>
      <c r="V58" s="2"/>
      <c r="W58" s="2"/>
      <c r="X58" s="2"/>
      <c r="Y58" s="2"/>
      <c r="Z58" s="2"/>
    </row>
    <row r="59" ht="14.8" spans="1:26">
      <c r="A59" s="6" t="s">
        <v>265</v>
      </c>
      <c r="B59" s="2" t="s">
        <v>5962</v>
      </c>
      <c r="C59" s="2" t="s">
        <v>236</v>
      </c>
      <c r="D59" s="2">
        <v>30</v>
      </c>
      <c r="E59" s="2" t="s">
        <v>37</v>
      </c>
      <c r="F59" s="2" t="s">
        <v>5963</v>
      </c>
      <c r="G59" s="2" t="s">
        <v>5964</v>
      </c>
      <c r="H59" s="2"/>
      <c r="I59" s="2"/>
      <c r="J59" s="2"/>
      <c r="K59" s="2"/>
      <c r="L59" s="2"/>
      <c r="M59" s="2"/>
      <c r="N59" s="2"/>
      <c r="O59" s="2"/>
      <c r="P59" s="2"/>
      <c r="Q59" s="2"/>
      <c r="R59" s="2"/>
      <c r="S59" s="2"/>
      <c r="T59" s="2"/>
      <c r="U59" s="2"/>
      <c r="V59" s="2"/>
      <c r="W59" s="2"/>
      <c r="X59" s="2"/>
      <c r="Y59" s="2"/>
      <c r="Z59" s="2"/>
    </row>
    <row r="60" ht="14.8" spans="1:26">
      <c r="A60" s="6" t="s">
        <v>269</v>
      </c>
      <c r="B60" s="2" t="s">
        <v>5965</v>
      </c>
      <c r="C60" s="2" t="s">
        <v>236</v>
      </c>
      <c r="D60" s="2">
        <v>35</v>
      </c>
      <c r="E60" s="2" t="s">
        <v>37</v>
      </c>
      <c r="F60" s="2" t="s">
        <v>5966</v>
      </c>
      <c r="G60" s="2" t="s">
        <v>5967</v>
      </c>
      <c r="H60" s="2"/>
      <c r="I60" s="2"/>
      <c r="J60" s="2"/>
      <c r="K60" s="2"/>
      <c r="L60" s="2"/>
      <c r="M60" s="2"/>
      <c r="N60" s="2"/>
      <c r="O60" s="2"/>
      <c r="P60" s="2"/>
      <c r="Q60" s="2"/>
      <c r="R60" s="2"/>
      <c r="S60" s="2"/>
      <c r="T60" s="2"/>
      <c r="U60" s="2"/>
      <c r="V60" s="2"/>
      <c r="W60" s="2"/>
      <c r="X60" s="2"/>
      <c r="Y60" s="2"/>
      <c r="Z60" s="2"/>
    </row>
    <row r="61" ht="14.8" spans="1:26">
      <c r="A61" s="6" t="s">
        <v>273</v>
      </c>
      <c r="B61" s="2" t="s">
        <v>5968</v>
      </c>
      <c r="C61" s="2" t="s">
        <v>236</v>
      </c>
      <c r="D61" s="2">
        <v>30</v>
      </c>
      <c r="E61" s="2" t="s">
        <v>32</v>
      </c>
      <c r="F61" s="2" t="s">
        <v>5969</v>
      </c>
      <c r="G61" s="2" t="s">
        <v>5970</v>
      </c>
      <c r="H61" s="2"/>
      <c r="I61" s="2"/>
      <c r="J61" s="2"/>
      <c r="K61" s="2"/>
      <c r="L61" s="2"/>
      <c r="M61" s="2"/>
      <c r="N61" s="2"/>
      <c r="O61" s="2"/>
      <c r="P61" s="2"/>
      <c r="Q61" s="2"/>
      <c r="R61" s="2"/>
      <c r="S61" s="2"/>
      <c r="T61" s="2"/>
      <c r="U61" s="2"/>
      <c r="V61" s="2"/>
      <c r="W61" s="2"/>
      <c r="X61" s="2"/>
      <c r="Y61" s="2"/>
      <c r="Z61" s="2"/>
    </row>
    <row r="62" ht="14.8" spans="1:26">
      <c r="A62" s="6" t="s">
        <v>277</v>
      </c>
      <c r="B62" s="2" t="s">
        <v>5971</v>
      </c>
      <c r="C62" s="2" t="s">
        <v>236</v>
      </c>
      <c r="D62" s="2">
        <v>37</v>
      </c>
      <c r="E62" s="2" t="s">
        <v>37</v>
      </c>
      <c r="F62" s="2" t="s">
        <v>5972</v>
      </c>
      <c r="G62" s="2" t="s">
        <v>5973</v>
      </c>
      <c r="H62" s="2"/>
      <c r="I62" s="2"/>
      <c r="J62" s="2"/>
      <c r="K62" s="2"/>
      <c r="L62" s="2"/>
      <c r="M62" s="2"/>
      <c r="N62" s="2"/>
      <c r="O62" s="2"/>
      <c r="P62" s="2"/>
      <c r="Q62" s="2"/>
      <c r="R62" s="2"/>
      <c r="S62" s="2"/>
      <c r="T62" s="2"/>
      <c r="U62" s="2"/>
      <c r="V62" s="2"/>
      <c r="W62" s="2"/>
      <c r="X62" s="2"/>
      <c r="Y62" s="2"/>
      <c r="Z62" s="2"/>
    </row>
    <row r="63" ht="14.8" spans="1:26">
      <c r="A63" s="6" t="s">
        <v>281</v>
      </c>
      <c r="B63" s="2" t="s">
        <v>5974</v>
      </c>
      <c r="C63" s="2" t="s">
        <v>236</v>
      </c>
      <c r="D63" s="2">
        <v>40</v>
      </c>
      <c r="E63" s="2" t="s">
        <v>37</v>
      </c>
      <c r="F63" s="2" t="s">
        <v>5975</v>
      </c>
      <c r="G63" s="2" t="s">
        <v>5976</v>
      </c>
      <c r="H63" s="2"/>
      <c r="I63" s="2"/>
      <c r="J63" s="2"/>
      <c r="K63" s="2"/>
      <c r="L63" s="2"/>
      <c r="M63" s="2"/>
      <c r="N63" s="2"/>
      <c r="O63" s="2"/>
      <c r="P63" s="2"/>
      <c r="Q63" s="2"/>
      <c r="R63" s="2"/>
      <c r="S63" s="2"/>
      <c r="T63" s="2"/>
      <c r="U63" s="2"/>
      <c r="V63" s="2"/>
      <c r="W63" s="2"/>
      <c r="X63" s="2"/>
      <c r="Y63" s="2"/>
      <c r="Z63" s="2"/>
    </row>
    <row r="64" ht="14.8" spans="1:26">
      <c r="A64" s="6" t="s">
        <v>285</v>
      </c>
      <c r="B64" s="2" t="s">
        <v>5977</v>
      </c>
      <c r="C64" s="2" t="s">
        <v>286</v>
      </c>
      <c r="D64" s="8">
        <v>35</v>
      </c>
      <c r="E64" s="2" t="s">
        <v>37</v>
      </c>
      <c r="F64" s="2" t="s">
        <v>5978</v>
      </c>
      <c r="G64" s="2" t="s">
        <v>5979</v>
      </c>
      <c r="H64" s="2"/>
      <c r="I64" s="2"/>
      <c r="J64" s="2"/>
      <c r="K64" s="2"/>
      <c r="L64" s="2"/>
      <c r="M64" s="2"/>
      <c r="N64" s="2"/>
      <c r="O64" s="2"/>
      <c r="P64" s="2"/>
      <c r="Q64" s="2"/>
      <c r="R64" s="2"/>
      <c r="S64" s="2"/>
      <c r="T64" s="2"/>
      <c r="U64" s="2"/>
      <c r="V64" s="2"/>
      <c r="W64" s="2"/>
      <c r="X64" s="2"/>
      <c r="Y64" s="2"/>
      <c r="Z64" s="2"/>
    </row>
    <row r="65" ht="14.8" spans="1:26">
      <c r="A65" s="6" t="s">
        <v>288</v>
      </c>
      <c r="B65" s="2" t="s">
        <v>5980</v>
      </c>
      <c r="C65" s="2" t="s">
        <v>290</v>
      </c>
      <c r="D65" s="2">
        <v>300</v>
      </c>
      <c r="E65" s="2" t="s">
        <v>37</v>
      </c>
      <c r="F65" s="2" t="s">
        <v>5981</v>
      </c>
      <c r="G65" s="2" t="s">
        <v>5982</v>
      </c>
      <c r="H65" s="2"/>
      <c r="I65" s="2"/>
      <c r="J65" s="2"/>
      <c r="K65" s="2"/>
      <c r="L65" s="2"/>
      <c r="M65" s="2"/>
      <c r="N65" s="2"/>
      <c r="O65" s="2"/>
      <c r="P65" s="2"/>
      <c r="Q65" s="2"/>
      <c r="R65" s="2"/>
      <c r="S65" s="2"/>
      <c r="T65" s="2"/>
      <c r="U65" s="2"/>
      <c r="V65" s="2"/>
      <c r="W65" s="2"/>
      <c r="X65" s="2"/>
      <c r="Y65" s="2"/>
      <c r="Z65" s="2"/>
    </row>
    <row r="66" ht="14.8" spans="1:26">
      <c r="A66" s="6" t="s">
        <v>293</v>
      </c>
      <c r="B66" s="2" t="s">
        <v>5983</v>
      </c>
      <c r="C66" s="2" t="s">
        <v>290</v>
      </c>
      <c r="D66" s="2">
        <v>35</v>
      </c>
      <c r="E66" s="2" t="s">
        <v>37</v>
      </c>
      <c r="F66" s="2" t="s">
        <v>5984</v>
      </c>
      <c r="G66" s="2" t="s">
        <v>5985</v>
      </c>
      <c r="H66" s="2"/>
      <c r="I66" s="2"/>
      <c r="J66" s="2"/>
      <c r="K66" s="2"/>
      <c r="L66" s="2"/>
      <c r="M66" s="2"/>
      <c r="N66" s="2"/>
      <c r="O66" s="2"/>
      <c r="P66" s="2"/>
      <c r="Q66" s="2"/>
      <c r="R66" s="2"/>
      <c r="S66" s="2"/>
      <c r="T66" s="2"/>
      <c r="U66" s="2"/>
      <c r="V66" s="2"/>
      <c r="W66" s="2"/>
      <c r="X66" s="2"/>
      <c r="Y66" s="2"/>
      <c r="Z66" s="2"/>
    </row>
    <row r="67" ht="14.8" spans="1:26">
      <c r="A67" s="6" t="s">
        <v>297</v>
      </c>
      <c r="B67" s="2" t="s">
        <v>5986</v>
      </c>
      <c r="C67" s="2" t="s">
        <v>1807</v>
      </c>
      <c r="D67" s="8">
        <v>1000</v>
      </c>
      <c r="E67" s="2" t="s">
        <v>37</v>
      </c>
      <c r="F67" s="2" t="s">
        <v>5987</v>
      </c>
      <c r="G67" s="2" t="s">
        <v>5988</v>
      </c>
      <c r="H67" s="2"/>
      <c r="I67" s="2"/>
      <c r="J67" s="2"/>
      <c r="K67" s="2"/>
      <c r="L67" s="2"/>
      <c r="M67" s="2"/>
      <c r="N67" s="2"/>
      <c r="O67" s="2"/>
      <c r="P67" s="2"/>
      <c r="Q67" s="2"/>
      <c r="R67" s="2"/>
      <c r="S67" s="2"/>
      <c r="T67" s="2"/>
      <c r="U67" s="2"/>
      <c r="V67" s="2"/>
      <c r="W67" s="2"/>
      <c r="X67" s="2"/>
      <c r="Y67" s="2"/>
      <c r="Z67" s="2"/>
    </row>
    <row r="68" ht="14.8" spans="1:26">
      <c r="A68" s="6" t="s">
        <v>302</v>
      </c>
      <c r="B68" s="2" t="s">
        <v>5989</v>
      </c>
      <c r="C68" s="2" t="s">
        <v>304</v>
      </c>
      <c r="D68" s="2"/>
      <c r="E68" s="2"/>
      <c r="F68" s="2" t="s">
        <v>5990</v>
      </c>
      <c r="G68" s="2" t="s">
        <v>5991</v>
      </c>
      <c r="H68" s="2"/>
      <c r="I68" s="2"/>
      <c r="J68" s="2"/>
      <c r="K68" s="2"/>
      <c r="L68" s="2"/>
      <c r="M68" s="2"/>
      <c r="N68" s="2"/>
      <c r="O68" s="2"/>
      <c r="P68" s="2"/>
      <c r="Q68" s="2"/>
      <c r="R68" s="2"/>
      <c r="S68" s="2"/>
      <c r="T68" s="2"/>
      <c r="U68" s="2"/>
      <c r="V68" s="2"/>
      <c r="W68" s="2"/>
      <c r="X68" s="2"/>
      <c r="Y68" s="2"/>
      <c r="Z68" s="2"/>
    </row>
    <row r="69" ht="14.8" spans="1:26">
      <c r="A69" s="6" t="s">
        <v>307</v>
      </c>
      <c r="B69" s="2" t="s">
        <v>5992</v>
      </c>
      <c r="C69" s="2" t="s">
        <v>309</v>
      </c>
      <c r="D69" s="8">
        <v>45</v>
      </c>
      <c r="E69" s="2" t="s">
        <v>310</v>
      </c>
      <c r="F69" s="2" t="s">
        <v>5993</v>
      </c>
      <c r="G69" s="2" t="s">
        <v>5994</v>
      </c>
      <c r="H69" s="2"/>
      <c r="I69" s="2"/>
      <c r="J69" s="2"/>
      <c r="K69" s="2"/>
      <c r="L69" s="2"/>
      <c r="M69" s="2"/>
      <c r="N69" s="2"/>
      <c r="O69" s="2"/>
      <c r="P69" s="2"/>
      <c r="Q69" s="2"/>
      <c r="R69" s="2"/>
      <c r="S69" s="2"/>
      <c r="T69" s="2"/>
      <c r="U69" s="2"/>
      <c r="V69" s="2"/>
      <c r="W69" s="2"/>
      <c r="X69" s="2"/>
      <c r="Y69" s="2"/>
      <c r="Z69" s="2"/>
    </row>
    <row r="70" ht="14.8" spans="1:26">
      <c r="A70" s="6" t="s">
        <v>317</v>
      </c>
      <c r="B70" s="2" t="s">
        <v>5995</v>
      </c>
      <c r="C70" s="2" t="s">
        <v>319</v>
      </c>
      <c r="D70" s="2">
        <v>400</v>
      </c>
      <c r="E70" s="2" t="s">
        <v>245</v>
      </c>
      <c r="F70" s="2" t="s">
        <v>5996</v>
      </c>
      <c r="G70" s="2" t="s">
        <v>5997</v>
      </c>
      <c r="H70" s="2"/>
      <c r="I70" s="2"/>
      <c r="J70" s="2"/>
      <c r="K70" s="2"/>
      <c r="L70" s="2"/>
      <c r="M70" s="2"/>
      <c r="N70" s="2"/>
      <c r="O70" s="2"/>
      <c r="P70" s="2"/>
      <c r="Q70" s="2"/>
      <c r="R70" s="2"/>
      <c r="S70" s="2"/>
      <c r="T70" s="2"/>
      <c r="U70" s="2"/>
      <c r="V70" s="2"/>
      <c r="W70" s="2"/>
      <c r="X70" s="2"/>
      <c r="Y70" s="2"/>
      <c r="Z70" s="2"/>
    </row>
    <row r="71" ht="14.8" spans="1:26">
      <c r="A71" s="6" t="s">
        <v>321</v>
      </c>
      <c r="B71" s="2" t="s">
        <v>5998</v>
      </c>
      <c r="C71" s="2" t="s">
        <v>315</v>
      </c>
      <c r="D71" s="2">
        <v>13</v>
      </c>
      <c r="E71" s="2" t="s">
        <v>262</v>
      </c>
      <c r="F71" s="2" t="s">
        <v>5999</v>
      </c>
      <c r="G71" s="2" t="s">
        <v>6000</v>
      </c>
      <c r="H71" s="2"/>
      <c r="I71" s="2"/>
      <c r="J71" s="2"/>
      <c r="K71" s="2"/>
      <c r="L71" s="2"/>
      <c r="M71" s="2"/>
      <c r="N71" s="2"/>
      <c r="O71" s="2"/>
      <c r="P71" s="2"/>
      <c r="Q71" s="2"/>
      <c r="R71" s="2"/>
      <c r="S71" s="2"/>
      <c r="T71" s="2"/>
      <c r="U71" s="2"/>
      <c r="V71" s="2"/>
      <c r="W71" s="2"/>
      <c r="X71" s="2"/>
      <c r="Y71" s="2"/>
      <c r="Z71" s="2"/>
    </row>
    <row r="72" ht="14.8" spans="1:26">
      <c r="A72" s="6" t="s">
        <v>325</v>
      </c>
      <c r="B72" s="2" t="s">
        <v>2461</v>
      </c>
      <c r="C72" s="2" t="s">
        <v>327</v>
      </c>
      <c r="D72" s="8">
        <v>25</v>
      </c>
      <c r="E72" s="2" t="s">
        <v>310</v>
      </c>
      <c r="F72" s="2" t="s">
        <v>6001</v>
      </c>
      <c r="G72" s="2" t="s">
        <v>6002</v>
      </c>
      <c r="H72" s="2"/>
      <c r="I72" s="2"/>
      <c r="J72" s="2"/>
      <c r="K72" s="2"/>
      <c r="L72" s="2"/>
      <c r="M72" s="2"/>
      <c r="N72" s="2"/>
      <c r="O72" s="2"/>
      <c r="P72" s="2"/>
      <c r="Q72" s="2"/>
      <c r="R72" s="2"/>
      <c r="S72" s="2"/>
      <c r="T72" s="2"/>
      <c r="U72" s="2"/>
      <c r="V72" s="2"/>
      <c r="W72" s="2"/>
      <c r="X72" s="2"/>
      <c r="Y72" s="2"/>
      <c r="Z72" s="2"/>
    </row>
    <row r="73" ht="14.8" spans="1:26">
      <c r="A73" s="6" t="s">
        <v>330</v>
      </c>
      <c r="B73" s="2" t="s">
        <v>6003</v>
      </c>
      <c r="C73" s="2" t="s">
        <v>315</v>
      </c>
      <c r="D73" s="2">
        <v>50</v>
      </c>
      <c r="E73" s="2" t="s">
        <v>37</v>
      </c>
      <c r="F73" s="2" t="s">
        <v>6004</v>
      </c>
      <c r="G73" s="2" t="s">
        <v>6005</v>
      </c>
      <c r="H73" s="2"/>
      <c r="I73" s="2"/>
      <c r="J73" s="2"/>
      <c r="K73" s="2"/>
      <c r="L73" s="2"/>
      <c r="M73" s="2"/>
      <c r="N73" s="2"/>
      <c r="O73" s="2"/>
      <c r="P73" s="2"/>
      <c r="Q73" s="2"/>
      <c r="R73" s="2"/>
      <c r="S73" s="2"/>
      <c r="T73" s="2"/>
      <c r="U73" s="2"/>
      <c r="V73" s="2"/>
      <c r="W73" s="2"/>
      <c r="X73" s="2"/>
      <c r="Y73" s="2"/>
      <c r="Z73" s="2"/>
    </row>
    <row r="74" ht="14.8" spans="1:26">
      <c r="A74" s="6" t="s">
        <v>334</v>
      </c>
      <c r="B74" s="2" t="s">
        <v>6006</v>
      </c>
      <c r="C74" s="2" t="s">
        <v>315</v>
      </c>
      <c r="D74" s="2">
        <v>50</v>
      </c>
      <c r="E74" s="2" t="s">
        <v>37</v>
      </c>
      <c r="F74" s="2" t="s">
        <v>6007</v>
      </c>
      <c r="G74" s="2" t="s">
        <v>6008</v>
      </c>
      <c r="H74" s="2"/>
      <c r="I74" s="2"/>
      <c r="J74" s="2"/>
      <c r="K74" s="2"/>
      <c r="L74" s="2"/>
      <c r="M74" s="2"/>
      <c r="N74" s="2"/>
      <c r="O74" s="2"/>
      <c r="P74" s="2"/>
      <c r="Q74" s="2"/>
      <c r="R74" s="2"/>
      <c r="S74" s="2"/>
      <c r="T74" s="2"/>
      <c r="U74" s="2"/>
      <c r="V74" s="2"/>
      <c r="W74" s="2"/>
      <c r="X74" s="2"/>
      <c r="Y74" s="2"/>
      <c r="Z74" s="2"/>
    </row>
    <row r="75" ht="14.8" spans="1:26">
      <c r="A75" s="6" t="s">
        <v>338</v>
      </c>
      <c r="B75" s="2" t="s">
        <v>6009</v>
      </c>
      <c r="C75" s="2" t="s">
        <v>315</v>
      </c>
      <c r="D75" s="2">
        <v>125</v>
      </c>
      <c r="E75" s="2" t="s">
        <v>262</v>
      </c>
      <c r="F75" s="2" t="s">
        <v>6010</v>
      </c>
      <c r="G75" s="2" t="s">
        <v>6011</v>
      </c>
      <c r="H75" s="2"/>
      <c r="I75" s="2"/>
      <c r="J75" s="2"/>
      <c r="K75" s="2"/>
      <c r="L75" s="2"/>
      <c r="M75" s="2"/>
      <c r="N75" s="2"/>
      <c r="O75" s="2"/>
      <c r="P75" s="2"/>
      <c r="Q75" s="2"/>
      <c r="R75" s="2"/>
      <c r="S75" s="2"/>
      <c r="T75" s="2"/>
      <c r="U75" s="2"/>
      <c r="V75" s="2"/>
      <c r="W75" s="2"/>
      <c r="X75" s="2"/>
      <c r="Y75" s="2"/>
      <c r="Z75" s="2"/>
    </row>
    <row r="76" ht="14.8" spans="1:26">
      <c r="A76" s="6" t="s">
        <v>342</v>
      </c>
      <c r="B76" s="2" t="s">
        <v>6012</v>
      </c>
      <c r="C76" s="2" t="s">
        <v>315</v>
      </c>
      <c r="D76" s="2">
        <v>126</v>
      </c>
      <c r="E76" s="2" t="s">
        <v>262</v>
      </c>
      <c r="F76" s="2" t="s">
        <v>6013</v>
      </c>
      <c r="G76" s="2" t="s">
        <v>6014</v>
      </c>
      <c r="H76" s="2"/>
      <c r="I76" s="2"/>
      <c r="J76" s="2"/>
      <c r="K76" s="2"/>
      <c r="L76" s="2"/>
      <c r="M76" s="2"/>
      <c r="N76" s="2"/>
      <c r="O76" s="2"/>
      <c r="P76" s="2"/>
      <c r="Q76" s="2"/>
      <c r="R76" s="2"/>
      <c r="S76" s="2"/>
      <c r="T76" s="2"/>
      <c r="U76" s="2"/>
      <c r="V76" s="2"/>
      <c r="W76" s="2"/>
      <c r="X76" s="2"/>
      <c r="Y76" s="2"/>
      <c r="Z76" s="2"/>
    </row>
    <row r="77" ht="14.8" spans="1:26">
      <c r="A77" s="6" t="s">
        <v>346</v>
      </c>
      <c r="B77" s="2" t="s">
        <v>6015</v>
      </c>
      <c r="C77" s="2" t="s">
        <v>315</v>
      </c>
      <c r="D77" s="2">
        <v>127</v>
      </c>
      <c r="E77" s="2" t="s">
        <v>262</v>
      </c>
      <c r="F77" s="2" t="s">
        <v>6016</v>
      </c>
      <c r="G77" s="2" t="s">
        <v>6017</v>
      </c>
      <c r="H77" s="2"/>
      <c r="I77" s="2"/>
      <c r="J77" s="2"/>
      <c r="K77" s="2"/>
      <c r="L77" s="2"/>
      <c r="M77" s="2"/>
      <c r="N77" s="2"/>
      <c r="O77" s="2"/>
      <c r="P77" s="2"/>
      <c r="Q77" s="2"/>
      <c r="R77" s="2"/>
      <c r="S77" s="2"/>
      <c r="T77" s="2"/>
      <c r="U77" s="2"/>
      <c r="V77" s="2"/>
      <c r="W77" s="2"/>
      <c r="X77" s="2"/>
      <c r="Y77" s="2"/>
      <c r="Z77" s="2"/>
    </row>
    <row r="78" ht="14.8" spans="1:26">
      <c r="A78" s="6" t="s">
        <v>350</v>
      </c>
      <c r="B78" s="2" t="s">
        <v>6018</v>
      </c>
      <c r="C78" s="2" t="s">
        <v>315</v>
      </c>
      <c r="D78" s="2">
        <v>128</v>
      </c>
      <c r="E78" s="2" t="s">
        <v>262</v>
      </c>
      <c r="F78" s="2" t="s">
        <v>6019</v>
      </c>
      <c r="G78" s="2" t="s">
        <v>6020</v>
      </c>
      <c r="H78" s="2"/>
      <c r="I78" s="2"/>
      <c r="J78" s="2"/>
      <c r="K78" s="2"/>
      <c r="L78" s="2"/>
      <c r="M78" s="2"/>
      <c r="N78" s="2"/>
      <c r="O78" s="2"/>
      <c r="P78" s="2"/>
      <c r="Q78" s="2"/>
      <c r="R78" s="2"/>
      <c r="S78" s="2"/>
      <c r="T78" s="2"/>
      <c r="U78" s="2"/>
      <c r="V78" s="2"/>
      <c r="W78" s="2"/>
      <c r="X78" s="2"/>
      <c r="Y78" s="2"/>
      <c r="Z78" s="2"/>
    </row>
    <row r="79" ht="14.8" spans="1:26">
      <c r="A79" s="6" t="s">
        <v>354</v>
      </c>
      <c r="B79" s="2" t="s">
        <v>2379</v>
      </c>
      <c r="C79" s="2" t="s">
        <v>315</v>
      </c>
      <c r="D79" s="2">
        <v>129</v>
      </c>
      <c r="E79" s="2" t="s">
        <v>262</v>
      </c>
      <c r="F79" s="2" t="s">
        <v>6021</v>
      </c>
      <c r="G79" s="2" t="s">
        <v>6022</v>
      </c>
      <c r="H79" s="2"/>
      <c r="I79" s="2"/>
      <c r="J79" s="2"/>
      <c r="K79" s="2"/>
      <c r="L79" s="2"/>
      <c r="M79" s="2"/>
      <c r="N79" s="2"/>
      <c r="O79" s="2"/>
      <c r="P79" s="2"/>
      <c r="Q79" s="2"/>
      <c r="R79" s="2"/>
      <c r="S79" s="2"/>
      <c r="T79" s="2"/>
      <c r="U79" s="2"/>
      <c r="V79" s="2"/>
      <c r="W79" s="2"/>
      <c r="X79" s="2"/>
      <c r="Y79" s="2"/>
      <c r="Z79" s="2"/>
    </row>
    <row r="80" ht="14.8" spans="1:26">
      <c r="A80" s="6" t="s">
        <v>359</v>
      </c>
      <c r="B80" s="2" t="s">
        <v>6023</v>
      </c>
      <c r="C80" s="2" t="s">
        <v>315</v>
      </c>
      <c r="D80" s="2">
        <v>130</v>
      </c>
      <c r="E80" s="2" t="s">
        <v>262</v>
      </c>
      <c r="F80" s="2" t="s">
        <v>6024</v>
      </c>
      <c r="G80" s="2" t="s">
        <v>6025</v>
      </c>
      <c r="H80" s="2"/>
      <c r="I80" s="2"/>
      <c r="J80" s="2"/>
      <c r="K80" s="2"/>
      <c r="L80" s="2"/>
      <c r="M80" s="2"/>
      <c r="N80" s="2"/>
      <c r="O80" s="2"/>
      <c r="P80" s="2"/>
      <c r="Q80" s="2"/>
      <c r="R80" s="2"/>
      <c r="S80" s="2"/>
      <c r="T80" s="2"/>
      <c r="U80" s="2"/>
      <c r="V80" s="2"/>
      <c r="W80" s="2"/>
      <c r="X80" s="2"/>
      <c r="Y80" s="2"/>
      <c r="Z80" s="2"/>
    </row>
    <row r="81" ht="14.8" spans="1:26">
      <c r="A81" s="6" t="s">
        <v>364</v>
      </c>
      <c r="B81" s="2" t="s">
        <v>6009</v>
      </c>
      <c r="C81" s="2" t="s">
        <v>315</v>
      </c>
      <c r="D81" s="2">
        <v>131</v>
      </c>
      <c r="E81" s="2" t="s">
        <v>262</v>
      </c>
      <c r="F81" s="2" t="s">
        <v>6010</v>
      </c>
      <c r="G81" s="2" t="s">
        <v>6026</v>
      </c>
      <c r="H81" s="2"/>
      <c r="I81" s="2"/>
      <c r="J81" s="2"/>
      <c r="K81" s="2"/>
      <c r="L81" s="2"/>
      <c r="M81" s="2"/>
      <c r="N81" s="2"/>
      <c r="O81" s="2"/>
      <c r="P81" s="2"/>
      <c r="Q81" s="2"/>
      <c r="R81" s="2"/>
      <c r="S81" s="2"/>
      <c r="T81" s="2"/>
      <c r="U81" s="2"/>
      <c r="V81" s="2"/>
      <c r="W81" s="2"/>
      <c r="X81" s="2"/>
      <c r="Y81" s="2"/>
      <c r="Z81" s="2"/>
    </row>
    <row r="82" ht="14.8" spans="1:26">
      <c r="A82" s="6" t="s">
        <v>368</v>
      </c>
      <c r="B82" s="2" t="s">
        <v>6027</v>
      </c>
      <c r="C82" s="2" t="s">
        <v>315</v>
      </c>
      <c r="D82" s="2">
        <v>132</v>
      </c>
      <c r="E82" s="2" t="s">
        <v>262</v>
      </c>
      <c r="F82" s="2" t="s">
        <v>6028</v>
      </c>
      <c r="G82" s="2" t="s">
        <v>6029</v>
      </c>
      <c r="H82" s="2"/>
      <c r="I82" s="2"/>
      <c r="J82" s="2"/>
      <c r="K82" s="2"/>
      <c r="L82" s="2"/>
      <c r="M82" s="2"/>
      <c r="N82" s="2"/>
      <c r="O82" s="2"/>
      <c r="P82" s="2"/>
      <c r="Q82" s="2"/>
      <c r="R82" s="2"/>
      <c r="S82" s="2"/>
      <c r="T82" s="2"/>
      <c r="U82" s="2"/>
      <c r="V82" s="2"/>
      <c r="W82" s="2"/>
      <c r="X82" s="2"/>
      <c r="Y82" s="2"/>
      <c r="Z82" s="2"/>
    </row>
    <row r="83" ht="14.8" spans="1:26">
      <c r="A83" s="6" t="s">
        <v>371</v>
      </c>
      <c r="B83" s="2" t="s">
        <v>2226</v>
      </c>
      <c r="C83" s="2" t="s">
        <v>315</v>
      </c>
      <c r="D83" s="2">
        <v>133</v>
      </c>
      <c r="E83" s="2" t="s">
        <v>262</v>
      </c>
      <c r="F83" s="2" t="s">
        <v>6030</v>
      </c>
      <c r="G83" s="2" t="s">
        <v>6031</v>
      </c>
      <c r="H83" s="2"/>
      <c r="I83" s="2"/>
      <c r="J83" s="2"/>
      <c r="K83" s="2"/>
      <c r="L83" s="2"/>
      <c r="M83" s="2"/>
      <c r="N83" s="2"/>
      <c r="O83" s="2"/>
      <c r="P83" s="2"/>
      <c r="Q83" s="2"/>
      <c r="R83" s="2"/>
      <c r="S83" s="2"/>
      <c r="T83" s="2"/>
      <c r="U83" s="2"/>
      <c r="V83" s="2"/>
      <c r="W83" s="2"/>
      <c r="X83" s="2"/>
      <c r="Y83" s="2"/>
      <c r="Z83" s="2"/>
    </row>
    <row r="84" ht="14.8" spans="1:26">
      <c r="A84" s="6" t="s">
        <v>375</v>
      </c>
      <c r="B84" s="2" t="s">
        <v>6032</v>
      </c>
      <c r="C84" s="2" t="s">
        <v>315</v>
      </c>
      <c r="D84" s="2">
        <v>134</v>
      </c>
      <c r="E84" s="2" t="s">
        <v>262</v>
      </c>
      <c r="F84" s="2" t="s">
        <v>6033</v>
      </c>
      <c r="G84" s="2" t="s">
        <v>6034</v>
      </c>
      <c r="H84" s="2"/>
      <c r="I84" s="2"/>
      <c r="J84" s="2"/>
      <c r="K84" s="2"/>
      <c r="L84" s="2"/>
      <c r="M84" s="2"/>
      <c r="N84" s="2"/>
      <c r="O84" s="2"/>
      <c r="P84" s="2"/>
      <c r="Q84" s="2"/>
      <c r="R84" s="2"/>
      <c r="S84" s="2"/>
      <c r="T84" s="2"/>
      <c r="U84" s="2"/>
      <c r="V84" s="2"/>
      <c r="W84" s="2"/>
      <c r="X84" s="2"/>
      <c r="Y84" s="2"/>
      <c r="Z84" s="2"/>
    </row>
    <row r="85" ht="14.8" spans="1:26">
      <c r="A85" s="6" t="s">
        <v>379</v>
      </c>
      <c r="B85" s="2" t="s">
        <v>6035</v>
      </c>
      <c r="C85" s="2" t="s">
        <v>315</v>
      </c>
      <c r="D85" s="2">
        <v>135</v>
      </c>
      <c r="E85" s="2" t="s">
        <v>262</v>
      </c>
      <c r="F85" s="2" t="s">
        <v>6036</v>
      </c>
      <c r="G85" s="2" t="s">
        <v>6037</v>
      </c>
      <c r="H85" s="2"/>
      <c r="I85" s="2"/>
      <c r="J85" s="2"/>
      <c r="K85" s="2"/>
      <c r="L85" s="2"/>
      <c r="M85" s="2"/>
      <c r="N85" s="2"/>
      <c r="O85" s="2"/>
      <c r="P85" s="2"/>
      <c r="Q85" s="2"/>
      <c r="R85" s="2"/>
      <c r="S85" s="2"/>
      <c r="T85" s="2"/>
      <c r="U85" s="2"/>
      <c r="V85" s="2"/>
      <c r="W85" s="2"/>
      <c r="X85" s="2"/>
      <c r="Y85" s="2"/>
      <c r="Z85" s="2"/>
    </row>
    <row r="86" ht="14.8" spans="1:26">
      <c r="A86" s="6" t="s">
        <v>383</v>
      </c>
      <c r="B86" s="2" t="s">
        <v>6038</v>
      </c>
      <c r="C86" s="2" t="s">
        <v>315</v>
      </c>
      <c r="D86" s="2">
        <v>136</v>
      </c>
      <c r="E86" s="2" t="s">
        <v>262</v>
      </c>
      <c r="F86" s="2" t="s">
        <v>6039</v>
      </c>
      <c r="G86" s="2" t="s">
        <v>6040</v>
      </c>
      <c r="H86" s="2"/>
      <c r="I86" s="2"/>
      <c r="J86" s="2"/>
      <c r="K86" s="2"/>
      <c r="L86" s="2"/>
      <c r="M86" s="2"/>
      <c r="N86" s="2"/>
      <c r="O86" s="2"/>
      <c r="P86" s="2"/>
      <c r="Q86" s="2"/>
      <c r="R86" s="2"/>
      <c r="S86" s="2"/>
      <c r="T86" s="2"/>
      <c r="U86" s="2"/>
      <c r="V86" s="2"/>
      <c r="W86" s="2"/>
      <c r="X86" s="2"/>
      <c r="Y86" s="2"/>
      <c r="Z86" s="2"/>
    </row>
    <row r="87" ht="14.8" spans="1:26">
      <c r="A87" s="6" t="s">
        <v>387</v>
      </c>
      <c r="B87" s="2" t="s">
        <v>6041</v>
      </c>
      <c r="C87" s="2" t="s">
        <v>315</v>
      </c>
      <c r="D87" s="2">
        <v>137</v>
      </c>
      <c r="E87" s="2" t="s">
        <v>262</v>
      </c>
      <c r="F87" s="2" t="s">
        <v>6042</v>
      </c>
      <c r="G87" s="2" t="s">
        <v>6043</v>
      </c>
      <c r="H87" s="2"/>
      <c r="I87" s="2"/>
      <c r="J87" s="2"/>
      <c r="K87" s="2"/>
      <c r="L87" s="2"/>
      <c r="M87" s="2"/>
      <c r="N87" s="2"/>
      <c r="O87" s="2"/>
      <c r="P87" s="2"/>
      <c r="Q87" s="2"/>
      <c r="R87" s="2"/>
      <c r="S87" s="2"/>
      <c r="T87" s="2"/>
      <c r="U87" s="2"/>
      <c r="V87" s="2"/>
      <c r="W87" s="2"/>
      <c r="X87" s="2"/>
      <c r="Y87" s="2"/>
      <c r="Z87" s="2"/>
    </row>
    <row r="88" ht="14.8" spans="1:26">
      <c r="A88" s="6" t="s">
        <v>391</v>
      </c>
      <c r="B88" s="2" t="s">
        <v>6044</v>
      </c>
      <c r="C88" s="2" t="s">
        <v>315</v>
      </c>
      <c r="D88" s="2">
        <v>138</v>
      </c>
      <c r="E88" s="2" t="s">
        <v>262</v>
      </c>
      <c r="F88" s="2" t="s">
        <v>6045</v>
      </c>
      <c r="G88" s="2" t="s">
        <v>6046</v>
      </c>
      <c r="H88" s="2"/>
      <c r="I88" s="2"/>
      <c r="J88" s="2"/>
      <c r="K88" s="2"/>
      <c r="L88" s="2"/>
      <c r="M88" s="2"/>
      <c r="N88" s="2"/>
      <c r="O88" s="2"/>
      <c r="P88" s="2"/>
      <c r="Q88" s="2"/>
      <c r="R88" s="2"/>
      <c r="S88" s="2"/>
      <c r="T88" s="2"/>
      <c r="U88" s="2"/>
      <c r="V88" s="2"/>
      <c r="W88" s="2"/>
      <c r="X88" s="2"/>
      <c r="Y88" s="2"/>
      <c r="Z88" s="2"/>
    </row>
    <row r="89" ht="14.8" spans="1:26">
      <c r="A89" s="6" t="s">
        <v>395</v>
      </c>
      <c r="B89" s="2" t="s">
        <v>6047</v>
      </c>
      <c r="C89" s="2" t="s">
        <v>315</v>
      </c>
      <c r="D89" s="2">
        <v>139</v>
      </c>
      <c r="E89" s="2" t="s">
        <v>262</v>
      </c>
      <c r="F89" s="2" t="s">
        <v>6048</v>
      </c>
      <c r="G89" s="2" t="s">
        <v>6049</v>
      </c>
      <c r="H89" s="2"/>
      <c r="I89" s="2"/>
      <c r="J89" s="2"/>
      <c r="K89" s="2"/>
      <c r="L89" s="2"/>
      <c r="M89" s="2"/>
      <c r="N89" s="2"/>
      <c r="O89" s="2"/>
      <c r="P89" s="2"/>
      <c r="Q89" s="2"/>
      <c r="R89" s="2"/>
      <c r="S89" s="2"/>
      <c r="T89" s="2"/>
      <c r="U89" s="2"/>
      <c r="V89" s="2"/>
      <c r="W89" s="2"/>
      <c r="X89" s="2"/>
      <c r="Y89" s="2"/>
      <c r="Z89" s="2"/>
    </row>
    <row r="90" ht="14.8" spans="1:26">
      <c r="A90" s="6" t="s">
        <v>399</v>
      </c>
      <c r="B90" s="2" t="s">
        <v>3654</v>
      </c>
      <c r="C90" s="2" t="s">
        <v>315</v>
      </c>
      <c r="D90" s="2">
        <v>140</v>
      </c>
      <c r="E90" s="2" t="s">
        <v>262</v>
      </c>
      <c r="F90" s="2" t="s">
        <v>6050</v>
      </c>
      <c r="G90" s="2" t="s">
        <v>6051</v>
      </c>
      <c r="H90" s="2"/>
      <c r="I90" s="2"/>
      <c r="J90" s="2"/>
      <c r="K90" s="2"/>
      <c r="L90" s="2"/>
      <c r="M90" s="2"/>
      <c r="N90" s="2"/>
      <c r="O90" s="2"/>
      <c r="P90" s="2"/>
      <c r="Q90" s="2"/>
      <c r="R90" s="2"/>
      <c r="S90" s="2"/>
      <c r="T90" s="2"/>
      <c r="U90" s="2"/>
      <c r="V90" s="2"/>
      <c r="W90" s="2"/>
      <c r="X90" s="2"/>
      <c r="Y90" s="2"/>
      <c r="Z90" s="2"/>
    </row>
    <row r="91" ht="14.8" spans="1:26">
      <c r="A91" s="6" t="s">
        <v>403</v>
      </c>
      <c r="B91" s="2" t="s">
        <v>6052</v>
      </c>
      <c r="C91" s="2" t="s">
        <v>315</v>
      </c>
      <c r="D91" s="2">
        <v>141</v>
      </c>
      <c r="E91" s="2" t="s">
        <v>262</v>
      </c>
      <c r="F91" s="2" t="s">
        <v>6053</v>
      </c>
      <c r="G91" s="2" t="s">
        <v>6054</v>
      </c>
      <c r="H91" s="2"/>
      <c r="I91" s="2"/>
      <c r="J91" s="2"/>
      <c r="K91" s="2"/>
      <c r="L91" s="2"/>
      <c r="M91" s="2"/>
      <c r="N91" s="2"/>
      <c r="O91" s="2"/>
      <c r="P91" s="2"/>
      <c r="Q91" s="2"/>
      <c r="R91" s="2"/>
      <c r="S91" s="2"/>
      <c r="T91" s="2"/>
      <c r="U91" s="2"/>
      <c r="V91" s="2"/>
      <c r="W91" s="2"/>
      <c r="X91" s="2"/>
      <c r="Y91" s="2"/>
      <c r="Z91" s="2"/>
    </row>
    <row r="92" ht="14.8" spans="1:26">
      <c r="A92" s="6" t="s">
        <v>407</v>
      </c>
      <c r="B92" s="2" t="s">
        <v>6055</v>
      </c>
      <c r="C92" s="2" t="s">
        <v>315</v>
      </c>
      <c r="D92" s="2">
        <v>142</v>
      </c>
      <c r="E92" s="2" t="s">
        <v>262</v>
      </c>
      <c r="F92" s="2" t="s">
        <v>6056</v>
      </c>
      <c r="G92" s="2" t="s">
        <v>6057</v>
      </c>
      <c r="H92" s="2"/>
      <c r="I92" s="2"/>
      <c r="J92" s="2"/>
      <c r="K92" s="2"/>
      <c r="L92" s="2"/>
      <c r="M92" s="2"/>
      <c r="N92" s="2"/>
      <c r="O92" s="2"/>
      <c r="P92" s="2"/>
      <c r="Q92" s="2"/>
      <c r="R92" s="2"/>
      <c r="S92" s="2"/>
      <c r="T92" s="2"/>
      <c r="U92" s="2"/>
      <c r="V92" s="2"/>
      <c r="W92" s="2"/>
      <c r="X92" s="2"/>
      <c r="Y92" s="2"/>
      <c r="Z92" s="2"/>
    </row>
    <row r="93" ht="14.8" spans="1:26">
      <c r="A93" s="6" t="s">
        <v>411</v>
      </c>
      <c r="B93" s="2" t="s">
        <v>6058</v>
      </c>
      <c r="C93" s="2" t="s">
        <v>315</v>
      </c>
      <c r="D93" s="2">
        <v>143</v>
      </c>
      <c r="E93" s="2" t="s">
        <v>262</v>
      </c>
      <c r="F93" s="2" t="s">
        <v>6059</v>
      </c>
      <c r="G93" s="2" t="s">
        <v>6060</v>
      </c>
      <c r="H93" s="2"/>
      <c r="I93" s="2"/>
      <c r="J93" s="2"/>
      <c r="K93" s="2"/>
      <c r="L93" s="2"/>
      <c r="M93" s="2"/>
      <c r="N93" s="2"/>
      <c r="O93" s="2"/>
      <c r="P93" s="2"/>
      <c r="Q93" s="2"/>
      <c r="R93" s="2"/>
      <c r="S93" s="2"/>
      <c r="T93" s="2"/>
      <c r="U93" s="2"/>
      <c r="V93" s="2"/>
      <c r="W93" s="2"/>
      <c r="X93" s="2"/>
      <c r="Y93" s="2"/>
      <c r="Z93" s="2"/>
    </row>
    <row r="94" ht="14.8" spans="1:26">
      <c r="A94" s="6" t="s">
        <v>416</v>
      </c>
      <c r="B94" s="2" t="s">
        <v>6061</v>
      </c>
      <c r="C94" s="2" t="s">
        <v>315</v>
      </c>
      <c r="D94" s="2">
        <v>144</v>
      </c>
      <c r="E94" s="2" t="s">
        <v>262</v>
      </c>
      <c r="F94" s="2" t="s">
        <v>6062</v>
      </c>
      <c r="G94" s="2" t="s">
        <v>6063</v>
      </c>
      <c r="H94" s="2"/>
      <c r="I94" s="2"/>
      <c r="J94" s="2"/>
      <c r="K94" s="2"/>
      <c r="L94" s="2"/>
      <c r="M94" s="2"/>
      <c r="N94" s="2"/>
      <c r="O94" s="2"/>
      <c r="P94" s="2"/>
      <c r="Q94" s="2"/>
      <c r="R94" s="2"/>
      <c r="S94" s="2"/>
      <c r="T94" s="2"/>
      <c r="U94" s="2"/>
      <c r="V94" s="2"/>
      <c r="W94" s="2"/>
      <c r="X94" s="2"/>
      <c r="Y94" s="2"/>
      <c r="Z94" s="2"/>
    </row>
    <row r="95" ht="14.8" spans="1:26">
      <c r="A95" s="6" t="s">
        <v>421</v>
      </c>
      <c r="B95" s="2" t="s">
        <v>6064</v>
      </c>
      <c r="C95" s="2" t="s">
        <v>315</v>
      </c>
      <c r="D95" s="2">
        <v>145</v>
      </c>
      <c r="E95" s="2" t="s">
        <v>310</v>
      </c>
      <c r="F95" s="126" t="s">
        <v>6065</v>
      </c>
      <c r="G95" s="2" t="s">
        <v>6066</v>
      </c>
      <c r="H95" s="2"/>
      <c r="I95" s="2"/>
      <c r="J95" s="2"/>
      <c r="K95" s="2"/>
      <c r="L95" s="2"/>
      <c r="M95" s="2"/>
      <c r="N95" s="2"/>
      <c r="O95" s="2"/>
      <c r="P95" s="2"/>
      <c r="Q95" s="2"/>
      <c r="R95" s="2"/>
      <c r="S95" s="2"/>
      <c r="T95" s="2"/>
      <c r="U95" s="2"/>
      <c r="V95" s="2"/>
      <c r="W95" s="2"/>
      <c r="X95" s="2"/>
      <c r="Y95" s="2"/>
      <c r="Z95" s="2"/>
    </row>
    <row r="96" ht="14.8" spans="1:26">
      <c r="A96" s="6" t="s">
        <v>426</v>
      </c>
      <c r="B96" s="2" t="s">
        <v>6067</v>
      </c>
      <c r="C96" s="2" t="s">
        <v>315</v>
      </c>
      <c r="D96" s="2">
        <v>146</v>
      </c>
      <c r="E96" s="2" t="s">
        <v>262</v>
      </c>
      <c r="F96" s="2" t="s">
        <v>6068</v>
      </c>
      <c r="G96" s="2" t="s">
        <v>6069</v>
      </c>
      <c r="H96" s="2"/>
      <c r="I96" s="2"/>
      <c r="J96" s="2"/>
      <c r="K96" s="2"/>
      <c r="L96" s="2"/>
      <c r="M96" s="2"/>
      <c r="N96" s="2"/>
      <c r="O96" s="2"/>
      <c r="P96" s="2"/>
      <c r="Q96" s="2"/>
      <c r="R96" s="2"/>
      <c r="S96" s="2"/>
      <c r="T96" s="2"/>
      <c r="U96" s="2"/>
      <c r="V96" s="2"/>
      <c r="W96" s="2"/>
      <c r="X96" s="2"/>
      <c r="Y96" s="2"/>
      <c r="Z96" s="2"/>
    </row>
    <row r="97" ht="14.8" spans="1:26">
      <c r="A97" s="6" t="s">
        <v>431</v>
      </c>
      <c r="B97" s="2" t="s">
        <v>6070</v>
      </c>
      <c r="C97" s="2" t="s">
        <v>315</v>
      </c>
      <c r="D97" s="2">
        <v>147</v>
      </c>
      <c r="E97" s="2" t="s">
        <v>21</v>
      </c>
      <c r="F97" s="126" t="s">
        <v>6071</v>
      </c>
      <c r="G97" s="2" t="s">
        <v>6072</v>
      </c>
      <c r="H97" s="2"/>
      <c r="I97" s="2"/>
      <c r="J97" s="2"/>
      <c r="K97" s="2"/>
      <c r="L97" s="2"/>
      <c r="M97" s="2"/>
      <c r="N97" s="2"/>
      <c r="O97" s="2"/>
      <c r="P97" s="2"/>
      <c r="Q97" s="2"/>
      <c r="R97" s="2"/>
      <c r="S97" s="2"/>
      <c r="T97" s="2"/>
      <c r="U97" s="2"/>
      <c r="V97" s="2"/>
      <c r="W97" s="2"/>
      <c r="X97" s="2"/>
      <c r="Y97" s="2"/>
      <c r="Z97" s="2"/>
    </row>
    <row r="98" ht="14.8" spans="1:26">
      <c r="A98" s="6" t="s">
        <v>435</v>
      </c>
      <c r="B98" s="2" t="s">
        <v>6073</v>
      </c>
      <c r="C98" s="2" t="s">
        <v>315</v>
      </c>
      <c r="D98" s="2">
        <v>148</v>
      </c>
      <c r="E98" s="2" t="s">
        <v>21</v>
      </c>
      <c r="F98" s="2" t="s">
        <v>6074</v>
      </c>
      <c r="G98" s="2" t="s">
        <v>6075</v>
      </c>
      <c r="H98" s="2"/>
      <c r="I98" s="2"/>
      <c r="J98" s="2"/>
      <c r="K98" s="2"/>
      <c r="L98" s="2"/>
      <c r="M98" s="2"/>
      <c r="N98" s="2"/>
      <c r="O98" s="2"/>
      <c r="P98" s="2"/>
      <c r="Q98" s="2"/>
      <c r="R98" s="2"/>
      <c r="S98" s="2"/>
      <c r="T98" s="2"/>
      <c r="U98" s="2"/>
      <c r="V98" s="2"/>
      <c r="W98" s="2"/>
      <c r="X98" s="2"/>
      <c r="Y98" s="2"/>
      <c r="Z98" s="2"/>
    </row>
    <row r="99" ht="14.8" spans="1:26">
      <c r="A99" s="6" t="s">
        <v>439</v>
      </c>
      <c r="B99" s="2" t="s">
        <v>6076</v>
      </c>
      <c r="C99" s="2" t="s">
        <v>315</v>
      </c>
      <c r="D99" s="2">
        <v>149</v>
      </c>
      <c r="E99" s="2" t="s">
        <v>37</v>
      </c>
      <c r="F99" s="2" t="s">
        <v>6077</v>
      </c>
      <c r="G99" s="2" t="s">
        <v>6078</v>
      </c>
      <c r="H99" s="2"/>
      <c r="I99" s="2"/>
      <c r="J99" s="2"/>
      <c r="K99" s="2"/>
      <c r="L99" s="2"/>
      <c r="M99" s="2"/>
      <c r="N99" s="2"/>
      <c r="O99" s="2"/>
      <c r="P99" s="2"/>
      <c r="Q99" s="2"/>
      <c r="R99" s="2"/>
      <c r="S99" s="2"/>
      <c r="T99" s="2"/>
      <c r="U99" s="2"/>
      <c r="V99" s="2"/>
      <c r="W99" s="2"/>
      <c r="X99" s="2"/>
      <c r="Y99" s="2"/>
      <c r="Z99" s="2"/>
    </row>
    <row r="100" ht="14.8" spans="1:26">
      <c r="A100" s="6" t="s">
        <v>443</v>
      </c>
      <c r="B100" s="2" t="s">
        <v>6079</v>
      </c>
      <c r="C100" s="2" t="s">
        <v>315</v>
      </c>
      <c r="D100" s="2">
        <v>150</v>
      </c>
      <c r="E100" s="2" t="s">
        <v>310</v>
      </c>
      <c r="F100" s="2" t="s">
        <v>6080</v>
      </c>
      <c r="G100" s="2" t="s">
        <v>6081</v>
      </c>
      <c r="H100" s="2"/>
      <c r="I100" s="2"/>
      <c r="J100" s="2"/>
      <c r="K100" s="2"/>
      <c r="L100" s="2"/>
      <c r="M100" s="2"/>
      <c r="N100" s="2"/>
      <c r="O100" s="2"/>
      <c r="P100" s="2"/>
      <c r="Q100" s="2"/>
      <c r="R100" s="2"/>
      <c r="S100" s="2"/>
      <c r="T100" s="2"/>
      <c r="U100" s="2"/>
      <c r="V100" s="2"/>
      <c r="W100" s="2"/>
      <c r="X100" s="2"/>
      <c r="Y100" s="2"/>
      <c r="Z100" s="2"/>
    </row>
    <row r="101" ht="14.8" spans="1:26">
      <c r="A101" s="6" t="s">
        <v>448</v>
      </c>
      <c r="B101" s="2" t="s">
        <v>372</v>
      </c>
      <c r="C101" s="2" t="s">
        <v>315</v>
      </c>
      <c r="D101" s="2">
        <v>151</v>
      </c>
      <c r="E101" s="2" t="s">
        <v>310</v>
      </c>
      <c r="F101" s="2" t="s">
        <v>6082</v>
      </c>
      <c r="G101" s="2" t="s">
        <v>6083</v>
      </c>
      <c r="H101" s="2"/>
      <c r="I101" s="2"/>
      <c r="J101" s="2"/>
      <c r="K101" s="2"/>
      <c r="L101" s="2"/>
      <c r="M101" s="2"/>
      <c r="N101" s="2"/>
      <c r="O101" s="2"/>
      <c r="P101" s="2"/>
      <c r="Q101" s="2"/>
      <c r="R101" s="2"/>
      <c r="S101" s="2"/>
      <c r="T101" s="2"/>
      <c r="U101" s="2"/>
      <c r="V101" s="2"/>
      <c r="W101" s="2"/>
      <c r="X101" s="2"/>
      <c r="Y101" s="2"/>
      <c r="Z101" s="2"/>
    </row>
    <row r="102" ht="14.8" spans="1:26">
      <c r="A102" s="6" t="s">
        <v>452</v>
      </c>
      <c r="B102" s="2" t="s">
        <v>6084</v>
      </c>
      <c r="C102" s="2" t="s">
        <v>315</v>
      </c>
      <c r="D102" s="2">
        <v>152</v>
      </c>
      <c r="E102" s="2" t="s">
        <v>310</v>
      </c>
      <c r="F102" s="2" t="s">
        <v>6085</v>
      </c>
      <c r="G102" s="2" t="s">
        <v>6086</v>
      </c>
      <c r="H102" s="2"/>
      <c r="I102" s="2"/>
      <c r="J102" s="2"/>
      <c r="K102" s="2"/>
      <c r="L102" s="2"/>
      <c r="M102" s="2"/>
      <c r="N102" s="2"/>
      <c r="O102" s="2"/>
      <c r="P102" s="2"/>
      <c r="Q102" s="2"/>
      <c r="R102" s="2"/>
      <c r="S102" s="2"/>
      <c r="T102" s="2"/>
      <c r="U102" s="2"/>
      <c r="V102" s="2"/>
      <c r="W102" s="2"/>
      <c r="X102" s="2"/>
      <c r="Y102" s="2"/>
      <c r="Z102" s="2"/>
    </row>
    <row r="103" ht="14.8" spans="1:26">
      <c r="A103" s="6" t="s">
        <v>455</v>
      </c>
      <c r="B103" s="2" t="s">
        <v>6087</v>
      </c>
      <c r="C103" s="2" t="s">
        <v>315</v>
      </c>
      <c r="D103" s="2">
        <v>153</v>
      </c>
      <c r="E103" s="2" t="s">
        <v>21</v>
      </c>
      <c r="F103" s="2" t="s">
        <v>6088</v>
      </c>
      <c r="G103" s="2" t="s">
        <v>6089</v>
      </c>
      <c r="H103" s="2"/>
      <c r="I103" s="2"/>
      <c r="J103" s="2"/>
      <c r="K103" s="2"/>
      <c r="L103" s="2"/>
      <c r="M103" s="2"/>
      <c r="N103" s="2"/>
      <c r="O103" s="2"/>
      <c r="P103" s="2"/>
      <c r="Q103" s="2"/>
      <c r="R103" s="2"/>
      <c r="S103" s="2"/>
      <c r="T103" s="2"/>
      <c r="U103" s="2"/>
      <c r="V103" s="2"/>
      <c r="W103" s="2"/>
      <c r="X103" s="2"/>
      <c r="Y103" s="2"/>
      <c r="Z103" s="2"/>
    </row>
    <row r="104" ht="14.8" spans="1:26">
      <c r="A104" s="6" t="s">
        <v>460</v>
      </c>
      <c r="B104" s="2" t="s">
        <v>6090</v>
      </c>
      <c r="C104" s="2" t="s">
        <v>315</v>
      </c>
      <c r="D104" s="2">
        <v>154</v>
      </c>
      <c r="E104" s="2" t="s">
        <v>37</v>
      </c>
      <c r="F104" s="2" t="s">
        <v>6091</v>
      </c>
      <c r="G104" s="2" t="s">
        <v>6092</v>
      </c>
      <c r="H104" s="2"/>
      <c r="I104" s="2"/>
      <c r="J104" s="2"/>
      <c r="K104" s="2"/>
      <c r="L104" s="2"/>
      <c r="M104" s="2"/>
      <c r="N104" s="2"/>
      <c r="O104" s="2"/>
      <c r="P104" s="2"/>
      <c r="Q104" s="2"/>
      <c r="R104" s="2"/>
      <c r="S104" s="2"/>
      <c r="T104" s="2"/>
      <c r="U104" s="2"/>
      <c r="V104" s="2"/>
      <c r="W104" s="2"/>
      <c r="X104" s="2"/>
      <c r="Y104" s="2"/>
      <c r="Z104" s="2"/>
    </row>
    <row r="105" ht="14.8" spans="1:26">
      <c r="A105" s="6" t="s">
        <v>465</v>
      </c>
      <c r="B105" s="2" t="s">
        <v>6093</v>
      </c>
      <c r="C105" s="2" t="s">
        <v>315</v>
      </c>
      <c r="D105" s="2">
        <v>155</v>
      </c>
      <c r="E105" s="2" t="s">
        <v>21</v>
      </c>
      <c r="F105" s="2" t="s">
        <v>6094</v>
      </c>
      <c r="G105" s="2" t="s">
        <v>6095</v>
      </c>
      <c r="H105" s="2"/>
      <c r="I105" s="2"/>
      <c r="J105" s="2"/>
      <c r="K105" s="2"/>
      <c r="L105" s="2"/>
      <c r="M105" s="2"/>
      <c r="N105" s="2"/>
      <c r="O105" s="2"/>
      <c r="P105" s="2"/>
      <c r="Q105" s="2"/>
      <c r="R105" s="2"/>
      <c r="S105" s="2"/>
      <c r="T105" s="2"/>
      <c r="U105" s="2"/>
      <c r="V105" s="2"/>
      <c r="W105" s="2"/>
      <c r="X105" s="2"/>
      <c r="Y105" s="2"/>
      <c r="Z105" s="2"/>
    </row>
    <row r="106" ht="14.8" spans="1:26">
      <c r="A106" s="6" t="s">
        <v>469</v>
      </c>
      <c r="B106" s="2" t="s">
        <v>6096</v>
      </c>
      <c r="C106" s="2" t="s">
        <v>315</v>
      </c>
      <c r="D106" s="2">
        <v>156</v>
      </c>
      <c r="E106" s="2" t="s">
        <v>310</v>
      </c>
      <c r="F106" s="2" t="s">
        <v>6097</v>
      </c>
      <c r="G106" s="2" t="s">
        <v>6098</v>
      </c>
      <c r="H106" s="2"/>
      <c r="I106" s="2"/>
      <c r="J106" s="2"/>
      <c r="K106" s="2"/>
      <c r="L106" s="2"/>
      <c r="M106" s="2"/>
      <c r="N106" s="2"/>
      <c r="O106" s="2"/>
      <c r="P106" s="2"/>
      <c r="Q106" s="2"/>
      <c r="R106" s="2"/>
      <c r="S106" s="2"/>
      <c r="T106" s="2"/>
      <c r="U106" s="2"/>
      <c r="V106" s="2"/>
      <c r="W106" s="2"/>
      <c r="X106" s="2"/>
      <c r="Y106" s="2"/>
      <c r="Z106" s="2"/>
    </row>
    <row r="107" ht="14.8" spans="1:26">
      <c r="A107" s="6" t="s">
        <v>474</v>
      </c>
      <c r="B107" s="2" t="s">
        <v>6099</v>
      </c>
      <c r="C107" s="2" t="s">
        <v>315</v>
      </c>
      <c r="D107" s="2">
        <v>157</v>
      </c>
      <c r="E107" s="2" t="s">
        <v>310</v>
      </c>
      <c r="F107" s="2" t="s">
        <v>6100</v>
      </c>
      <c r="G107" s="2" t="s">
        <v>6101</v>
      </c>
      <c r="H107" s="2"/>
      <c r="I107" s="2"/>
      <c r="J107" s="2"/>
      <c r="K107" s="2"/>
      <c r="L107" s="2"/>
      <c r="M107" s="2"/>
      <c r="N107" s="2"/>
      <c r="O107" s="2"/>
      <c r="P107" s="2"/>
      <c r="Q107" s="2"/>
      <c r="R107" s="2"/>
      <c r="S107" s="2"/>
      <c r="T107" s="2"/>
      <c r="U107" s="2"/>
      <c r="V107" s="2"/>
      <c r="W107" s="2"/>
      <c r="X107" s="2"/>
      <c r="Y107" s="2"/>
      <c r="Z107" s="2"/>
    </row>
    <row r="108" ht="14.8" spans="1:26">
      <c r="A108" s="6" t="s">
        <v>479</v>
      </c>
      <c r="B108" s="125"/>
      <c r="C108" s="2" t="s">
        <v>315</v>
      </c>
      <c r="D108" s="2">
        <v>158</v>
      </c>
      <c r="E108" s="2" t="s">
        <v>310</v>
      </c>
      <c r="F108" s="125"/>
      <c r="G108" s="125"/>
      <c r="H108" s="2"/>
      <c r="I108" s="2"/>
      <c r="J108" s="2"/>
      <c r="K108" s="2"/>
      <c r="L108" s="2"/>
      <c r="M108" s="2"/>
      <c r="N108" s="2"/>
      <c r="O108" s="2"/>
      <c r="P108" s="2"/>
      <c r="Q108" s="2"/>
      <c r="R108" s="2"/>
      <c r="S108" s="2"/>
      <c r="T108" s="2"/>
      <c r="U108" s="2"/>
      <c r="V108" s="2"/>
      <c r="W108" s="2"/>
      <c r="X108" s="2"/>
      <c r="Y108" s="2"/>
      <c r="Z108" s="2"/>
    </row>
    <row r="109" ht="14.8" spans="1:26">
      <c r="A109" s="6" t="s">
        <v>483</v>
      </c>
      <c r="B109" s="2" t="s">
        <v>6102</v>
      </c>
      <c r="C109" s="2" t="s">
        <v>315</v>
      </c>
      <c r="D109" s="2">
        <v>159</v>
      </c>
      <c r="E109" s="2" t="s">
        <v>37</v>
      </c>
      <c r="F109" s="2" t="s">
        <v>6103</v>
      </c>
      <c r="G109" s="2" t="s">
        <v>6104</v>
      </c>
      <c r="H109" s="2"/>
      <c r="I109" s="2"/>
      <c r="J109" s="2"/>
      <c r="K109" s="2"/>
      <c r="L109" s="2"/>
      <c r="M109" s="2"/>
      <c r="N109" s="2"/>
      <c r="O109" s="2"/>
      <c r="P109" s="2"/>
      <c r="Q109" s="2"/>
      <c r="R109" s="2"/>
      <c r="S109" s="2"/>
      <c r="T109" s="2"/>
      <c r="U109" s="2"/>
      <c r="V109" s="2"/>
      <c r="W109" s="2"/>
      <c r="X109" s="2"/>
      <c r="Y109" s="2"/>
      <c r="Z109" s="2"/>
    </row>
    <row r="110" ht="14.8" spans="1:26">
      <c r="A110" s="6" t="s">
        <v>488</v>
      </c>
      <c r="B110" s="2" t="s">
        <v>6105</v>
      </c>
      <c r="C110" s="2" t="s">
        <v>315</v>
      </c>
      <c r="D110" s="2">
        <v>160</v>
      </c>
      <c r="E110" s="2" t="s">
        <v>37</v>
      </c>
      <c r="F110" s="2" t="s">
        <v>6106</v>
      </c>
      <c r="G110" s="2" t="s">
        <v>6107</v>
      </c>
      <c r="H110" s="2"/>
      <c r="I110" s="2"/>
      <c r="J110" s="2"/>
      <c r="K110" s="2"/>
      <c r="L110" s="2"/>
      <c r="M110" s="2"/>
      <c r="N110" s="2"/>
      <c r="O110" s="2"/>
      <c r="P110" s="2"/>
      <c r="Q110" s="2"/>
      <c r="R110" s="2"/>
      <c r="S110" s="2"/>
      <c r="T110" s="2"/>
      <c r="U110" s="2"/>
      <c r="V110" s="2"/>
      <c r="W110" s="2"/>
      <c r="X110" s="2"/>
      <c r="Y110" s="2"/>
      <c r="Z110" s="2"/>
    </row>
    <row r="111" ht="14.8" spans="1:26">
      <c r="A111" s="6" t="s">
        <v>493</v>
      </c>
      <c r="B111" s="2" t="s">
        <v>6108</v>
      </c>
      <c r="C111" s="2" t="s">
        <v>315</v>
      </c>
      <c r="D111" s="2">
        <v>161</v>
      </c>
      <c r="E111" s="2"/>
      <c r="F111" s="2" t="s">
        <v>6109</v>
      </c>
      <c r="G111" s="2" t="s">
        <v>6110</v>
      </c>
      <c r="H111" s="2"/>
      <c r="I111" s="2"/>
      <c r="J111" s="2"/>
      <c r="K111" s="2"/>
      <c r="L111" s="2"/>
      <c r="M111" s="2"/>
      <c r="N111" s="2"/>
      <c r="O111" s="2"/>
      <c r="P111" s="2"/>
      <c r="Q111" s="2"/>
      <c r="R111" s="2"/>
      <c r="S111" s="2"/>
      <c r="T111" s="2"/>
      <c r="U111" s="2"/>
      <c r="V111" s="2"/>
      <c r="W111" s="2"/>
      <c r="X111" s="2"/>
      <c r="Y111" s="2"/>
      <c r="Z111" s="2"/>
    </row>
    <row r="112" ht="14.8" spans="1:26">
      <c r="A112" s="6" t="s">
        <v>498</v>
      </c>
      <c r="B112" s="2" t="s">
        <v>6111</v>
      </c>
      <c r="C112" s="2" t="s">
        <v>315</v>
      </c>
      <c r="D112" s="2">
        <v>162</v>
      </c>
      <c r="E112" s="2"/>
      <c r="F112" s="2" t="s">
        <v>6112</v>
      </c>
      <c r="G112" s="2" t="s">
        <v>6113</v>
      </c>
      <c r="H112" s="2"/>
      <c r="I112" s="2"/>
      <c r="J112" s="2"/>
      <c r="K112" s="2"/>
      <c r="L112" s="2"/>
      <c r="M112" s="2"/>
      <c r="N112" s="2"/>
      <c r="O112" s="2"/>
      <c r="P112" s="2"/>
      <c r="Q112" s="2"/>
      <c r="R112" s="2"/>
      <c r="S112" s="2"/>
      <c r="T112" s="2"/>
      <c r="U112" s="2"/>
      <c r="V112" s="2"/>
      <c r="W112" s="2"/>
      <c r="X112" s="2"/>
      <c r="Y112" s="2"/>
      <c r="Z112" s="2"/>
    </row>
    <row r="113" ht="14.8" spans="1:26">
      <c r="A113" s="6" t="s">
        <v>503</v>
      </c>
      <c r="B113" s="2" t="s">
        <v>6114</v>
      </c>
      <c r="C113" s="2" t="s">
        <v>315</v>
      </c>
      <c r="D113" s="2">
        <v>163</v>
      </c>
      <c r="E113" s="2" t="s">
        <v>37</v>
      </c>
      <c r="F113" s="126" t="s">
        <v>6115</v>
      </c>
      <c r="G113" s="2" t="s">
        <v>6116</v>
      </c>
      <c r="H113" s="2"/>
      <c r="I113" s="2"/>
      <c r="J113" s="2"/>
      <c r="K113" s="2"/>
      <c r="L113" s="2"/>
      <c r="M113" s="2"/>
      <c r="N113" s="2"/>
      <c r="O113" s="2"/>
      <c r="P113" s="2"/>
      <c r="Q113" s="2"/>
      <c r="R113" s="2"/>
      <c r="S113" s="2"/>
      <c r="T113" s="2"/>
      <c r="U113" s="2"/>
      <c r="V113" s="2"/>
      <c r="W113" s="2"/>
      <c r="X113" s="2"/>
      <c r="Y113" s="2"/>
      <c r="Z113" s="2"/>
    </row>
    <row r="114" ht="14.8" spans="1:26">
      <c r="A114" s="6" t="s">
        <v>508</v>
      </c>
      <c r="B114" s="2" t="s">
        <v>6117</v>
      </c>
      <c r="C114" s="2" t="s">
        <v>315</v>
      </c>
      <c r="D114" s="2">
        <v>164</v>
      </c>
      <c r="E114" s="2" t="s">
        <v>37</v>
      </c>
      <c r="F114" s="2" t="s">
        <v>5908</v>
      </c>
      <c r="G114" s="2" t="s">
        <v>5909</v>
      </c>
      <c r="H114" s="2"/>
      <c r="I114" s="2"/>
      <c r="J114" s="2"/>
      <c r="K114" s="2"/>
      <c r="L114" s="2"/>
      <c r="M114" s="2"/>
      <c r="N114" s="2"/>
      <c r="O114" s="2"/>
      <c r="P114" s="2"/>
      <c r="Q114" s="2"/>
      <c r="R114" s="2"/>
      <c r="S114" s="2"/>
      <c r="T114" s="2"/>
      <c r="U114" s="2"/>
      <c r="V114" s="2"/>
      <c r="W114" s="2"/>
      <c r="X114" s="2"/>
      <c r="Y114" s="2"/>
      <c r="Z114" s="2"/>
    </row>
    <row r="115" ht="14.8" spans="1:26">
      <c r="A115" s="6" t="s">
        <v>513</v>
      </c>
      <c r="B115" s="2" t="s">
        <v>5904</v>
      </c>
      <c r="C115" s="2" t="s">
        <v>515</v>
      </c>
      <c r="D115" s="2">
        <v>165</v>
      </c>
      <c r="E115" s="2" t="s">
        <v>37</v>
      </c>
      <c r="F115" s="2" t="s">
        <v>6118</v>
      </c>
      <c r="G115" s="2" t="s">
        <v>5906</v>
      </c>
      <c r="H115" s="2"/>
      <c r="I115" s="2"/>
      <c r="J115" s="2"/>
      <c r="K115" s="2"/>
      <c r="L115" s="2"/>
      <c r="M115" s="2"/>
      <c r="N115" s="2"/>
      <c r="O115" s="2"/>
      <c r="P115" s="2"/>
      <c r="Q115" s="2"/>
      <c r="R115" s="2"/>
      <c r="S115" s="2"/>
      <c r="T115" s="2"/>
      <c r="U115" s="2"/>
      <c r="V115" s="2"/>
      <c r="W115" s="2"/>
      <c r="X115" s="2"/>
      <c r="Y115" s="2"/>
      <c r="Z115" s="2"/>
    </row>
    <row r="116" ht="14.8" spans="1:26">
      <c r="A116" s="6" t="s">
        <v>518</v>
      </c>
      <c r="B116" s="2" t="s">
        <v>6119</v>
      </c>
      <c r="C116" s="2" t="s">
        <v>519</v>
      </c>
      <c r="D116" s="2">
        <v>166</v>
      </c>
      <c r="E116" s="2" t="s">
        <v>37</v>
      </c>
      <c r="F116" s="2" t="s">
        <v>6120</v>
      </c>
      <c r="G116" s="2" t="s">
        <v>6121</v>
      </c>
      <c r="H116" s="2"/>
      <c r="I116" s="2"/>
      <c r="J116" s="2"/>
      <c r="K116" s="2"/>
      <c r="L116" s="2"/>
      <c r="M116" s="2"/>
      <c r="N116" s="2"/>
      <c r="O116" s="2"/>
      <c r="P116" s="2"/>
      <c r="Q116" s="2"/>
      <c r="R116" s="2"/>
      <c r="S116" s="2"/>
      <c r="T116" s="2"/>
      <c r="U116" s="2"/>
      <c r="V116" s="2"/>
      <c r="W116" s="2"/>
      <c r="X116" s="2"/>
      <c r="Y116" s="2"/>
      <c r="Z116" s="2"/>
    </row>
    <row r="117" ht="14.8" spans="1:26">
      <c r="A117" s="6" t="s">
        <v>520</v>
      </c>
      <c r="B117" s="2" t="s">
        <v>6122</v>
      </c>
      <c r="C117" s="2" t="s">
        <v>515</v>
      </c>
      <c r="D117" s="2">
        <v>167</v>
      </c>
      <c r="E117" s="2" t="s">
        <v>37</v>
      </c>
      <c r="F117" s="2" t="s">
        <v>6123</v>
      </c>
      <c r="G117" s="2" t="s">
        <v>6124</v>
      </c>
      <c r="H117" s="2"/>
      <c r="I117" s="2"/>
      <c r="J117" s="2"/>
      <c r="K117" s="2"/>
      <c r="L117" s="2"/>
      <c r="M117" s="2"/>
      <c r="N117" s="2"/>
      <c r="O117" s="2"/>
      <c r="P117" s="2"/>
      <c r="Q117" s="2"/>
      <c r="R117" s="2"/>
      <c r="S117" s="2"/>
      <c r="T117" s="2"/>
      <c r="U117" s="2"/>
      <c r="V117" s="2"/>
      <c r="W117" s="2"/>
      <c r="X117" s="2"/>
      <c r="Y117" s="2"/>
      <c r="Z117" s="2"/>
    </row>
    <row r="118" ht="14.8" spans="1:26">
      <c r="A118" s="6" t="s">
        <v>522</v>
      </c>
      <c r="B118" s="2" t="s">
        <v>6125</v>
      </c>
      <c r="C118" s="2" t="s">
        <v>524</v>
      </c>
      <c r="D118" s="2">
        <v>168</v>
      </c>
      <c r="E118" s="2" t="s">
        <v>37</v>
      </c>
      <c r="F118" s="2" t="s">
        <v>6126</v>
      </c>
      <c r="G118" s="2" t="s">
        <v>6127</v>
      </c>
      <c r="H118" s="2"/>
      <c r="I118" s="2"/>
      <c r="J118" s="2"/>
      <c r="K118" s="2"/>
      <c r="L118" s="2"/>
      <c r="M118" s="2"/>
      <c r="N118" s="2"/>
      <c r="O118" s="2"/>
      <c r="P118" s="2"/>
      <c r="Q118" s="2"/>
      <c r="R118" s="2"/>
      <c r="S118" s="2"/>
      <c r="T118" s="2"/>
      <c r="U118" s="2"/>
      <c r="V118" s="2"/>
      <c r="W118" s="2"/>
      <c r="X118" s="2"/>
      <c r="Y118" s="2"/>
      <c r="Z118" s="2"/>
    </row>
    <row r="119" ht="14.8" spans="1:26">
      <c r="A119" s="6" t="s">
        <v>527</v>
      </c>
      <c r="B119" s="2" t="s">
        <v>6128</v>
      </c>
      <c r="C119" s="2" t="s">
        <v>529</v>
      </c>
      <c r="D119" s="2">
        <v>169</v>
      </c>
      <c r="E119" s="2" t="s">
        <v>37</v>
      </c>
      <c r="F119" s="2" t="s">
        <v>6129</v>
      </c>
      <c r="G119" s="2" t="s">
        <v>6130</v>
      </c>
      <c r="H119" s="2"/>
      <c r="I119" s="2"/>
      <c r="J119" s="2"/>
      <c r="K119" s="2"/>
      <c r="L119" s="2"/>
      <c r="M119" s="2"/>
      <c r="N119" s="2"/>
      <c r="O119" s="2"/>
      <c r="P119" s="2"/>
      <c r="Q119" s="2"/>
      <c r="R119" s="2"/>
      <c r="S119" s="2"/>
      <c r="T119" s="2"/>
      <c r="U119" s="2"/>
      <c r="V119" s="2"/>
      <c r="W119" s="2"/>
      <c r="X119" s="2"/>
      <c r="Y119" s="2"/>
      <c r="Z119" s="2"/>
    </row>
    <row r="120" ht="14.8" spans="1:26">
      <c r="A120" s="6" t="s">
        <v>532</v>
      </c>
      <c r="B120" s="2" t="s">
        <v>6131</v>
      </c>
      <c r="C120" s="2" t="s">
        <v>534</v>
      </c>
      <c r="D120" s="2">
        <v>170</v>
      </c>
      <c r="E120" s="2" t="s">
        <v>37</v>
      </c>
      <c r="F120" s="2" t="s">
        <v>6132</v>
      </c>
      <c r="G120" s="2" t="s">
        <v>6133</v>
      </c>
      <c r="H120" s="2"/>
      <c r="I120" s="2"/>
      <c r="J120" s="2"/>
      <c r="K120" s="2"/>
      <c r="L120" s="2"/>
      <c r="M120" s="2"/>
      <c r="N120" s="2"/>
      <c r="O120" s="2"/>
      <c r="P120" s="2"/>
      <c r="Q120" s="2"/>
      <c r="R120" s="2"/>
      <c r="S120" s="2"/>
      <c r="T120" s="2"/>
      <c r="U120" s="2"/>
      <c r="V120" s="2"/>
      <c r="W120" s="2"/>
      <c r="X120" s="2"/>
      <c r="Y120" s="2"/>
      <c r="Z120" s="2"/>
    </row>
    <row r="121" ht="14.8" spans="1:26">
      <c r="A121" s="6" t="s">
        <v>537</v>
      </c>
      <c r="B121" s="2" t="s">
        <v>6134</v>
      </c>
      <c r="C121" s="2" t="s">
        <v>539</v>
      </c>
      <c r="D121" s="2">
        <v>171</v>
      </c>
      <c r="E121" s="2" t="s">
        <v>37</v>
      </c>
      <c r="F121" s="2" t="s">
        <v>6135</v>
      </c>
      <c r="G121" s="2" t="s">
        <v>6136</v>
      </c>
      <c r="H121" s="2"/>
      <c r="I121" s="2"/>
      <c r="J121" s="2"/>
      <c r="K121" s="2"/>
      <c r="L121" s="2"/>
      <c r="M121" s="2"/>
      <c r="N121" s="2"/>
      <c r="O121" s="2"/>
      <c r="P121" s="2"/>
      <c r="Q121" s="2"/>
      <c r="R121" s="2"/>
      <c r="S121" s="2"/>
      <c r="T121" s="2"/>
      <c r="U121" s="2"/>
      <c r="V121" s="2"/>
      <c r="W121" s="2"/>
      <c r="X121" s="2"/>
      <c r="Y121" s="2"/>
      <c r="Z121" s="2"/>
    </row>
    <row r="122" ht="14.8" spans="1:26">
      <c r="A122" s="6" t="s">
        <v>542</v>
      </c>
      <c r="B122" s="2" t="s">
        <v>6137</v>
      </c>
      <c r="C122" s="2" t="s">
        <v>539</v>
      </c>
      <c r="D122" s="2">
        <v>172</v>
      </c>
      <c r="E122" s="2" t="s">
        <v>37</v>
      </c>
      <c r="F122" s="2" t="s">
        <v>6138</v>
      </c>
      <c r="G122" s="2" t="s">
        <v>6139</v>
      </c>
      <c r="H122" s="2"/>
      <c r="I122" s="2"/>
      <c r="J122" s="2"/>
      <c r="K122" s="2"/>
      <c r="L122" s="2"/>
      <c r="M122" s="2"/>
      <c r="N122" s="2"/>
      <c r="O122" s="2"/>
      <c r="P122" s="2"/>
      <c r="Q122" s="2"/>
      <c r="R122" s="2"/>
      <c r="S122" s="2"/>
      <c r="T122" s="2"/>
      <c r="U122" s="2"/>
      <c r="V122" s="2"/>
      <c r="W122" s="2"/>
      <c r="X122" s="2"/>
      <c r="Y122" s="2"/>
      <c r="Z122" s="2"/>
    </row>
    <row r="123" ht="14.8" spans="1:26">
      <c r="A123" s="6" t="s">
        <v>546</v>
      </c>
      <c r="B123" s="2" t="s">
        <v>6140</v>
      </c>
      <c r="C123" s="2" t="s">
        <v>548</v>
      </c>
      <c r="D123" s="2">
        <v>173</v>
      </c>
      <c r="E123" s="2" t="s">
        <v>37</v>
      </c>
      <c r="F123" s="2" t="s">
        <v>6141</v>
      </c>
      <c r="G123" s="2" t="s">
        <v>6142</v>
      </c>
      <c r="H123" s="2"/>
      <c r="I123" s="2"/>
      <c r="J123" s="2"/>
      <c r="K123" s="2"/>
      <c r="L123" s="2"/>
      <c r="M123" s="2"/>
      <c r="N123" s="2"/>
      <c r="O123" s="2"/>
      <c r="P123" s="2"/>
      <c r="Q123" s="2"/>
      <c r="R123" s="2"/>
      <c r="S123" s="2"/>
      <c r="T123" s="2"/>
      <c r="U123" s="2"/>
      <c r="V123" s="2"/>
      <c r="W123" s="2"/>
      <c r="X123" s="2"/>
      <c r="Y123" s="2"/>
      <c r="Z123" s="2"/>
    </row>
    <row r="124" ht="14.8" spans="1:26">
      <c r="A124" s="6" t="s">
        <v>551</v>
      </c>
      <c r="B124" s="2" t="s">
        <v>6143</v>
      </c>
      <c r="C124" s="2" t="s">
        <v>553</v>
      </c>
      <c r="D124" s="2">
        <v>174</v>
      </c>
      <c r="E124" s="2" t="s">
        <v>37</v>
      </c>
      <c r="F124" s="2" t="s">
        <v>6144</v>
      </c>
      <c r="G124" s="2" t="s">
        <v>6145</v>
      </c>
      <c r="H124" s="2"/>
      <c r="I124" s="2"/>
      <c r="J124" s="2"/>
      <c r="K124" s="2"/>
      <c r="L124" s="2"/>
      <c r="M124" s="2"/>
      <c r="N124" s="2"/>
      <c r="O124" s="2"/>
      <c r="P124" s="2"/>
      <c r="Q124" s="2"/>
      <c r="R124" s="2"/>
      <c r="S124" s="2"/>
      <c r="T124" s="2"/>
      <c r="U124" s="2"/>
      <c r="V124" s="2"/>
      <c r="W124" s="2"/>
      <c r="X124" s="2"/>
      <c r="Y124" s="2"/>
      <c r="Z124" s="2"/>
    </row>
    <row r="125" ht="14.8" spans="1:26">
      <c r="A125" s="6" t="s">
        <v>556</v>
      </c>
      <c r="B125" s="2" t="s">
        <v>6146</v>
      </c>
      <c r="C125" s="2" t="s">
        <v>557</v>
      </c>
      <c r="D125" s="2">
        <v>175</v>
      </c>
      <c r="E125" s="2" t="s">
        <v>37</v>
      </c>
      <c r="F125" s="2" t="s">
        <v>6147</v>
      </c>
      <c r="G125" s="2" t="s">
        <v>6148</v>
      </c>
      <c r="H125" s="2"/>
      <c r="I125" s="2"/>
      <c r="J125" s="2"/>
      <c r="K125" s="2"/>
      <c r="L125" s="2"/>
      <c r="M125" s="2"/>
      <c r="N125" s="2"/>
      <c r="O125" s="2"/>
      <c r="P125" s="2"/>
      <c r="Q125" s="2"/>
      <c r="R125" s="2"/>
      <c r="S125" s="2"/>
      <c r="T125" s="2"/>
      <c r="U125" s="2"/>
      <c r="V125" s="2"/>
      <c r="W125" s="2"/>
      <c r="X125" s="2"/>
      <c r="Y125" s="2"/>
      <c r="Z125" s="2"/>
    </row>
    <row r="126" ht="14.8" spans="1:26">
      <c r="A126" s="6" t="s">
        <v>558</v>
      </c>
      <c r="B126" s="2" t="s">
        <v>6149</v>
      </c>
      <c r="C126" s="2" t="s">
        <v>560</v>
      </c>
      <c r="D126" s="2">
        <v>176</v>
      </c>
      <c r="E126" s="2" t="s">
        <v>37</v>
      </c>
      <c r="F126" s="2" t="s">
        <v>6150</v>
      </c>
      <c r="G126" s="2" t="s">
        <v>6151</v>
      </c>
      <c r="H126" s="2"/>
      <c r="I126" s="2"/>
      <c r="J126" s="2"/>
      <c r="K126" s="2"/>
      <c r="L126" s="2"/>
      <c r="M126" s="2"/>
      <c r="N126" s="2"/>
      <c r="O126" s="2"/>
      <c r="P126" s="2"/>
      <c r="Q126" s="2"/>
      <c r="R126" s="2"/>
      <c r="S126" s="2"/>
      <c r="T126" s="2"/>
      <c r="U126" s="2"/>
      <c r="V126" s="2"/>
      <c r="W126" s="2"/>
      <c r="X126" s="2"/>
      <c r="Y126" s="2"/>
      <c r="Z126" s="2"/>
    </row>
    <row r="127" ht="14.8" spans="1:26">
      <c r="A127" s="6" t="s">
        <v>563</v>
      </c>
      <c r="B127" s="2" t="s">
        <v>6152</v>
      </c>
      <c r="C127" s="2" t="s">
        <v>565</v>
      </c>
      <c r="D127" s="2">
        <v>177</v>
      </c>
      <c r="E127" s="2" t="s">
        <v>37</v>
      </c>
      <c r="F127" s="2" t="s">
        <v>6153</v>
      </c>
      <c r="G127" s="2" t="s">
        <v>6154</v>
      </c>
      <c r="H127" s="2"/>
      <c r="I127" s="2"/>
      <c r="J127" s="2"/>
      <c r="K127" s="2"/>
      <c r="L127" s="2"/>
      <c r="M127" s="2"/>
      <c r="N127" s="2"/>
      <c r="O127" s="2"/>
      <c r="P127" s="2"/>
      <c r="Q127" s="2"/>
      <c r="R127" s="2"/>
      <c r="S127" s="2"/>
      <c r="T127" s="2"/>
      <c r="U127" s="2"/>
      <c r="V127" s="2"/>
      <c r="W127" s="2"/>
      <c r="X127" s="2"/>
      <c r="Y127" s="2"/>
      <c r="Z127" s="2"/>
    </row>
    <row r="128" ht="14.8" spans="1:26">
      <c r="A128" s="6" t="s">
        <v>313</v>
      </c>
      <c r="B128" s="2" t="s">
        <v>682</v>
      </c>
      <c r="C128" s="2" t="s">
        <v>315</v>
      </c>
      <c r="D128" s="2">
        <v>178</v>
      </c>
      <c r="E128" s="2" t="s">
        <v>37</v>
      </c>
      <c r="F128" s="2" t="s">
        <v>6155</v>
      </c>
      <c r="G128" s="2" t="s">
        <v>6156</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6157</v>
      </c>
      <c r="C129" s="10" t="s">
        <v>570</v>
      </c>
      <c r="D129" s="2"/>
      <c r="E129" s="2"/>
      <c r="F129" s="2" t="s">
        <v>2309</v>
      </c>
      <c r="G129" s="2" t="s">
        <v>6158</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6159</v>
      </c>
      <c r="C130" s="2" t="s">
        <v>570</v>
      </c>
      <c r="D130" s="2"/>
      <c r="E130" s="2"/>
      <c r="F130" s="2" t="s">
        <v>2309</v>
      </c>
      <c r="G130" s="16" t="s">
        <v>6160</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6161</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6162</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6163</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6164</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6165</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6166</v>
      </c>
      <c r="C136" s="11" t="s">
        <v>578</v>
      </c>
      <c r="D136" s="2"/>
      <c r="E136" s="2"/>
      <c r="F136" s="2" t="s">
        <v>6167</v>
      </c>
      <c r="G136" s="2" t="s">
        <v>6168</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6169</v>
      </c>
      <c r="C137" s="11" t="s">
        <v>578</v>
      </c>
      <c r="D137" s="2"/>
      <c r="E137" s="2"/>
      <c r="F137" s="2" t="s">
        <v>6170</v>
      </c>
      <c r="G137" s="2" t="s">
        <v>6171</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6172</v>
      </c>
      <c r="C138" s="11" t="s">
        <v>578</v>
      </c>
      <c r="D138" s="2"/>
      <c r="E138" s="2"/>
      <c r="F138" s="2" t="s">
        <v>6173</v>
      </c>
      <c r="G138" s="2" t="s">
        <v>6174</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6175</v>
      </c>
      <c r="C139" s="11" t="s">
        <v>578</v>
      </c>
      <c r="D139" s="2"/>
      <c r="E139" s="2"/>
      <c r="F139" s="2" t="s">
        <v>6176</v>
      </c>
      <c r="G139" s="2" t="s">
        <v>6177</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6178</v>
      </c>
      <c r="C140" s="11" t="s">
        <v>578</v>
      </c>
      <c r="D140" s="2"/>
      <c r="E140" s="2"/>
      <c r="F140" s="2" t="s">
        <v>6179</v>
      </c>
      <c r="G140" s="2" t="s">
        <v>6180</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6181</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6182</v>
      </c>
      <c r="C145" s="11" t="s">
        <v>612</v>
      </c>
      <c r="D145" s="2"/>
      <c r="E145" s="2"/>
      <c r="F145" s="2" t="s">
        <v>6183</v>
      </c>
      <c r="G145" s="2" t="s">
        <v>6184</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6185</v>
      </c>
      <c r="C146" s="11" t="s">
        <v>612</v>
      </c>
      <c r="D146" s="2"/>
      <c r="E146" s="2"/>
      <c r="F146" s="2" t="s">
        <v>6186</v>
      </c>
      <c r="G146" s="2" t="s">
        <v>6187</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6188</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6189</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6190</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6191</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6192</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6193</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6194</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6195</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1239</v>
      </c>
      <c r="C157" s="13" t="s">
        <v>648</v>
      </c>
      <c r="D157" s="14">
        <v>120</v>
      </c>
      <c r="E157" s="13" t="s">
        <v>37</v>
      </c>
      <c r="F157" s="13" t="s">
        <v>649</v>
      </c>
      <c r="G157" s="13" t="s">
        <v>650</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6196</v>
      </c>
      <c r="C158" s="11" t="s">
        <v>653</v>
      </c>
      <c r="D158" s="2"/>
      <c r="E158" s="2"/>
      <c r="F158" s="2" t="s">
        <v>6197</v>
      </c>
      <c r="G158" s="16" t="s">
        <v>2341</v>
      </c>
      <c r="H158" s="2"/>
      <c r="I158" s="2"/>
      <c r="J158" s="2"/>
      <c r="K158" s="2"/>
      <c r="L158" s="2"/>
      <c r="M158" s="2"/>
      <c r="N158" s="2"/>
      <c r="O158" s="2"/>
      <c r="P158" s="2"/>
      <c r="Q158" s="2"/>
      <c r="R158" s="2"/>
      <c r="S158" s="2"/>
      <c r="T158" s="2"/>
      <c r="U158" s="2"/>
      <c r="V158" s="2"/>
      <c r="W158" s="2"/>
      <c r="X158" s="2"/>
      <c r="Y158" s="2"/>
      <c r="Z158" s="2"/>
    </row>
    <row r="159" ht="14.8" spans="1:26">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43 B145:B148 B155:B156">
      <formula1>ValidLondonCounterpartyNames</formula1>
    </dataValidation>
  </dataValidation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160"/>
  <sheetViews>
    <sheetView workbookViewId="0">
      <selection activeCell="A1" sqref="A1:Z1000"/>
    </sheetView>
  </sheetViews>
  <sheetFormatPr defaultColWidth="9" defaultRowHeight="14.8"/>
  <sheetData>
    <row r="1" spans="1:1">
      <c r="A1" s="1" t="s">
        <v>0</v>
      </c>
    </row>
    <row r="2" spans="1:4">
      <c r="A2" s="1" t="s">
        <v>1243</v>
      </c>
      <c r="D2" t="s">
        <v>2</v>
      </c>
    </row>
    <row r="3" spans="1:7">
      <c r="A3" s="3" t="s">
        <v>3</v>
      </c>
      <c r="B3" s="129" t="s">
        <v>4</v>
      </c>
      <c r="C3" s="130" t="s">
        <v>5</v>
      </c>
      <c r="D3" s="129" t="s">
        <v>6</v>
      </c>
      <c r="E3" s="129" t="s">
        <v>7</v>
      </c>
      <c r="F3" s="129" t="s">
        <v>8</v>
      </c>
      <c r="G3" s="129" t="s">
        <v>9</v>
      </c>
    </row>
    <row r="4" spans="1:7">
      <c r="A4" s="6" t="s">
        <v>10</v>
      </c>
      <c r="B4" t="s">
        <v>1456</v>
      </c>
      <c r="C4" t="s">
        <v>12</v>
      </c>
      <c r="F4" t="s">
        <v>6198</v>
      </c>
      <c r="G4" t="s">
        <v>6199</v>
      </c>
    </row>
    <row r="5" spans="1:7">
      <c r="A5" s="131" t="s">
        <v>15</v>
      </c>
      <c r="B5" t="s">
        <v>6200</v>
      </c>
      <c r="C5" t="s">
        <v>12</v>
      </c>
      <c r="F5" s="133" t="s">
        <v>6201</v>
      </c>
      <c r="G5" s="133" t="s">
        <v>6202</v>
      </c>
    </row>
    <row r="6" spans="1:7">
      <c r="A6" t="s">
        <v>18</v>
      </c>
      <c r="B6" t="s">
        <v>6203</v>
      </c>
      <c r="C6" t="s">
        <v>20</v>
      </c>
      <c r="D6" s="132">
        <v>340</v>
      </c>
      <c r="E6" t="s">
        <v>21</v>
      </c>
      <c r="F6" t="s">
        <v>6204</v>
      </c>
      <c r="G6" t="s">
        <v>6205</v>
      </c>
    </row>
    <row r="7" spans="1:7">
      <c r="A7" s="6" t="s">
        <v>24</v>
      </c>
      <c r="B7" t="s">
        <v>6206</v>
      </c>
      <c r="C7" t="s">
        <v>6207</v>
      </c>
      <c r="D7" s="132">
        <v>85</v>
      </c>
      <c r="E7" t="s">
        <v>21</v>
      </c>
      <c r="F7" t="s">
        <v>6208</v>
      </c>
      <c r="G7" t="s">
        <v>6209</v>
      </c>
    </row>
    <row r="8" spans="1:7">
      <c r="A8" s="6" t="s">
        <v>29</v>
      </c>
      <c r="B8" t="s">
        <v>6210</v>
      </c>
      <c r="C8" t="s">
        <v>31</v>
      </c>
      <c r="D8">
        <v>30</v>
      </c>
      <c r="E8" t="s">
        <v>32</v>
      </c>
      <c r="F8" t="s">
        <v>6211</v>
      </c>
      <c r="G8" t="s">
        <v>6212</v>
      </c>
    </row>
    <row r="9" spans="1:7">
      <c r="A9" s="6" t="s">
        <v>35</v>
      </c>
      <c r="B9" t="s">
        <v>6213</v>
      </c>
      <c r="C9" t="s">
        <v>31</v>
      </c>
      <c r="D9">
        <v>30</v>
      </c>
      <c r="E9" t="s">
        <v>37</v>
      </c>
      <c r="F9" t="s">
        <v>6214</v>
      </c>
      <c r="G9" s="134" t="s">
        <v>6215</v>
      </c>
    </row>
    <row r="10" spans="1:8">
      <c r="A10" s="6" t="s">
        <v>40</v>
      </c>
      <c r="B10" t="s">
        <v>6216</v>
      </c>
      <c r="C10" t="s">
        <v>4167</v>
      </c>
      <c r="D10">
        <v>106</v>
      </c>
      <c r="E10" t="s">
        <v>21</v>
      </c>
      <c r="F10" t="s">
        <v>6217</v>
      </c>
      <c r="G10" s="133" t="s">
        <v>6218</v>
      </c>
      <c r="H10" s="134"/>
    </row>
    <row r="11" spans="1:7">
      <c r="A11" s="6" t="s">
        <v>44</v>
      </c>
      <c r="B11" t="s">
        <v>6219</v>
      </c>
      <c r="C11" t="s">
        <v>46</v>
      </c>
      <c r="F11" t="s">
        <v>6220</v>
      </c>
      <c r="G11" t="s">
        <v>6221</v>
      </c>
    </row>
    <row r="12" spans="1:7">
      <c r="A12" t="s">
        <v>49</v>
      </c>
      <c r="B12" t="s">
        <v>6222</v>
      </c>
      <c r="C12" t="s">
        <v>4744</v>
      </c>
      <c r="F12" t="s">
        <v>6223</v>
      </c>
      <c r="G12" t="s">
        <v>6224</v>
      </c>
    </row>
    <row r="13" spans="1:7">
      <c r="A13" s="6" t="s">
        <v>54</v>
      </c>
      <c r="B13" t="s">
        <v>6225</v>
      </c>
      <c r="C13" t="s">
        <v>2579</v>
      </c>
      <c r="F13" t="s">
        <v>6226</v>
      </c>
      <c r="G13" t="s">
        <v>6227</v>
      </c>
    </row>
    <row r="14" spans="1:7">
      <c r="A14" s="6" t="s">
        <v>59</v>
      </c>
      <c r="B14" t="s">
        <v>6228</v>
      </c>
      <c r="C14" t="s">
        <v>61</v>
      </c>
      <c r="D14">
        <v>13</v>
      </c>
      <c r="E14" t="s">
        <v>37</v>
      </c>
      <c r="F14" t="s">
        <v>6229</v>
      </c>
      <c r="G14" t="s">
        <v>6230</v>
      </c>
    </row>
    <row r="15" spans="1:7">
      <c r="A15" s="6" t="s">
        <v>64</v>
      </c>
      <c r="B15" t="s">
        <v>2097</v>
      </c>
      <c r="C15" t="s">
        <v>66</v>
      </c>
      <c r="D15">
        <v>13</v>
      </c>
      <c r="E15" t="s">
        <v>32</v>
      </c>
      <c r="F15" t="s">
        <v>6231</v>
      </c>
      <c r="G15" t="s">
        <v>6232</v>
      </c>
    </row>
    <row r="16" spans="1:7">
      <c r="A16" s="6" t="s">
        <v>69</v>
      </c>
      <c r="B16" t="s">
        <v>6233</v>
      </c>
      <c r="C16" t="s">
        <v>66</v>
      </c>
      <c r="D16">
        <v>12</v>
      </c>
      <c r="E16" t="s">
        <v>71</v>
      </c>
      <c r="F16" t="s">
        <v>6234</v>
      </c>
      <c r="G16" t="s">
        <v>6235</v>
      </c>
    </row>
    <row r="17" spans="1:7">
      <c r="A17" s="6" t="s">
        <v>74</v>
      </c>
      <c r="B17" t="s">
        <v>6236</v>
      </c>
      <c r="C17" t="s">
        <v>76</v>
      </c>
      <c r="F17" t="s">
        <v>6237</v>
      </c>
      <c r="G17" t="s">
        <v>6238</v>
      </c>
    </row>
    <row r="18" spans="1:7">
      <c r="A18" s="6" t="s">
        <v>79</v>
      </c>
      <c r="B18" t="s">
        <v>6239</v>
      </c>
      <c r="C18" t="s">
        <v>81</v>
      </c>
      <c r="D18">
        <v>30</v>
      </c>
      <c r="E18" t="s">
        <v>37</v>
      </c>
      <c r="F18" t="s">
        <v>6240</v>
      </c>
      <c r="G18" t="s">
        <v>6241</v>
      </c>
    </row>
    <row r="19" spans="1:7">
      <c r="A19" s="6" t="s">
        <v>84</v>
      </c>
      <c r="B19" t="s">
        <v>6242</v>
      </c>
      <c r="C19" t="s">
        <v>86</v>
      </c>
      <c r="D19" s="132">
        <v>134</v>
      </c>
      <c r="E19" t="s">
        <v>21</v>
      </c>
      <c r="F19" t="s">
        <v>6243</v>
      </c>
      <c r="G19" s="134" t="s">
        <v>6244</v>
      </c>
    </row>
    <row r="20" spans="1:7">
      <c r="A20" s="6" t="s">
        <v>89</v>
      </c>
      <c r="B20" t="s">
        <v>6245</v>
      </c>
      <c r="C20" t="s">
        <v>91</v>
      </c>
      <c r="F20" t="s">
        <v>6246</v>
      </c>
      <c r="G20" s="134" t="s">
        <v>6247</v>
      </c>
    </row>
    <row r="21" spans="1:7">
      <c r="A21" s="6" t="s">
        <v>94</v>
      </c>
      <c r="B21" t="s">
        <v>6248</v>
      </c>
      <c r="C21" t="s">
        <v>925</v>
      </c>
      <c r="D21">
        <v>60</v>
      </c>
      <c r="E21" t="s">
        <v>71</v>
      </c>
      <c r="F21" t="s">
        <v>6249</v>
      </c>
      <c r="G21" t="s">
        <v>6250</v>
      </c>
    </row>
    <row r="22" spans="1:7">
      <c r="A22" s="6" t="s">
        <v>99</v>
      </c>
      <c r="B22" t="s">
        <v>6251</v>
      </c>
      <c r="C22" t="s">
        <v>925</v>
      </c>
      <c r="D22">
        <v>70</v>
      </c>
      <c r="E22" t="s">
        <v>32</v>
      </c>
      <c r="F22" t="s">
        <v>6252</v>
      </c>
      <c r="G22" t="s">
        <v>6253</v>
      </c>
    </row>
    <row r="23" spans="1:7">
      <c r="A23" s="6" t="s">
        <v>102</v>
      </c>
      <c r="B23" t="s">
        <v>6254</v>
      </c>
      <c r="C23" t="s">
        <v>108</v>
      </c>
      <c r="D23">
        <v>123</v>
      </c>
      <c r="E23" t="s">
        <v>21</v>
      </c>
      <c r="F23" t="s">
        <v>6255</v>
      </c>
      <c r="G23" t="s">
        <v>6256</v>
      </c>
    </row>
    <row r="24" spans="1:7">
      <c r="A24" s="6" t="s">
        <v>107</v>
      </c>
      <c r="B24" t="s">
        <v>6257</v>
      </c>
      <c r="C24" t="s">
        <v>104</v>
      </c>
      <c r="F24" t="s">
        <v>6258</v>
      </c>
      <c r="G24" t="s">
        <v>6259</v>
      </c>
    </row>
    <row r="25" spans="1:7">
      <c r="A25" s="6" t="s">
        <v>110</v>
      </c>
      <c r="B25" t="s">
        <v>6260</v>
      </c>
      <c r="C25" t="s">
        <v>112</v>
      </c>
      <c r="F25" t="s">
        <v>6261</v>
      </c>
      <c r="G25" t="s">
        <v>6262</v>
      </c>
    </row>
    <row r="26" spans="1:7">
      <c r="A26" t="s">
        <v>115</v>
      </c>
      <c r="B26" t="s">
        <v>6263</v>
      </c>
      <c r="C26" t="s">
        <v>117</v>
      </c>
      <c r="D26">
        <v>90</v>
      </c>
      <c r="E26" t="s">
        <v>32</v>
      </c>
      <c r="F26" t="s">
        <v>6264</v>
      </c>
      <c r="G26" t="s">
        <v>6265</v>
      </c>
    </row>
    <row r="27" spans="1:7">
      <c r="A27" s="6" t="s">
        <v>120</v>
      </c>
      <c r="B27" t="s">
        <v>6266</v>
      </c>
      <c r="C27" t="s">
        <v>117</v>
      </c>
      <c r="D27">
        <v>60</v>
      </c>
      <c r="E27" t="s">
        <v>37</v>
      </c>
      <c r="F27" t="s">
        <v>6267</v>
      </c>
      <c r="G27" s="134" t="s">
        <v>6268</v>
      </c>
    </row>
    <row r="28" spans="1:7">
      <c r="A28" s="6" t="s">
        <v>123</v>
      </c>
      <c r="B28" t="s">
        <v>6269</v>
      </c>
      <c r="C28" t="s">
        <v>117</v>
      </c>
      <c r="D28">
        <v>80</v>
      </c>
      <c r="E28" t="s">
        <v>245</v>
      </c>
      <c r="F28" t="s">
        <v>6270</v>
      </c>
      <c r="G28" t="s">
        <v>6271</v>
      </c>
    </row>
    <row r="29" spans="1:7">
      <c r="A29" s="6" t="s">
        <v>127</v>
      </c>
      <c r="B29" t="s">
        <v>6272</v>
      </c>
      <c r="C29" t="s">
        <v>117</v>
      </c>
      <c r="D29">
        <v>50</v>
      </c>
      <c r="E29" t="s">
        <v>37</v>
      </c>
      <c r="F29" t="s">
        <v>6273</v>
      </c>
      <c r="G29" t="s">
        <v>6274</v>
      </c>
    </row>
    <row r="30" spans="1:7">
      <c r="A30" s="6" t="s">
        <v>131</v>
      </c>
      <c r="B30" t="s">
        <v>6275</v>
      </c>
      <c r="C30" t="s">
        <v>117</v>
      </c>
      <c r="D30">
        <v>50</v>
      </c>
      <c r="E30" t="s">
        <v>32</v>
      </c>
      <c r="F30" t="s">
        <v>6276</v>
      </c>
      <c r="G30" t="s">
        <v>6277</v>
      </c>
    </row>
    <row r="31" spans="1:7">
      <c r="A31" s="6" t="s">
        <v>135</v>
      </c>
      <c r="B31" t="s">
        <v>6278</v>
      </c>
      <c r="C31" t="s">
        <v>117</v>
      </c>
      <c r="D31">
        <v>30</v>
      </c>
      <c r="E31" t="s">
        <v>32</v>
      </c>
      <c r="F31" t="s">
        <v>6279</v>
      </c>
      <c r="G31" t="s">
        <v>6280</v>
      </c>
    </row>
    <row r="32" spans="1:7">
      <c r="A32" s="6" t="s">
        <v>139</v>
      </c>
      <c r="B32" t="s">
        <v>6281</v>
      </c>
      <c r="C32" t="s">
        <v>141</v>
      </c>
      <c r="D32" s="132">
        <v>55</v>
      </c>
      <c r="E32" t="s">
        <v>37</v>
      </c>
      <c r="F32" t="s">
        <v>6282</v>
      </c>
      <c r="G32" t="s">
        <v>6283</v>
      </c>
    </row>
    <row r="33" spans="1:7">
      <c r="A33" s="6" t="s">
        <v>144</v>
      </c>
      <c r="B33" t="s">
        <v>6284</v>
      </c>
      <c r="C33" t="s">
        <v>146</v>
      </c>
      <c r="F33" t="s">
        <v>6285</v>
      </c>
      <c r="G33" t="s">
        <v>6286</v>
      </c>
    </row>
    <row r="34" spans="1:7">
      <c r="A34" s="6" t="s">
        <v>149</v>
      </c>
      <c r="B34" t="s">
        <v>6287</v>
      </c>
      <c r="C34" t="s">
        <v>151</v>
      </c>
      <c r="F34" t="s">
        <v>6288</v>
      </c>
      <c r="G34" t="s">
        <v>6289</v>
      </c>
    </row>
    <row r="35" spans="1:7">
      <c r="A35" s="6" t="s">
        <v>154</v>
      </c>
      <c r="B35" t="s">
        <v>6290</v>
      </c>
      <c r="C35" t="s">
        <v>156</v>
      </c>
      <c r="D35">
        <v>30</v>
      </c>
      <c r="E35" t="s">
        <v>37</v>
      </c>
      <c r="F35" t="s">
        <v>6291</v>
      </c>
      <c r="G35" t="s">
        <v>6292</v>
      </c>
    </row>
    <row r="36" spans="1:7">
      <c r="A36" s="6" t="s">
        <v>159</v>
      </c>
      <c r="B36" t="s">
        <v>6293</v>
      </c>
      <c r="C36" t="s">
        <v>161</v>
      </c>
      <c r="F36" t="s">
        <v>6294</v>
      </c>
      <c r="G36" t="s">
        <v>6295</v>
      </c>
    </row>
    <row r="37" spans="1:7">
      <c r="A37" s="6" t="s">
        <v>164</v>
      </c>
      <c r="B37" t="s">
        <v>6296</v>
      </c>
      <c r="C37" t="s">
        <v>166</v>
      </c>
      <c r="F37" t="s">
        <v>6297</v>
      </c>
      <c r="G37" t="s">
        <v>6298</v>
      </c>
    </row>
    <row r="38" spans="1:7">
      <c r="A38" s="6" t="s">
        <v>169</v>
      </c>
      <c r="B38" t="s">
        <v>6299</v>
      </c>
      <c r="C38" t="s">
        <v>171</v>
      </c>
      <c r="D38">
        <v>46</v>
      </c>
      <c r="E38" t="s">
        <v>37</v>
      </c>
      <c r="F38" t="s">
        <v>6300</v>
      </c>
      <c r="G38" t="s">
        <v>6301</v>
      </c>
    </row>
    <row r="39" spans="1:7">
      <c r="A39" s="6" t="s">
        <v>174</v>
      </c>
      <c r="B39" t="s">
        <v>6302</v>
      </c>
      <c r="C39" t="s">
        <v>171</v>
      </c>
      <c r="D39">
        <v>30</v>
      </c>
      <c r="E39" t="s">
        <v>37</v>
      </c>
      <c r="F39" t="s">
        <v>6303</v>
      </c>
      <c r="G39" t="s">
        <v>6304</v>
      </c>
    </row>
    <row r="40" spans="1:7">
      <c r="A40" s="6" t="s">
        <v>178</v>
      </c>
      <c r="B40" t="s">
        <v>6305</v>
      </c>
      <c r="C40" t="s">
        <v>180</v>
      </c>
      <c r="D40">
        <v>45</v>
      </c>
      <c r="E40" t="s">
        <v>37</v>
      </c>
      <c r="F40" t="s">
        <v>6306</v>
      </c>
      <c r="G40" t="s">
        <v>6306</v>
      </c>
    </row>
    <row r="41" spans="1:7">
      <c r="A41" s="6" t="s">
        <v>183</v>
      </c>
      <c r="B41" t="s">
        <v>6307</v>
      </c>
      <c r="C41" t="s">
        <v>185</v>
      </c>
      <c r="D41">
        <v>7</v>
      </c>
      <c r="E41" t="s">
        <v>37</v>
      </c>
      <c r="F41" t="s">
        <v>6308</v>
      </c>
      <c r="G41" t="s">
        <v>6309</v>
      </c>
    </row>
    <row r="42" spans="1:7">
      <c r="A42" s="6" t="s">
        <v>188</v>
      </c>
      <c r="B42" t="s">
        <v>6310</v>
      </c>
      <c r="C42" t="s">
        <v>190</v>
      </c>
      <c r="D42">
        <v>650</v>
      </c>
      <c r="E42" t="s">
        <v>37</v>
      </c>
      <c r="F42" t="s">
        <v>6311</v>
      </c>
      <c r="G42" t="s">
        <v>6312</v>
      </c>
    </row>
    <row r="43" spans="1:7">
      <c r="A43" s="6" t="s">
        <v>193</v>
      </c>
      <c r="B43" t="s">
        <v>6313</v>
      </c>
      <c r="C43" t="s">
        <v>195</v>
      </c>
      <c r="F43" t="s">
        <v>6314</v>
      </c>
      <c r="G43" t="s">
        <v>6315</v>
      </c>
    </row>
    <row r="44" spans="1:7">
      <c r="A44" s="6" t="s">
        <v>198</v>
      </c>
      <c r="B44" t="s">
        <v>6316</v>
      </c>
      <c r="C44" t="s">
        <v>200</v>
      </c>
      <c r="D44">
        <v>30</v>
      </c>
      <c r="E44" t="s">
        <v>21</v>
      </c>
      <c r="F44" t="s">
        <v>6317</v>
      </c>
      <c r="G44" t="s">
        <v>6318</v>
      </c>
    </row>
    <row r="45" spans="1:7">
      <c r="A45" s="6" t="s">
        <v>203</v>
      </c>
      <c r="B45" t="s">
        <v>6319</v>
      </c>
      <c r="C45" t="s">
        <v>200</v>
      </c>
      <c r="D45" s="132">
        <v>80</v>
      </c>
      <c r="E45" t="s">
        <v>21</v>
      </c>
      <c r="F45" t="s">
        <v>6320</v>
      </c>
      <c r="G45" t="s">
        <v>6321</v>
      </c>
    </row>
    <row r="46" spans="1:7">
      <c r="A46" s="6" t="s">
        <v>207</v>
      </c>
      <c r="B46" t="s">
        <v>6322</v>
      </c>
      <c r="C46" t="s">
        <v>209</v>
      </c>
      <c r="D46">
        <v>5</v>
      </c>
      <c r="E46" t="s">
        <v>37</v>
      </c>
      <c r="F46" t="s">
        <v>6323</v>
      </c>
      <c r="G46" t="s">
        <v>6324</v>
      </c>
    </row>
    <row r="47" spans="1:7">
      <c r="A47" s="6" t="s">
        <v>212</v>
      </c>
      <c r="B47" s="133" t="s">
        <v>6325</v>
      </c>
      <c r="C47" t="s">
        <v>214</v>
      </c>
      <c r="D47" s="132">
        <v>20</v>
      </c>
      <c r="E47" t="s">
        <v>37</v>
      </c>
      <c r="F47" t="s">
        <v>6326</v>
      </c>
      <c r="G47" t="s">
        <v>6327</v>
      </c>
    </row>
    <row r="48" spans="1:7">
      <c r="A48" s="6" t="s">
        <v>217</v>
      </c>
      <c r="B48" t="s">
        <v>6328</v>
      </c>
      <c r="C48" t="s">
        <v>219</v>
      </c>
      <c r="F48" t="s">
        <v>6329</v>
      </c>
      <c r="G48" t="s">
        <v>6330</v>
      </c>
    </row>
    <row r="49" spans="1:7">
      <c r="A49" s="6" t="s">
        <v>222</v>
      </c>
      <c r="B49" t="s">
        <v>6331</v>
      </c>
      <c r="C49" t="s">
        <v>224</v>
      </c>
      <c r="D49" s="132">
        <v>96</v>
      </c>
      <c r="E49" t="s">
        <v>21</v>
      </c>
      <c r="F49" t="s">
        <v>6332</v>
      </c>
      <c r="G49" t="s">
        <v>6333</v>
      </c>
    </row>
    <row r="50" spans="1:7">
      <c r="A50" s="6" t="s">
        <v>227</v>
      </c>
      <c r="B50" t="s">
        <v>6334</v>
      </c>
      <c r="C50" t="s">
        <v>229</v>
      </c>
      <c r="D50" s="132">
        <v>66</v>
      </c>
      <c r="E50" t="s">
        <v>21</v>
      </c>
      <c r="F50" t="s">
        <v>6335</v>
      </c>
      <c r="G50" t="s">
        <v>6336</v>
      </c>
    </row>
    <row r="51" spans="1:7">
      <c r="A51" s="6" t="s">
        <v>231</v>
      </c>
      <c r="B51" t="s">
        <v>6337</v>
      </c>
      <c r="C51" t="s">
        <v>224</v>
      </c>
      <c r="D51" s="132">
        <v>156</v>
      </c>
      <c r="E51" t="s">
        <v>21</v>
      </c>
      <c r="F51" t="s">
        <v>6338</v>
      </c>
      <c r="G51" t="s">
        <v>6339</v>
      </c>
    </row>
    <row r="52" spans="1:7">
      <c r="A52" s="6" t="s">
        <v>234</v>
      </c>
      <c r="B52" t="s">
        <v>6340</v>
      </c>
      <c r="C52" t="s">
        <v>236</v>
      </c>
      <c r="D52">
        <v>30</v>
      </c>
      <c r="E52" t="s">
        <v>37</v>
      </c>
      <c r="F52" t="s">
        <v>6341</v>
      </c>
      <c r="G52" t="s">
        <v>6342</v>
      </c>
    </row>
    <row r="53" spans="1:7">
      <c r="A53" s="6" t="s">
        <v>239</v>
      </c>
      <c r="B53" t="s">
        <v>6343</v>
      </c>
      <c r="C53" t="s">
        <v>236</v>
      </c>
      <c r="D53" s="132">
        <v>230</v>
      </c>
      <c r="E53" t="s">
        <v>21</v>
      </c>
      <c r="F53" t="s">
        <v>6344</v>
      </c>
      <c r="G53" t="s">
        <v>6345</v>
      </c>
    </row>
    <row r="54" spans="1:7">
      <c r="A54" s="6" t="s">
        <v>243</v>
      </c>
      <c r="B54" t="s">
        <v>6346</v>
      </c>
      <c r="C54" t="s">
        <v>236</v>
      </c>
      <c r="D54" s="132">
        <v>100</v>
      </c>
      <c r="E54" t="s">
        <v>245</v>
      </c>
      <c r="F54" t="s">
        <v>6347</v>
      </c>
      <c r="G54" t="s">
        <v>6348</v>
      </c>
    </row>
    <row r="55" spans="1:7">
      <c r="A55" s="6" t="s">
        <v>248</v>
      </c>
      <c r="B55" t="s">
        <v>6349</v>
      </c>
      <c r="C55" t="s">
        <v>236</v>
      </c>
      <c r="D55" s="132">
        <v>100</v>
      </c>
      <c r="E55" t="s">
        <v>245</v>
      </c>
      <c r="F55" t="s">
        <v>6350</v>
      </c>
      <c r="G55" t="s">
        <v>6351</v>
      </c>
    </row>
    <row r="56" spans="1:7">
      <c r="A56" s="6" t="s">
        <v>252</v>
      </c>
      <c r="B56" t="s">
        <v>6352</v>
      </c>
      <c r="C56" t="s">
        <v>236</v>
      </c>
      <c r="D56">
        <v>35</v>
      </c>
      <c r="E56" t="s">
        <v>37</v>
      </c>
      <c r="F56" t="s">
        <v>6353</v>
      </c>
      <c r="G56" t="s">
        <v>6354</v>
      </c>
    </row>
    <row r="57" spans="1:7">
      <c r="A57" s="6" t="s">
        <v>256</v>
      </c>
      <c r="B57" t="s">
        <v>6355</v>
      </c>
      <c r="C57" t="s">
        <v>236</v>
      </c>
      <c r="D57">
        <v>40</v>
      </c>
      <c r="E57" t="s">
        <v>37</v>
      </c>
      <c r="F57" t="s">
        <v>6356</v>
      </c>
      <c r="G57" t="s">
        <v>6357</v>
      </c>
    </row>
    <row r="58" spans="1:7">
      <c r="A58" s="6" t="s">
        <v>260</v>
      </c>
      <c r="B58" t="s">
        <v>6358</v>
      </c>
      <c r="C58" t="s">
        <v>236</v>
      </c>
      <c r="D58">
        <v>8</v>
      </c>
      <c r="E58" t="s">
        <v>262</v>
      </c>
      <c r="F58" t="s">
        <v>6359</v>
      </c>
      <c r="G58" t="s">
        <v>6360</v>
      </c>
    </row>
    <row r="59" spans="1:7">
      <c r="A59" s="6" t="s">
        <v>265</v>
      </c>
      <c r="B59" t="s">
        <v>6361</v>
      </c>
      <c r="C59" t="s">
        <v>236</v>
      </c>
      <c r="D59">
        <v>30</v>
      </c>
      <c r="E59" t="s">
        <v>37</v>
      </c>
      <c r="F59" t="s">
        <v>6362</v>
      </c>
      <c r="G59" t="s">
        <v>6363</v>
      </c>
    </row>
    <row r="60" spans="1:7">
      <c r="A60" s="6" t="s">
        <v>269</v>
      </c>
      <c r="B60" t="s">
        <v>6364</v>
      </c>
      <c r="C60" t="s">
        <v>236</v>
      </c>
      <c r="D60">
        <v>35</v>
      </c>
      <c r="E60" t="s">
        <v>37</v>
      </c>
      <c r="F60" t="s">
        <v>6365</v>
      </c>
      <c r="G60" t="s">
        <v>6366</v>
      </c>
    </row>
    <row r="61" spans="1:7">
      <c r="A61" s="6" t="s">
        <v>273</v>
      </c>
      <c r="B61" t="s">
        <v>6367</v>
      </c>
      <c r="C61" t="s">
        <v>236</v>
      </c>
      <c r="D61">
        <v>30</v>
      </c>
      <c r="E61" t="s">
        <v>32</v>
      </c>
      <c r="F61" t="s">
        <v>6368</v>
      </c>
      <c r="G61" t="s">
        <v>6369</v>
      </c>
    </row>
    <row r="62" spans="1:7">
      <c r="A62" s="6" t="s">
        <v>277</v>
      </c>
      <c r="B62" t="s">
        <v>6370</v>
      </c>
      <c r="C62" t="s">
        <v>236</v>
      </c>
      <c r="D62">
        <v>37</v>
      </c>
      <c r="E62" t="s">
        <v>37</v>
      </c>
      <c r="F62" t="s">
        <v>6371</v>
      </c>
      <c r="G62" t="s">
        <v>6372</v>
      </c>
    </row>
    <row r="63" spans="1:7">
      <c r="A63" s="6" t="s">
        <v>281</v>
      </c>
      <c r="B63" t="s">
        <v>6373</v>
      </c>
      <c r="C63" t="s">
        <v>236</v>
      </c>
      <c r="D63">
        <v>40</v>
      </c>
      <c r="E63" t="s">
        <v>37</v>
      </c>
      <c r="F63" t="s">
        <v>6374</v>
      </c>
      <c r="G63" t="s">
        <v>6375</v>
      </c>
    </row>
    <row r="64" spans="1:7">
      <c r="A64" s="6" t="s">
        <v>285</v>
      </c>
      <c r="B64" t="s">
        <v>6376</v>
      </c>
      <c r="C64" t="s">
        <v>286</v>
      </c>
      <c r="D64" s="132">
        <v>35</v>
      </c>
      <c r="E64" t="s">
        <v>37</v>
      </c>
      <c r="F64" t="s">
        <v>6377</v>
      </c>
      <c r="G64" t="s">
        <v>6378</v>
      </c>
    </row>
    <row r="65" spans="1:7">
      <c r="A65" s="6" t="s">
        <v>288</v>
      </c>
      <c r="B65" t="s">
        <v>6379</v>
      </c>
      <c r="C65" t="s">
        <v>290</v>
      </c>
      <c r="D65">
        <v>300</v>
      </c>
      <c r="E65" t="s">
        <v>37</v>
      </c>
      <c r="F65" t="s">
        <v>6380</v>
      </c>
      <c r="G65" t="s">
        <v>6381</v>
      </c>
    </row>
    <row r="66" spans="1:7">
      <c r="A66" s="6" t="s">
        <v>293</v>
      </c>
      <c r="B66" t="s">
        <v>6382</v>
      </c>
      <c r="C66" t="s">
        <v>290</v>
      </c>
      <c r="D66">
        <v>35</v>
      </c>
      <c r="E66" t="s">
        <v>37</v>
      </c>
      <c r="F66" t="s">
        <v>6383</v>
      </c>
      <c r="G66" t="s">
        <v>6384</v>
      </c>
    </row>
    <row r="67" spans="1:7">
      <c r="A67" s="6" t="s">
        <v>297</v>
      </c>
      <c r="B67" t="s">
        <v>6385</v>
      </c>
      <c r="C67" t="s">
        <v>1807</v>
      </c>
      <c r="D67" s="132">
        <v>1000</v>
      </c>
      <c r="E67" t="s">
        <v>37</v>
      </c>
      <c r="F67" t="s">
        <v>6386</v>
      </c>
      <c r="G67" t="s">
        <v>6387</v>
      </c>
    </row>
    <row r="68" spans="1:7">
      <c r="A68" s="6" t="s">
        <v>302</v>
      </c>
      <c r="B68" t="s">
        <v>6388</v>
      </c>
      <c r="C68" t="s">
        <v>304</v>
      </c>
      <c r="F68" t="s">
        <v>6389</v>
      </c>
      <c r="G68" t="s">
        <v>6390</v>
      </c>
    </row>
    <row r="69" spans="1:7">
      <c r="A69" s="6" t="s">
        <v>307</v>
      </c>
      <c r="B69" s="133" t="s">
        <v>6391</v>
      </c>
      <c r="C69" t="s">
        <v>309</v>
      </c>
      <c r="D69" s="132">
        <v>45</v>
      </c>
      <c r="E69" t="s">
        <v>310</v>
      </c>
      <c r="F69" t="s">
        <v>6392</v>
      </c>
      <c r="G69" t="s">
        <v>6393</v>
      </c>
    </row>
    <row r="70" spans="1:7">
      <c r="A70" s="6" t="s">
        <v>317</v>
      </c>
      <c r="B70" t="s">
        <v>6394</v>
      </c>
      <c r="C70" t="s">
        <v>319</v>
      </c>
      <c r="D70">
        <v>400</v>
      </c>
      <c r="E70" t="s">
        <v>245</v>
      </c>
      <c r="F70" t="s">
        <v>6395</v>
      </c>
      <c r="G70" t="s">
        <v>6396</v>
      </c>
    </row>
    <row r="71" spans="1:7">
      <c r="A71" s="6" t="s">
        <v>321</v>
      </c>
      <c r="B71" t="s">
        <v>6397</v>
      </c>
      <c r="C71" t="s">
        <v>315</v>
      </c>
      <c r="D71">
        <v>13</v>
      </c>
      <c r="E71" t="s">
        <v>262</v>
      </c>
      <c r="F71" t="s">
        <v>6398</v>
      </c>
      <c r="G71" t="s">
        <v>6399</v>
      </c>
    </row>
    <row r="72" spans="1:7">
      <c r="A72" s="6" t="s">
        <v>325</v>
      </c>
      <c r="B72" t="s">
        <v>6400</v>
      </c>
      <c r="C72" t="s">
        <v>327</v>
      </c>
      <c r="D72" s="132">
        <v>25</v>
      </c>
      <c r="E72" t="s">
        <v>310</v>
      </c>
      <c r="F72" t="s">
        <v>6401</v>
      </c>
      <c r="G72" t="s">
        <v>6402</v>
      </c>
    </row>
    <row r="73" spans="1:7">
      <c r="A73" s="6" t="s">
        <v>330</v>
      </c>
      <c r="B73" t="s">
        <v>6403</v>
      </c>
      <c r="C73" t="s">
        <v>315</v>
      </c>
      <c r="D73">
        <v>50</v>
      </c>
      <c r="E73" t="s">
        <v>37</v>
      </c>
      <c r="F73" t="s">
        <v>6404</v>
      </c>
      <c r="G73" t="s">
        <v>6405</v>
      </c>
    </row>
    <row r="74" spans="1:7">
      <c r="A74" s="6" t="s">
        <v>334</v>
      </c>
      <c r="B74" t="s">
        <v>6406</v>
      </c>
      <c r="C74" t="s">
        <v>315</v>
      </c>
      <c r="D74">
        <v>50</v>
      </c>
      <c r="E74" t="s">
        <v>37</v>
      </c>
      <c r="F74" t="s">
        <v>6407</v>
      </c>
      <c r="G74" t="s">
        <v>6408</v>
      </c>
    </row>
    <row r="75" spans="1:7">
      <c r="A75" s="6" t="s">
        <v>338</v>
      </c>
      <c r="B75" t="s">
        <v>6409</v>
      </c>
      <c r="C75" t="s">
        <v>315</v>
      </c>
      <c r="D75">
        <v>125</v>
      </c>
      <c r="E75" t="s">
        <v>262</v>
      </c>
      <c r="F75" t="s">
        <v>6410</v>
      </c>
      <c r="G75" t="s">
        <v>6411</v>
      </c>
    </row>
    <row r="76" spans="1:7">
      <c r="A76" s="6" t="s">
        <v>342</v>
      </c>
      <c r="B76" t="s">
        <v>6412</v>
      </c>
      <c r="C76" t="s">
        <v>315</v>
      </c>
      <c r="D76">
        <v>126</v>
      </c>
      <c r="E76" t="s">
        <v>262</v>
      </c>
      <c r="F76" t="s">
        <v>6413</v>
      </c>
      <c r="G76" t="s">
        <v>6414</v>
      </c>
    </row>
    <row r="77" spans="1:7">
      <c r="A77" s="6" t="s">
        <v>346</v>
      </c>
      <c r="B77" t="s">
        <v>6415</v>
      </c>
      <c r="C77" t="s">
        <v>315</v>
      </c>
      <c r="D77">
        <v>127</v>
      </c>
      <c r="E77" t="s">
        <v>262</v>
      </c>
      <c r="F77" t="s">
        <v>6416</v>
      </c>
      <c r="G77" t="s">
        <v>6417</v>
      </c>
    </row>
    <row r="78" spans="1:7">
      <c r="A78" s="6" t="s">
        <v>350</v>
      </c>
      <c r="B78" t="s">
        <v>2379</v>
      </c>
      <c r="C78" t="s">
        <v>315</v>
      </c>
      <c r="D78">
        <v>128</v>
      </c>
      <c r="E78" t="s">
        <v>262</v>
      </c>
      <c r="F78" t="s">
        <v>6418</v>
      </c>
      <c r="G78" t="s">
        <v>6419</v>
      </c>
    </row>
    <row r="79" spans="1:7">
      <c r="A79" s="6" t="s">
        <v>354</v>
      </c>
      <c r="B79" t="s">
        <v>6420</v>
      </c>
      <c r="C79" t="s">
        <v>315</v>
      </c>
      <c r="D79">
        <v>129</v>
      </c>
      <c r="E79" t="s">
        <v>262</v>
      </c>
      <c r="F79" t="s">
        <v>6421</v>
      </c>
      <c r="G79" t="s">
        <v>6422</v>
      </c>
    </row>
    <row r="80" spans="1:7">
      <c r="A80" s="6" t="s">
        <v>359</v>
      </c>
      <c r="B80" t="s">
        <v>6423</v>
      </c>
      <c r="C80" t="s">
        <v>315</v>
      </c>
      <c r="D80">
        <v>130</v>
      </c>
      <c r="E80" t="s">
        <v>262</v>
      </c>
      <c r="F80" t="s">
        <v>6424</v>
      </c>
      <c r="G80" t="s">
        <v>6425</v>
      </c>
    </row>
    <row r="81" spans="1:7">
      <c r="A81" s="6" t="s">
        <v>364</v>
      </c>
      <c r="B81" t="s">
        <v>1325</v>
      </c>
      <c r="C81" t="s">
        <v>315</v>
      </c>
      <c r="D81">
        <v>131</v>
      </c>
      <c r="E81" t="s">
        <v>262</v>
      </c>
      <c r="F81" t="s">
        <v>6426</v>
      </c>
      <c r="G81" t="s">
        <v>6427</v>
      </c>
    </row>
    <row r="82" spans="1:7">
      <c r="A82" s="6" t="s">
        <v>368</v>
      </c>
      <c r="B82" t="s">
        <v>6428</v>
      </c>
      <c r="C82" t="s">
        <v>315</v>
      </c>
      <c r="D82">
        <v>132</v>
      </c>
      <c r="E82" t="s">
        <v>262</v>
      </c>
      <c r="F82" t="s">
        <v>6429</v>
      </c>
      <c r="G82" t="s">
        <v>6430</v>
      </c>
    </row>
    <row r="83" spans="1:7">
      <c r="A83" s="6" t="s">
        <v>371</v>
      </c>
      <c r="B83" t="s">
        <v>6431</v>
      </c>
      <c r="C83" t="s">
        <v>315</v>
      </c>
      <c r="D83">
        <v>133</v>
      </c>
      <c r="E83" t="s">
        <v>262</v>
      </c>
      <c r="F83" t="s">
        <v>6432</v>
      </c>
      <c r="G83" t="s">
        <v>6433</v>
      </c>
    </row>
    <row r="84" spans="1:7">
      <c r="A84" s="6" t="s">
        <v>375</v>
      </c>
      <c r="B84" t="s">
        <v>6434</v>
      </c>
      <c r="C84" t="s">
        <v>315</v>
      </c>
      <c r="D84">
        <v>134</v>
      </c>
      <c r="E84" t="s">
        <v>262</v>
      </c>
      <c r="F84" t="s">
        <v>6435</v>
      </c>
      <c r="G84" t="s">
        <v>6436</v>
      </c>
    </row>
    <row r="85" spans="1:7">
      <c r="A85" s="6" t="s">
        <v>379</v>
      </c>
      <c r="B85" t="s">
        <v>6437</v>
      </c>
      <c r="C85" t="s">
        <v>315</v>
      </c>
      <c r="D85">
        <v>135</v>
      </c>
      <c r="E85" t="s">
        <v>262</v>
      </c>
      <c r="F85" t="s">
        <v>6438</v>
      </c>
      <c r="G85" t="s">
        <v>6439</v>
      </c>
    </row>
    <row r="86" spans="1:7">
      <c r="A86" s="6" t="s">
        <v>383</v>
      </c>
      <c r="B86" t="s">
        <v>6440</v>
      </c>
      <c r="C86" t="s">
        <v>315</v>
      </c>
      <c r="D86">
        <v>136</v>
      </c>
      <c r="E86" t="s">
        <v>262</v>
      </c>
      <c r="F86" t="s">
        <v>6441</v>
      </c>
      <c r="G86" t="s">
        <v>6442</v>
      </c>
    </row>
    <row r="87" spans="1:7">
      <c r="A87" s="6" t="s">
        <v>387</v>
      </c>
      <c r="B87" t="s">
        <v>6443</v>
      </c>
      <c r="C87" t="s">
        <v>315</v>
      </c>
      <c r="D87">
        <v>137</v>
      </c>
      <c r="E87" t="s">
        <v>262</v>
      </c>
      <c r="F87" t="s">
        <v>6444</v>
      </c>
      <c r="G87" t="s">
        <v>6445</v>
      </c>
    </row>
    <row r="88" spans="1:7">
      <c r="A88" s="6" t="s">
        <v>391</v>
      </c>
      <c r="B88" t="s">
        <v>6446</v>
      </c>
      <c r="C88" t="s">
        <v>315</v>
      </c>
      <c r="D88">
        <v>138</v>
      </c>
      <c r="E88" t="s">
        <v>262</v>
      </c>
      <c r="F88" t="s">
        <v>6447</v>
      </c>
      <c r="G88" t="s">
        <v>6448</v>
      </c>
    </row>
    <row r="89" spans="1:7">
      <c r="A89" s="6" t="s">
        <v>395</v>
      </c>
      <c r="B89" t="s">
        <v>6449</v>
      </c>
      <c r="C89" t="s">
        <v>315</v>
      </c>
      <c r="D89">
        <v>139</v>
      </c>
      <c r="E89" t="s">
        <v>262</v>
      </c>
      <c r="F89" t="s">
        <v>6450</v>
      </c>
      <c r="G89" t="s">
        <v>6451</v>
      </c>
    </row>
    <row r="90" spans="1:7">
      <c r="A90" s="6" t="s">
        <v>399</v>
      </c>
      <c r="B90" t="s">
        <v>6452</v>
      </c>
      <c r="C90" t="s">
        <v>315</v>
      </c>
      <c r="D90">
        <v>140</v>
      </c>
      <c r="E90" t="s">
        <v>262</v>
      </c>
      <c r="F90" t="s">
        <v>6453</v>
      </c>
      <c r="G90" t="s">
        <v>6454</v>
      </c>
    </row>
    <row r="91" spans="1:7">
      <c r="A91" s="6" t="s">
        <v>403</v>
      </c>
      <c r="B91" t="s">
        <v>6455</v>
      </c>
      <c r="C91" t="s">
        <v>315</v>
      </c>
      <c r="D91">
        <v>141</v>
      </c>
      <c r="E91" t="s">
        <v>262</v>
      </c>
      <c r="F91" t="s">
        <v>6456</v>
      </c>
      <c r="G91" t="s">
        <v>6457</v>
      </c>
    </row>
    <row r="92" spans="1:7">
      <c r="A92" s="6" t="s">
        <v>407</v>
      </c>
      <c r="B92" t="s">
        <v>6458</v>
      </c>
      <c r="C92" t="s">
        <v>315</v>
      </c>
      <c r="D92">
        <v>142</v>
      </c>
      <c r="E92" t="s">
        <v>262</v>
      </c>
      <c r="F92" t="s">
        <v>6459</v>
      </c>
      <c r="G92" t="s">
        <v>6460</v>
      </c>
    </row>
    <row r="93" spans="1:7">
      <c r="A93" s="6" t="s">
        <v>411</v>
      </c>
      <c r="B93" t="s">
        <v>6461</v>
      </c>
      <c r="C93" t="s">
        <v>315</v>
      </c>
      <c r="D93">
        <v>143</v>
      </c>
      <c r="E93" t="s">
        <v>262</v>
      </c>
      <c r="F93" t="s">
        <v>6462</v>
      </c>
      <c r="G93" t="s">
        <v>6463</v>
      </c>
    </row>
    <row r="94" spans="1:7">
      <c r="A94" s="6" t="s">
        <v>416</v>
      </c>
      <c r="B94" t="s">
        <v>6464</v>
      </c>
      <c r="C94" t="s">
        <v>315</v>
      </c>
      <c r="D94">
        <v>144</v>
      </c>
      <c r="E94" t="s">
        <v>262</v>
      </c>
      <c r="F94" t="s">
        <v>6465</v>
      </c>
      <c r="G94" t="s">
        <v>6466</v>
      </c>
    </row>
    <row r="95" spans="1:7">
      <c r="A95" s="6" t="s">
        <v>421</v>
      </c>
      <c r="B95" t="s">
        <v>6467</v>
      </c>
      <c r="C95" t="s">
        <v>315</v>
      </c>
      <c r="D95">
        <v>145</v>
      </c>
      <c r="E95" t="s">
        <v>310</v>
      </c>
      <c r="F95" t="s">
        <v>3158</v>
      </c>
      <c r="G95" t="s">
        <v>6468</v>
      </c>
    </row>
    <row r="96" spans="1:7">
      <c r="A96" s="6" t="s">
        <v>426</v>
      </c>
      <c r="B96" t="s">
        <v>6469</v>
      </c>
      <c r="C96" t="s">
        <v>315</v>
      </c>
      <c r="D96">
        <v>146</v>
      </c>
      <c r="E96" t="s">
        <v>262</v>
      </c>
      <c r="F96" t="s">
        <v>6470</v>
      </c>
      <c r="G96" t="s">
        <v>6471</v>
      </c>
    </row>
    <row r="97" spans="1:7">
      <c r="A97" s="6" t="s">
        <v>431</v>
      </c>
      <c r="B97" t="s">
        <v>6472</v>
      </c>
      <c r="C97" t="s">
        <v>315</v>
      </c>
      <c r="D97">
        <v>147</v>
      </c>
      <c r="E97" t="s">
        <v>21</v>
      </c>
      <c r="F97" t="s">
        <v>6473</v>
      </c>
      <c r="G97" t="s">
        <v>6474</v>
      </c>
    </row>
    <row r="98" spans="1:7">
      <c r="A98" s="6" t="s">
        <v>435</v>
      </c>
      <c r="B98" t="s">
        <v>6475</v>
      </c>
      <c r="C98" t="s">
        <v>315</v>
      </c>
      <c r="D98">
        <v>148</v>
      </c>
      <c r="E98" t="s">
        <v>21</v>
      </c>
      <c r="F98" t="s">
        <v>6476</v>
      </c>
      <c r="G98" t="s">
        <v>6477</v>
      </c>
    </row>
    <row r="99" spans="1:7">
      <c r="A99" s="6" t="s">
        <v>439</v>
      </c>
      <c r="B99" t="s">
        <v>6478</v>
      </c>
      <c r="C99" t="s">
        <v>315</v>
      </c>
      <c r="D99">
        <v>149</v>
      </c>
      <c r="E99" t="s">
        <v>37</v>
      </c>
      <c r="F99" t="s">
        <v>6479</v>
      </c>
      <c r="G99" t="s">
        <v>6480</v>
      </c>
    </row>
    <row r="100" spans="1:7">
      <c r="A100" s="6" t="s">
        <v>443</v>
      </c>
      <c r="B100" t="s">
        <v>6481</v>
      </c>
      <c r="C100" t="s">
        <v>315</v>
      </c>
      <c r="D100">
        <v>150</v>
      </c>
      <c r="E100" t="s">
        <v>310</v>
      </c>
      <c r="F100" t="s">
        <v>6482</v>
      </c>
      <c r="G100" t="s">
        <v>6483</v>
      </c>
    </row>
    <row r="101" spans="1:7">
      <c r="A101" s="6" t="s">
        <v>448</v>
      </c>
      <c r="B101" t="s">
        <v>1369</v>
      </c>
      <c r="C101" t="s">
        <v>315</v>
      </c>
      <c r="D101">
        <v>151</v>
      </c>
      <c r="E101" t="s">
        <v>310</v>
      </c>
      <c r="F101" t="s">
        <v>6484</v>
      </c>
      <c r="G101" t="s">
        <v>6485</v>
      </c>
    </row>
    <row r="102" spans="1:7">
      <c r="A102" s="6" t="s">
        <v>452</v>
      </c>
      <c r="B102" t="s">
        <v>6486</v>
      </c>
      <c r="C102" t="s">
        <v>315</v>
      </c>
      <c r="D102">
        <v>152</v>
      </c>
      <c r="E102" t="s">
        <v>310</v>
      </c>
      <c r="F102" t="s">
        <v>6487</v>
      </c>
      <c r="G102" t="s">
        <v>6488</v>
      </c>
    </row>
    <row r="103" spans="1:7">
      <c r="A103" s="6" t="s">
        <v>455</v>
      </c>
      <c r="B103" t="s">
        <v>6489</v>
      </c>
      <c r="C103" t="s">
        <v>315</v>
      </c>
      <c r="D103">
        <v>153</v>
      </c>
      <c r="E103" t="s">
        <v>21</v>
      </c>
      <c r="F103" t="s">
        <v>6490</v>
      </c>
      <c r="G103" t="s">
        <v>6491</v>
      </c>
    </row>
    <row r="104" spans="1:7">
      <c r="A104" s="6" t="s">
        <v>460</v>
      </c>
      <c r="B104" t="s">
        <v>6492</v>
      </c>
      <c r="C104" t="s">
        <v>315</v>
      </c>
      <c r="D104">
        <v>154</v>
      </c>
      <c r="E104" t="s">
        <v>37</v>
      </c>
      <c r="F104" t="s">
        <v>6493</v>
      </c>
      <c r="G104" t="s">
        <v>6494</v>
      </c>
    </row>
    <row r="105" spans="1:7">
      <c r="A105" s="6" t="s">
        <v>465</v>
      </c>
      <c r="B105" t="s">
        <v>6495</v>
      </c>
      <c r="C105" t="s">
        <v>315</v>
      </c>
      <c r="D105">
        <v>155</v>
      </c>
      <c r="E105" t="s">
        <v>21</v>
      </c>
      <c r="F105" t="s">
        <v>6496</v>
      </c>
      <c r="G105" t="s">
        <v>6497</v>
      </c>
    </row>
    <row r="106" spans="1:7">
      <c r="A106" s="6" t="s">
        <v>469</v>
      </c>
      <c r="B106" t="s">
        <v>6498</v>
      </c>
      <c r="C106" t="s">
        <v>315</v>
      </c>
      <c r="D106">
        <v>156</v>
      </c>
      <c r="E106" t="s">
        <v>310</v>
      </c>
      <c r="F106" t="s">
        <v>6499</v>
      </c>
      <c r="G106" t="s">
        <v>6500</v>
      </c>
    </row>
    <row r="107" spans="1:7">
      <c r="A107" s="6" t="s">
        <v>474</v>
      </c>
      <c r="B107" t="s">
        <v>6501</v>
      </c>
      <c r="C107" t="s">
        <v>315</v>
      </c>
      <c r="D107">
        <v>157</v>
      </c>
      <c r="E107" t="s">
        <v>310</v>
      </c>
      <c r="F107" t="s">
        <v>6502</v>
      </c>
      <c r="G107" t="s">
        <v>6503</v>
      </c>
    </row>
    <row r="108" spans="1:7">
      <c r="A108" s="6" t="s">
        <v>479</v>
      </c>
      <c r="B108" t="s">
        <v>6504</v>
      </c>
      <c r="C108" t="s">
        <v>315</v>
      </c>
      <c r="D108">
        <v>158</v>
      </c>
      <c r="E108" t="s">
        <v>310</v>
      </c>
      <c r="F108" t="s">
        <v>6505</v>
      </c>
      <c r="G108" t="s">
        <v>6506</v>
      </c>
    </row>
    <row r="109" spans="1:7">
      <c r="A109" s="6" t="s">
        <v>483</v>
      </c>
      <c r="B109" t="s">
        <v>6507</v>
      </c>
      <c r="C109" t="s">
        <v>315</v>
      </c>
      <c r="D109">
        <v>159</v>
      </c>
      <c r="E109" t="s">
        <v>37</v>
      </c>
      <c r="F109" t="s">
        <v>6508</v>
      </c>
      <c r="G109" t="s">
        <v>6509</v>
      </c>
    </row>
    <row r="110" spans="1:7">
      <c r="A110" s="6" t="s">
        <v>488</v>
      </c>
      <c r="B110" t="s">
        <v>6510</v>
      </c>
      <c r="C110" t="s">
        <v>315</v>
      </c>
      <c r="D110">
        <v>160</v>
      </c>
      <c r="E110" t="s">
        <v>37</v>
      </c>
      <c r="F110" t="s">
        <v>6511</v>
      </c>
      <c r="G110" t="s">
        <v>6512</v>
      </c>
    </row>
    <row r="111" spans="1:7">
      <c r="A111" s="6" t="s">
        <v>493</v>
      </c>
      <c r="B111" t="s">
        <v>6513</v>
      </c>
      <c r="C111" t="s">
        <v>315</v>
      </c>
      <c r="D111">
        <v>161</v>
      </c>
      <c r="F111" t="s">
        <v>6514</v>
      </c>
      <c r="G111" t="s">
        <v>6515</v>
      </c>
    </row>
    <row r="112" spans="1:7">
      <c r="A112" s="6" t="s">
        <v>498</v>
      </c>
      <c r="B112" t="s">
        <v>6516</v>
      </c>
      <c r="C112" t="s">
        <v>315</v>
      </c>
      <c r="D112">
        <v>162</v>
      </c>
      <c r="F112" t="s">
        <v>6517</v>
      </c>
      <c r="G112" t="s">
        <v>6518</v>
      </c>
    </row>
    <row r="113" spans="1:7">
      <c r="A113" s="6" t="s">
        <v>503</v>
      </c>
      <c r="B113" t="s">
        <v>274</v>
      </c>
      <c r="C113" t="s">
        <v>315</v>
      </c>
      <c r="D113">
        <v>163</v>
      </c>
      <c r="E113" t="s">
        <v>37</v>
      </c>
      <c r="F113" t="s">
        <v>6519</v>
      </c>
      <c r="G113" t="s">
        <v>6520</v>
      </c>
    </row>
    <row r="114" spans="1:7">
      <c r="A114" s="6" t="s">
        <v>508</v>
      </c>
      <c r="B114" t="s">
        <v>6521</v>
      </c>
      <c r="C114" t="s">
        <v>315</v>
      </c>
      <c r="D114">
        <v>164</v>
      </c>
      <c r="E114" t="s">
        <v>37</v>
      </c>
      <c r="F114" t="s">
        <v>6522</v>
      </c>
      <c r="G114" t="s">
        <v>6523</v>
      </c>
    </row>
    <row r="115" spans="1:7">
      <c r="A115" s="6" t="s">
        <v>513</v>
      </c>
      <c r="B115" t="s">
        <v>6524</v>
      </c>
      <c r="C115" t="s">
        <v>515</v>
      </c>
      <c r="D115">
        <v>165</v>
      </c>
      <c r="E115" t="s">
        <v>37</v>
      </c>
      <c r="F115" t="s">
        <v>6525</v>
      </c>
      <c r="G115" t="s">
        <v>6526</v>
      </c>
    </row>
    <row r="116" spans="1:7">
      <c r="A116" s="6" t="s">
        <v>518</v>
      </c>
      <c r="B116" t="s">
        <v>6527</v>
      </c>
      <c r="C116" t="s">
        <v>519</v>
      </c>
      <c r="D116">
        <v>166</v>
      </c>
      <c r="E116" t="s">
        <v>37</v>
      </c>
      <c r="F116" t="s">
        <v>6528</v>
      </c>
      <c r="G116" t="s">
        <v>6529</v>
      </c>
    </row>
    <row r="117" spans="1:7">
      <c r="A117" s="6" t="s">
        <v>520</v>
      </c>
      <c r="B117" t="s">
        <v>6530</v>
      </c>
      <c r="C117" t="s">
        <v>515</v>
      </c>
      <c r="D117">
        <v>167</v>
      </c>
      <c r="E117" t="s">
        <v>37</v>
      </c>
      <c r="F117" t="s">
        <v>6531</v>
      </c>
      <c r="G117" t="s">
        <v>6532</v>
      </c>
    </row>
    <row r="118" spans="1:7">
      <c r="A118" s="6" t="s">
        <v>522</v>
      </c>
      <c r="B118" t="s">
        <v>6533</v>
      </c>
      <c r="C118" t="s">
        <v>524</v>
      </c>
      <c r="D118">
        <v>168</v>
      </c>
      <c r="E118" t="s">
        <v>37</v>
      </c>
      <c r="F118" t="s">
        <v>6534</v>
      </c>
      <c r="G118" t="s">
        <v>6535</v>
      </c>
    </row>
    <row r="119" spans="1:7">
      <c r="A119" s="6" t="s">
        <v>527</v>
      </c>
      <c r="B119" t="s">
        <v>6536</v>
      </c>
      <c r="C119" t="s">
        <v>529</v>
      </c>
      <c r="D119">
        <v>169</v>
      </c>
      <c r="E119" t="s">
        <v>37</v>
      </c>
      <c r="F119" t="s">
        <v>6537</v>
      </c>
      <c r="G119" t="s">
        <v>6538</v>
      </c>
    </row>
    <row r="120" spans="1:7">
      <c r="A120" s="6" t="s">
        <v>532</v>
      </c>
      <c r="B120" t="s">
        <v>6539</v>
      </c>
      <c r="C120" t="s">
        <v>534</v>
      </c>
      <c r="D120">
        <v>170</v>
      </c>
      <c r="E120" t="s">
        <v>37</v>
      </c>
      <c r="F120" t="s">
        <v>6540</v>
      </c>
      <c r="G120" t="s">
        <v>6541</v>
      </c>
    </row>
    <row r="121" spans="1:7">
      <c r="A121" s="6" t="s">
        <v>537</v>
      </c>
      <c r="B121" t="s">
        <v>6542</v>
      </c>
      <c r="C121" t="s">
        <v>539</v>
      </c>
      <c r="D121">
        <v>171</v>
      </c>
      <c r="E121" t="s">
        <v>37</v>
      </c>
      <c r="F121" t="s">
        <v>6543</v>
      </c>
      <c r="G121" t="s">
        <v>6544</v>
      </c>
    </row>
    <row r="122" spans="1:7">
      <c r="A122" s="6" t="s">
        <v>542</v>
      </c>
      <c r="B122" t="s">
        <v>6545</v>
      </c>
      <c r="C122" t="s">
        <v>539</v>
      </c>
      <c r="D122">
        <v>172</v>
      </c>
      <c r="E122" t="s">
        <v>37</v>
      </c>
      <c r="F122" t="s">
        <v>6546</v>
      </c>
      <c r="G122" t="s">
        <v>6547</v>
      </c>
    </row>
    <row r="123" spans="1:7">
      <c r="A123" s="6" t="s">
        <v>546</v>
      </c>
      <c r="B123" t="s">
        <v>6548</v>
      </c>
      <c r="C123" t="s">
        <v>548</v>
      </c>
      <c r="D123">
        <v>173</v>
      </c>
      <c r="E123" t="s">
        <v>37</v>
      </c>
      <c r="F123" t="s">
        <v>6549</v>
      </c>
      <c r="G123" t="s">
        <v>6550</v>
      </c>
    </row>
    <row r="124" spans="1:7">
      <c r="A124" s="6" t="s">
        <v>551</v>
      </c>
      <c r="B124" t="s">
        <v>6551</v>
      </c>
      <c r="C124" t="s">
        <v>553</v>
      </c>
      <c r="D124">
        <v>174</v>
      </c>
      <c r="E124" t="s">
        <v>37</v>
      </c>
      <c r="F124" t="s">
        <v>6552</v>
      </c>
      <c r="G124" t="s">
        <v>6553</v>
      </c>
    </row>
    <row r="125" spans="1:7">
      <c r="A125" s="6" t="s">
        <v>556</v>
      </c>
      <c r="B125" t="s">
        <v>6554</v>
      </c>
      <c r="C125" t="s">
        <v>557</v>
      </c>
      <c r="D125">
        <v>175</v>
      </c>
      <c r="E125" t="s">
        <v>37</v>
      </c>
      <c r="F125" t="s">
        <v>6555</v>
      </c>
      <c r="G125" t="s">
        <v>6556</v>
      </c>
    </row>
    <row r="126" spans="1:7">
      <c r="A126" s="6" t="s">
        <v>558</v>
      </c>
      <c r="B126" t="s">
        <v>6557</v>
      </c>
      <c r="C126" t="s">
        <v>560</v>
      </c>
      <c r="D126">
        <v>176</v>
      </c>
      <c r="E126" t="s">
        <v>37</v>
      </c>
      <c r="F126" t="s">
        <v>6558</v>
      </c>
      <c r="G126" t="s">
        <v>6559</v>
      </c>
    </row>
    <row r="127" spans="1:7">
      <c r="A127" s="6" t="s">
        <v>563</v>
      </c>
      <c r="B127" t="s">
        <v>6560</v>
      </c>
      <c r="C127" t="s">
        <v>565</v>
      </c>
      <c r="D127">
        <v>177</v>
      </c>
      <c r="E127" t="s">
        <v>37</v>
      </c>
      <c r="F127" t="s">
        <v>6561</v>
      </c>
      <c r="G127" t="s">
        <v>6562</v>
      </c>
    </row>
    <row r="128" spans="1:7">
      <c r="A128" s="135" t="s">
        <v>313</v>
      </c>
      <c r="B128" s="136" t="s">
        <v>314</v>
      </c>
      <c r="C128" s="136" t="s">
        <v>315</v>
      </c>
      <c r="D128" s="137">
        <v>90</v>
      </c>
      <c r="E128" s="136" t="s">
        <v>32</v>
      </c>
      <c r="F128" s="138" t="s">
        <v>316</v>
      </c>
      <c r="G128" s="136" t="s">
        <v>6563</v>
      </c>
    </row>
    <row r="129" spans="1:7">
      <c r="A129" s="78" t="s">
        <v>568</v>
      </c>
      <c r="B129" s="139" t="s">
        <v>6564</v>
      </c>
      <c r="C129" s="139" t="s">
        <v>570</v>
      </c>
      <c r="F129" t="s">
        <v>6565</v>
      </c>
      <c r="G129" t="s">
        <v>6566</v>
      </c>
    </row>
    <row r="130" spans="1:7">
      <c r="A130" t="s">
        <v>572</v>
      </c>
      <c r="B130" t="s">
        <v>3746</v>
      </c>
      <c r="C130" t="s">
        <v>570</v>
      </c>
      <c r="F130" t="s">
        <v>6567</v>
      </c>
      <c r="G130" t="s">
        <v>6568</v>
      </c>
    </row>
    <row r="131" spans="1:3">
      <c r="A131" t="s">
        <v>576</v>
      </c>
      <c r="B131" t="s">
        <v>2310</v>
      </c>
      <c r="C131" s="140" t="s">
        <v>578</v>
      </c>
    </row>
    <row r="132" spans="1:3">
      <c r="A132" t="s">
        <v>579</v>
      </c>
      <c r="B132" t="s">
        <v>2311</v>
      </c>
      <c r="C132" s="140" t="s">
        <v>578</v>
      </c>
    </row>
    <row r="133" spans="1:3">
      <c r="A133" t="s">
        <v>581</v>
      </c>
      <c r="B133" t="s">
        <v>2312</v>
      </c>
      <c r="C133" s="140" t="s">
        <v>578</v>
      </c>
    </row>
    <row r="134" spans="1:3">
      <c r="A134" t="s">
        <v>583</v>
      </c>
      <c r="B134" t="s">
        <v>2313</v>
      </c>
      <c r="C134" s="140" t="s">
        <v>578</v>
      </c>
    </row>
    <row r="135" spans="1:3">
      <c r="A135" t="s">
        <v>585</v>
      </c>
      <c r="B135" t="s">
        <v>2314</v>
      </c>
      <c r="C135" s="140" t="s">
        <v>578</v>
      </c>
    </row>
    <row r="136" spans="1:7">
      <c r="A136" t="s">
        <v>587</v>
      </c>
      <c r="B136" t="s">
        <v>1209</v>
      </c>
      <c r="C136" s="140" t="s">
        <v>578</v>
      </c>
      <c r="F136" t="s">
        <v>589</v>
      </c>
      <c r="G136" t="s">
        <v>3756</v>
      </c>
    </row>
    <row r="137" spans="1:7">
      <c r="A137" t="s">
        <v>591</v>
      </c>
      <c r="B137" t="s">
        <v>6569</v>
      </c>
      <c r="C137" s="140" t="s">
        <v>578</v>
      </c>
      <c r="F137" t="s">
        <v>6570</v>
      </c>
      <c r="G137" t="s">
        <v>6571</v>
      </c>
    </row>
    <row r="138" spans="1:7">
      <c r="A138" t="s">
        <v>595</v>
      </c>
      <c r="B138" t="s">
        <v>6572</v>
      </c>
      <c r="C138" s="140" t="s">
        <v>578</v>
      </c>
      <c r="F138" t="s">
        <v>6573</v>
      </c>
      <c r="G138" t="s">
        <v>6574</v>
      </c>
    </row>
    <row r="139" spans="1:7">
      <c r="A139" t="s">
        <v>599</v>
      </c>
      <c r="B139" t="s">
        <v>6575</v>
      </c>
      <c r="C139" s="140" t="s">
        <v>578</v>
      </c>
      <c r="F139" t="s">
        <v>6576</v>
      </c>
      <c r="G139" t="s">
        <v>6577</v>
      </c>
    </row>
    <row r="140" spans="1:7">
      <c r="A140" t="s">
        <v>603</v>
      </c>
      <c r="B140" t="s">
        <v>6578</v>
      </c>
      <c r="C140" s="140" t="s">
        <v>578</v>
      </c>
      <c r="F140" t="s">
        <v>6579</v>
      </c>
      <c r="G140" t="s">
        <v>6580</v>
      </c>
    </row>
    <row r="141" spans="1:3">
      <c r="A141" s="6" t="s">
        <v>607</v>
      </c>
      <c r="B141" t="s">
        <v>1222</v>
      </c>
      <c r="C141" s="140" t="s">
        <v>609</v>
      </c>
    </row>
    <row r="142" spans="1:3">
      <c r="A142" s="6" t="s">
        <v>610</v>
      </c>
      <c r="B142" t="s">
        <v>6581</v>
      </c>
      <c r="C142" s="140" t="s">
        <v>612</v>
      </c>
    </row>
    <row r="143" spans="1:3">
      <c r="A143" s="6" t="s">
        <v>613</v>
      </c>
      <c r="B143" t="s">
        <v>615</v>
      </c>
      <c r="C143" s="6" t="s">
        <v>615</v>
      </c>
    </row>
    <row r="144" spans="1:3">
      <c r="A144" t="s">
        <v>616</v>
      </c>
      <c r="B144" t="s">
        <v>618</v>
      </c>
      <c r="C144" s="140" t="s">
        <v>618</v>
      </c>
    </row>
    <row r="145" spans="1:7">
      <c r="A145" s="6" t="s">
        <v>619</v>
      </c>
      <c r="B145" t="s">
        <v>6582</v>
      </c>
      <c r="C145" s="140" t="s">
        <v>612</v>
      </c>
      <c r="F145" t="s">
        <v>6583</v>
      </c>
      <c r="G145" t="s">
        <v>6584</v>
      </c>
    </row>
    <row r="146" spans="1:7">
      <c r="A146" s="6" t="s">
        <v>623</v>
      </c>
      <c r="B146" s="141" t="s">
        <v>6585</v>
      </c>
      <c r="C146" s="140" t="s">
        <v>612</v>
      </c>
      <c r="F146" t="s">
        <v>6586</v>
      </c>
      <c r="G146" t="s">
        <v>6587</v>
      </c>
    </row>
    <row r="147" spans="1:3">
      <c r="A147" s="6" t="s">
        <v>627</v>
      </c>
      <c r="B147" t="s">
        <v>2334</v>
      </c>
      <c r="C147" s="140" t="s">
        <v>612</v>
      </c>
    </row>
    <row r="148" spans="1:3">
      <c r="A148" s="6" t="s">
        <v>629</v>
      </c>
      <c r="B148" t="s">
        <v>2335</v>
      </c>
      <c r="C148" s="140" t="s">
        <v>612</v>
      </c>
    </row>
    <row r="149" spans="1:3">
      <c r="A149" s="6" t="s">
        <v>631</v>
      </c>
      <c r="B149" t="s">
        <v>2336</v>
      </c>
      <c r="C149" s="140" t="s">
        <v>612</v>
      </c>
    </row>
    <row r="150" spans="1:3">
      <c r="A150" s="6" t="s">
        <v>633</v>
      </c>
      <c r="B150" t="s">
        <v>2337</v>
      </c>
      <c r="C150" s="140" t="s">
        <v>612</v>
      </c>
    </row>
    <row r="151" spans="1:3">
      <c r="A151" s="6" t="s">
        <v>635</v>
      </c>
      <c r="B151" t="s">
        <v>1956</v>
      </c>
      <c r="C151" s="140" t="s">
        <v>612</v>
      </c>
    </row>
    <row r="152" spans="1:3">
      <c r="A152" s="6" t="s">
        <v>637</v>
      </c>
      <c r="B152" t="s">
        <v>2338</v>
      </c>
      <c r="C152" s="140" t="s">
        <v>612</v>
      </c>
    </row>
    <row r="153" spans="1:3">
      <c r="A153" s="6" t="s">
        <v>639</v>
      </c>
      <c r="B153" t="s">
        <v>2339</v>
      </c>
      <c r="C153" s="140" t="s">
        <v>612</v>
      </c>
    </row>
    <row r="154" spans="1:3">
      <c r="A154" s="6" t="s">
        <v>641</v>
      </c>
      <c r="B154" t="s">
        <v>1959</v>
      </c>
      <c r="C154" s="140" t="s">
        <v>612</v>
      </c>
    </row>
    <row r="155" spans="1:3">
      <c r="A155" t="s">
        <v>643</v>
      </c>
      <c r="B155" t="s">
        <v>1238</v>
      </c>
      <c r="C155" s="140" t="s">
        <v>644</v>
      </c>
    </row>
    <row r="156" spans="1:3">
      <c r="A156" s="6" t="s">
        <v>645</v>
      </c>
      <c r="B156" t="s">
        <v>644</v>
      </c>
      <c r="C156" s="140" t="s">
        <v>644</v>
      </c>
    </row>
    <row r="157" spans="1:7">
      <c r="A157" s="135" t="s">
        <v>646</v>
      </c>
      <c r="B157" s="136" t="s">
        <v>6588</v>
      </c>
      <c r="C157" s="136" t="s">
        <v>648</v>
      </c>
      <c r="D157" s="142">
        <v>120</v>
      </c>
      <c r="E157" s="136" t="s">
        <v>37</v>
      </c>
      <c r="F157" s="136" t="s">
        <v>6589</v>
      </c>
      <c r="G157" s="136" t="s">
        <v>6590</v>
      </c>
    </row>
    <row r="158" spans="1:7">
      <c r="A158" t="s">
        <v>651</v>
      </c>
      <c r="B158" t="s">
        <v>6591</v>
      </c>
      <c r="C158" s="140" t="s">
        <v>653</v>
      </c>
      <c r="F158" t="s">
        <v>6592</v>
      </c>
      <c r="G158" t="s">
        <v>6593</v>
      </c>
    </row>
    <row r="159" spans="1:17">
      <c r="A159" s="102" t="s">
        <v>656</v>
      </c>
      <c r="B159" t="s">
        <v>2342</v>
      </c>
      <c r="C159" s="102" t="s">
        <v>658</v>
      </c>
      <c r="D159" s="143"/>
      <c r="E159" s="144"/>
      <c r="F159" s="134" t="s">
        <v>659</v>
      </c>
      <c r="G159" s="134" t="s">
        <v>6594</v>
      </c>
      <c r="H159" s="145"/>
      <c r="I159" s="144"/>
      <c r="J159" s="144"/>
      <c r="K159" s="144"/>
      <c r="L159" s="144"/>
      <c r="M159" s="144"/>
      <c r="N159" s="144"/>
      <c r="O159" s="144"/>
      <c r="P159" s="144"/>
      <c r="Q159" s="144"/>
    </row>
    <row r="160" spans="1:17">
      <c r="A160" t="s">
        <v>661</v>
      </c>
      <c r="B160" t="s">
        <v>2344</v>
      </c>
      <c r="C160" t="s">
        <v>658</v>
      </c>
      <c r="D160" s="144"/>
      <c r="E160" s="144"/>
      <c r="F160" s="133" t="s">
        <v>6595</v>
      </c>
      <c r="G160" s="134" t="s">
        <v>6596</v>
      </c>
      <c r="H160" s="144"/>
      <c r="I160" s="144"/>
      <c r="J160" s="144"/>
      <c r="K160" s="144"/>
      <c r="L160" s="144"/>
      <c r="M160" s="144"/>
      <c r="N160" s="144"/>
      <c r="O160" s="144"/>
      <c r="P160" s="144"/>
      <c r="Q160" s="144"/>
    </row>
  </sheetData>
  <hyperlinks>
    <hyperlink ref="F5" r:id="rId1" display="http://airlines-airports.com/wp-content/uploads/2016/07/Delta-Air-Lines-logo.jpg"/>
    <hyperlink ref="G5" r:id="rId2" display="http://www.delta.com/"/>
    <hyperlink ref="G10" r:id="rId3" display="http://www.booking.com/index.html?aid=811935"/>
    <hyperlink ref="B47" r:id="rId4" display="Pfizer"/>
    <hyperlink ref="B69" r:id="rId5" display="American Eagle Outfitters"/>
    <hyperlink ref="F160" r:id="rId6" display="https://seeklogo.com/images/M/mastercard-logo-473B8726A9-seeklogo.com.png"/>
  </hyperlink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workbookViewId="0">
      <selection activeCell="A1" sqref="A1"/>
    </sheetView>
  </sheetViews>
  <sheetFormatPr defaultColWidth="12.6607142857143" defaultRowHeight="15" customHeight="1"/>
  <cols>
    <col min="1" max="1" width="36" customWidth="1"/>
    <col min="2" max="2" width="26.6607142857143" customWidth="1"/>
    <col min="3" max="3" width="20.1607142857143" customWidth="1"/>
    <col min="4" max="4" width="21" customWidth="1"/>
    <col min="5" max="5" width="37.3303571428571" customWidth="1"/>
    <col min="6" max="6" width="64.5" customWidth="1"/>
    <col min="7" max="7" width="35.6607142857143" customWidth="1"/>
    <col min="8" max="17" width="8.83035714285714" customWidth="1"/>
    <col min="18" max="26" width="11.1607142857143" customWidth="1"/>
  </cols>
  <sheetData>
    <row r="1" ht="14.8" spans="1:26">
      <c r="A1" s="1" t="s">
        <v>0</v>
      </c>
      <c r="B1" s="2"/>
      <c r="C1" s="2"/>
      <c r="D1" s="2"/>
      <c r="E1" s="2"/>
      <c r="F1" s="2"/>
      <c r="G1" s="2"/>
      <c r="H1" s="2"/>
      <c r="I1" s="2"/>
      <c r="J1" s="2"/>
      <c r="K1" s="2"/>
      <c r="L1" s="2"/>
      <c r="M1" s="2"/>
      <c r="N1" s="2"/>
      <c r="O1" s="2"/>
      <c r="P1" s="2"/>
      <c r="Q1" s="2"/>
      <c r="R1" s="2"/>
      <c r="S1" s="2"/>
      <c r="T1" s="2"/>
      <c r="U1" s="2"/>
      <c r="V1" s="2"/>
      <c r="W1" s="2"/>
      <c r="X1" s="2"/>
      <c r="Y1" s="2"/>
      <c r="Z1" s="2"/>
    </row>
    <row r="2" ht="14.8" spans="1:26">
      <c r="A2" s="1" t="s">
        <v>6597</v>
      </c>
      <c r="B2" s="2"/>
      <c r="C2" s="2"/>
      <c r="D2" s="2" t="s">
        <v>2</v>
      </c>
      <c r="E2" s="2"/>
      <c r="F2" s="2"/>
      <c r="G2" s="2"/>
      <c r="H2" s="2"/>
      <c r="I2" s="2"/>
      <c r="J2" s="2"/>
      <c r="K2" s="2"/>
      <c r="L2" s="2"/>
      <c r="M2" s="2"/>
      <c r="N2" s="2"/>
      <c r="O2" s="2"/>
      <c r="P2" s="2"/>
      <c r="Q2" s="2"/>
      <c r="R2" s="2"/>
      <c r="S2" s="2"/>
      <c r="T2" s="2"/>
      <c r="U2" s="2"/>
      <c r="V2" s="2"/>
      <c r="W2" s="2"/>
      <c r="X2" s="2"/>
      <c r="Y2" s="2"/>
      <c r="Z2" s="2"/>
    </row>
    <row r="3" ht="14.8" spans="1:26">
      <c r="A3" s="3" t="s">
        <v>3</v>
      </c>
      <c r="B3" s="4" t="s">
        <v>4</v>
      </c>
      <c r="C3" s="5" t="s">
        <v>5</v>
      </c>
      <c r="D3" s="4" t="s">
        <v>6</v>
      </c>
      <c r="E3" s="4" t="s">
        <v>7</v>
      </c>
      <c r="F3" s="4" t="s">
        <v>8</v>
      </c>
      <c r="G3" s="4" t="s">
        <v>9</v>
      </c>
      <c r="H3" s="2"/>
      <c r="I3" s="2"/>
      <c r="J3" s="2"/>
      <c r="K3" s="2"/>
      <c r="L3" s="2"/>
      <c r="M3" s="2"/>
      <c r="N3" s="2"/>
      <c r="O3" s="2"/>
      <c r="P3" s="2"/>
      <c r="Q3" s="2"/>
      <c r="R3" s="2"/>
      <c r="S3" s="2"/>
      <c r="T3" s="2"/>
      <c r="U3" s="2"/>
      <c r="V3" s="2"/>
      <c r="W3" s="2"/>
      <c r="X3" s="2"/>
      <c r="Y3" s="2"/>
      <c r="Z3" s="2"/>
    </row>
    <row r="4" ht="14.8" spans="1:26">
      <c r="A4" s="6" t="s">
        <v>10</v>
      </c>
      <c r="B4" s="2" t="s">
        <v>2572</v>
      </c>
      <c r="C4" s="2" t="s">
        <v>12</v>
      </c>
      <c r="D4" s="2"/>
      <c r="E4" s="2"/>
      <c r="F4" s="2" t="s">
        <v>6598</v>
      </c>
      <c r="G4" s="2" t="s">
        <v>3235</v>
      </c>
      <c r="H4" s="2"/>
      <c r="I4" s="2"/>
      <c r="J4" s="2"/>
      <c r="K4" s="2"/>
      <c r="L4" s="2"/>
      <c r="M4" s="2"/>
      <c r="N4" s="2"/>
      <c r="O4" s="2"/>
      <c r="P4" s="2"/>
      <c r="Q4" s="2"/>
      <c r="R4" s="2"/>
      <c r="S4" s="2"/>
      <c r="T4" s="2"/>
      <c r="U4" s="2"/>
      <c r="V4" s="2"/>
      <c r="W4" s="2"/>
      <c r="X4" s="2"/>
      <c r="Y4" s="2"/>
      <c r="Z4" s="2"/>
    </row>
    <row r="5" ht="14.8" spans="1:26">
      <c r="A5" s="2" t="s">
        <v>15</v>
      </c>
      <c r="B5" s="2" t="s">
        <v>6599</v>
      </c>
      <c r="C5" s="2" t="s">
        <v>12</v>
      </c>
      <c r="D5" s="2"/>
      <c r="E5" s="2"/>
      <c r="F5" s="2" t="s">
        <v>6600</v>
      </c>
      <c r="G5" s="2" t="s">
        <v>6601</v>
      </c>
      <c r="H5" s="2"/>
      <c r="I5" s="2"/>
      <c r="J5" s="2"/>
      <c r="K5" s="2"/>
      <c r="L5" s="2"/>
      <c r="M5" s="2"/>
      <c r="N5" s="2"/>
      <c r="O5" s="2"/>
      <c r="P5" s="2"/>
      <c r="Q5" s="2"/>
      <c r="R5" s="2"/>
      <c r="S5" s="2"/>
      <c r="T5" s="2"/>
      <c r="U5" s="2"/>
      <c r="V5" s="2"/>
      <c r="W5" s="2"/>
      <c r="X5" s="2"/>
      <c r="Y5" s="2"/>
      <c r="Z5" s="2"/>
    </row>
    <row r="6" ht="14.8" spans="1:26">
      <c r="A6" s="2" t="s">
        <v>18</v>
      </c>
      <c r="B6" s="2" t="s">
        <v>6602</v>
      </c>
      <c r="C6" s="2" t="s">
        <v>20</v>
      </c>
      <c r="D6" s="8">
        <v>340</v>
      </c>
      <c r="E6" s="2" t="s">
        <v>21</v>
      </c>
      <c r="F6" s="2" t="s">
        <v>6603</v>
      </c>
      <c r="G6" s="2" t="s">
        <v>6604</v>
      </c>
      <c r="H6" s="2"/>
      <c r="I6" s="2"/>
      <c r="J6" s="2"/>
      <c r="K6" s="2"/>
      <c r="L6" s="2"/>
      <c r="M6" s="2"/>
      <c r="N6" s="2"/>
      <c r="O6" s="2"/>
      <c r="P6" s="2"/>
      <c r="Q6" s="2"/>
      <c r="R6" s="2"/>
      <c r="S6" s="2"/>
      <c r="T6" s="2"/>
      <c r="U6" s="2"/>
      <c r="V6" s="2"/>
      <c r="W6" s="2"/>
      <c r="X6" s="2"/>
      <c r="Y6" s="2"/>
      <c r="Z6" s="2"/>
    </row>
    <row r="7" ht="14.8" spans="1:26">
      <c r="A7" s="6" t="s">
        <v>24</v>
      </c>
      <c r="B7" s="2" t="s">
        <v>6605</v>
      </c>
      <c r="C7" s="2" t="s">
        <v>6606</v>
      </c>
      <c r="D7" s="8">
        <v>85</v>
      </c>
      <c r="E7" s="2" t="s">
        <v>21</v>
      </c>
      <c r="F7" s="2" t="s">
        <v>6607</v>
      </c>
      <c r="G7" s="2" t="s">
        <v>6608</v>
      </c>
      <c r="H7" s="2"/>
      <c r="I7" s="2"/>
      <c r="J7" s="2"/>
      <c r="K7" s="2"/>
      <c r="L7" s="2"/>
      <c r="M7" s="2"/>
      <c r="N7" s="2"/>
      <c r="O7" s="2"/>
      <c r="P7" s="2"/>
      <c r="Q7" s="2"/>
      <c r="R7" s="2"/>
      <c r="S7" s="2"/>
      <c r="T7" s="2"/>
      <c r="U7" s="2"/>
      <c r="V7" s="2"/>
      <c r="W7" s="2"/>
      <c r="X7" s="2"/>
      <c r="Y7" s="2"/>
      <c r="Z7" s="2"/>
    </row>
    <row r="8" ht="14.8" spans="1:26">
      <c r="A8" s="6" t="s">
        <v>29</v>
      </c>
      <c r="B8" s="2" t="s">
        <v>6609</v>
      </c>
      <c r="C8" s="2" t="s">
        <v>31</v>
      </c>
      <c r="D8" s="2">
        <v>30</v>
      </c>
      <c r="E8" s="2" t="s">
        <v>32</v>
      </c>
      <c r="F8" s="2" t="s">
        <v>6610</v>
      </c>
      <c r="G8" s="2" t="s">
        <v>6611</v>
      </c>
      <c r="H8" s="2"/>
      <c r="I8" s="2"/>
      <c r="J8" s="2"/>
      <c r="K8" s="2"/>
      <c r="L8" s="2"/>
      <c r="M8" s="2"/>
      <c r="N8" s="2"/>
      <c r="O8" s="2"/>
      <c r="P8" s="2"/>
      <c r="Q8" s="2"/>
      <c r="R8" s="2"/>
      <c r="S8" s="2"/>
      <c r="T8" s="2"/>
      <c r="U8" s="2"/>
      <c r="V8" s="2"/>
      <c r="W8" s="2"/>
      <c r="X8" s="2"/>
      <c r="Y8" s="2"/>
      <c r="Z8" s="2"/>
    </row>
    <row r="9" ht="14.8" spans="1:26">
      <c r="A9" s="6" t="s">
        <v>35</v>
      </c>
      <c r="B9" s="2" t="s">
        <v>6612</v>
      </c>
      <c r="C9" s="2" t="s">
        <v>31</v>
      </c>
      <c r="D9" s="2">
        <v>30</v>
      </c>
      <c r="E9" s="2" t="s">
        <v>37</v>
      </c>
      <c r="F9" s="2" t="s">
        <v>6613</v>
      </c>
      <c r="G9" s="2" t="s">
        <v>6614</v>
      </c>
      <c r="H9" s="2"/>
      <c r="I9" s="2"/>
      <c r="J9" s="2"/>
      <c r="K9" s="2"/>
      <c r="L9" s="2"/>
      <c r="M9" s="2"/>
      <c r="N9" s="2"/>
      <c r="O9" s="2"/>
      <c r="P9" s="2"/>
      <c r="Q9" s="2"/>
      <c r="R9" s="2"/>
      <c r="S9" s="2"/>
      <c r="T9" s="2"/>
      <c r="U9" s="2"/>
      <c r="V9" s="2"/>
      <c r="W9" s="2"/>
      <c r="X9" s="2"/>
      <c r="Y9" s="2"/>
      <c r="Z9" s="2"/>
    </row>
    <row r="10" ht="14.8" spans="1:26">
      <c r="A10" s="6" t="s">
        <v>40</v>
      </c>
      <c r="B10" s="2" t="s">
        <v>6615</v>
      </c>
      <c r="C10" s="2" t="s">
        <v>4167</v>
      </c>
      <c r="D10" s="2">
        <v>106</v>
      </c>
      <c r="E10" s="2" t="s">
        <v>21</v>
      </c>
      <c r="F10" s="2" t="s">
        <v>6616</v>
      </c>
      <c r="G10" s="2" t="s">
        <v>6617</v>
      </c>
      <c r="H10" s="2"/>
      <c r="I10" s="2"/>
      <c r="J10" s="2"/>
      <c r="K10" s="2"/>
      <c r="L10" s="2"/>
      <c r="M10" s="2"/>
      <c r="N10" s="2"/>
      <c r="O10" s="2"/>
      <c r="P10" s="2"/>
      <c r="Q10" s="2"/>
      <c r="R10" s="2"/>
      <c r="S10" s="2"/>
      <c r="T10" s="2"/>
      <c r="U10" s="2"/>
      <c r="V10" s="2"/>
      <c r="W10" s="2"/>
      <c r="X10" s="2"/>
      <c r="Y10" s="2"/>
      <c r="Z10" s="2"/>
    </row>
    <row r="11" ht="14.8" spans="1:26">
      <c r="A11" s="6" t="s">
        <v>44</v>
      </c>
      <c r="B11" s="2" t="s">
        <v>6618</v>
      </c>
      <c r="C11" s="2" t="s">
        <v>46</v>
      </c>
      <c r="D11" s="2"/>
      <c r="E11" s="2"/>
      <c r="F11" s="2" t="s">
        <v>6619</v>
      </c>
      <c r="G11" s="2" t="s">
        <v>6620</v>
      </c>
      <c r="H11" s="2"/>
      <c r="I11" s="2"/>
      <c r="J11" s="2"/>
      <c r="K11" s="2"/>
      <c r="L11" s="2"/>
      <c r="M11" s="2"/>
      <c r="N11" s="2"/>
      <c r="O11" s="2"/>
      <c r="P11" s="2"/>
      <c r="Q11" s="2"/>
      <c r="R11" s="2"/>
      <c r="S11" s="2"/>
      <c r="T11" s="2"/>
      <c r="U11" s="2"/>
      <c r="V11" s="2"/>
      <c r="W11" s="2"/>
      <c r="X11" s="2"/>
      <c r="Y11" s="2"/>
      <c r="Z11" s="2"/>
    </row>
    <row r="12" ht="14.8" spans="1:26">
      <c r="A12" s="2" t="s">
        <v>49</v>
      </c>
      <c r="B12" s="2" t="s">
        <v>6621</v>
      </c>
      <c r="C12" s="2" t="s">
        <v>6622</v>
      </c>
      <c r="D12" s="2"/>
      <c r="E12" s="2"/>
      <c r="F12" s="2" t="s">
        <v>6623</v>
      </c>
      <c r="G12" s="2" t="s">
        <v>6624</v>
      </c>
      <c r="H12" s="2"/>
      <c r="I12" s="2"/>
      <c r="J12" s="2"/>
      <c r="K12" s="2"/>
      <c r="L12" s="2"/>
      <c r="M12" s="2"/>
      <c r="N12" s="2"/>
      <c r="O12" s="2"/>
      <c r="P12" s="2"/>
      <c r="Q12" s="2"/>
      <c r="R12" s="2"/>
      <c r="S12" s="2"/>
      <c r="T12" s="2"/>
      <c r="U12" s="2"/>
      <c r="V12" s="2"/>
      <c r="W12" s="2"/>
      <c r="X12" s="2"/>
      <c r="Y12" s="2"/>
      <c r="Z12" s="2"/>
    </row>
    <row r="13" ht="14.8" spans="1:26">
      <c r="A13" s="6" t="s">
        <v>54</v>
      </c>
      <c r="B13" s="2" t="s">
        <v>6625</v>
      </c>
      <c r="C13" s="2" t="s">
        <v>6626</v>
      </c>
      <c r="D13" s="2"/>
      <c r="E13" s="2"/>
      <c r="F13" s="2" t="s">
        <v>6627</v>
      </c>
      <c r="G13" s="2" t="s">
        <v>6628</v>
      </c>
      <c r="H13" s="2"/>
      <c r="I13" s="2"/>
      <c r="J13" s="2"/>
      <c r="K13" s="2"/>
      <c r="L13" s="2"/>
      <c r="M13" s="2"/>
      <c r="N13" s="2"/>
      <c r="O13" s="2"/>
      <c r="P13" s="2"/>
      <c r="Q13" s="2"/>
      <c r="R13" s="2"/>
      <c r="S13" s="2"/>
      <c r="T13" s="2"/>
      <c r="U13" s="2"/>
      <c r="V13" s="2"/>
      <c r="W13" s="2"/>
      <c r="X13" s="2"/>
      <c r="Y13" s="2"/>
      <c r="Z13" s="2"/>
    </row>
    <row r="14" ht="14.8" spans="1:26">
      <c r="A14" s="6" t="s">
        <v>59</v>
      </c>
      <c r="B14" s="2" t="s">
        <v>6629</v>
      </c>
      <c r="C14" s="2" t="s">
        <v>61</v>
      </c>
      <c r="D14" s="2">
        <v>13</v>
      </c>
      <c r="E14" s="2" t="s">
        <v>37</v>
      </c>
      <c r="F14" s="2" t="s">
        <v>6630</v>
      </c>
      <c r="G14" s="2" t="s">
        <v>6631</v>
      </c>
      <c r="H14" s="2"/>
      <c r="I14" s="2"/>
      <c r="J14" s="2"/>
      <c r="K14" s="2"/>
      <c r="L14" s="2"/>
      <c r="M14" s="2"/>
      <c r="N14" s="2"/>
      <c r="O14" s="2"/>
      <c r="P14" s="2"/>
      <c r="Q14" s="2"/>
      <c r="R14" s="2"/>
      <c r="S14" s="2"/>
      <c r="T14" s="2"/>
      <c r="U14" s="2"/>
      <c r="V14" s="2"/>
      <c r="W14" s="2"/>
      <c r="X14" s="2"/>
      <c r="Y14" s="2"/>
      <c r="Z14" s="2"/>
    </row>
    <row r="15" ht="14.8" spans="1:26">
      <c r="A15" s="6" t="s">
        <v>64</v>
      </c>
      <c r="B15" s="2" t="s">
        <v>6632</v>
      </c>
      <c r="C15" s="2" t="s">
        <v>66</v>
      </c>
      <c r="D15" s="2">
        <v>13</v>
      </c>
      <c r="E15" s="2" t="s">
        <v>32</v>
      </c>
      <c r="F15" s="2" t="s">
        <v>6633</v>
      </c>
      <c r="G15" s="2" t="s">
        <v>6634</v>
      </c>
      <c r="H15" s="2"/>
      <c r="I15" s="2"/>
      <c r="J15" s="2"/>
      <c r="K15" s="2"/>
      <c r="L15" s="2"/>
      <c r="M15" s="2"/>
      <c r="N15" s="2"/>
      <c r="O15" s="2"/>
      <c r="P15" s="2"/>
      <c r="Q15" s="2"/>
      <c r="R15" s="2"/>
      <c r="S15" s="2"/>
      <c r="T15" s="2"/>
      <c r="U15" s="2"/>
      <c r="V15" s="2"/>
      <c r="W15" s="2"/>
      <c r="X15" s="2"/>
      <c r="Y15" s="2"/>
      <c r="Z15" s="2"/>
    </row>
    <row r="16" ht="14.8" spans="1:26">
      <c r="A16" s="6" t="s">
        <v>69</v>
      </c>
      <c r="B16" s="2" t="s">
        <v>6635</v>
      </c>
      <c r="C16" s="2" t="s">
        <v>66</v>
      </c>
      <c r="D16" s="2">
        <v>12</v>
      </c>
      <c r="E16" s="2" t="s">
        <v>71</v>
      </c>
      <c r="F16" s="2" t="s">
        <v>6636</v>
      </c>
      <c r="G16" s="2" t="s">
        <v>6637</v>
      </c>
      <c r="H16" s="2"/>
      <c r="I16" s="2"/>
      <c r="J16" s="2"/>
      <c r="K16" s="2"/>
      <c r="L16" s="2"/>
      <c r="M16" s="2"/>
      <c r="N16" s="2"/>
      <c r="O16" s="2"/>
      <c r="P16" s="2"/>
      <c r="Q16" s="2"/>
      <c r="R16" s="2"/>
      <c r="S16" s="2"/>
      <c r="T16" s="2"/>
      <c r="U16" s="2"/>
      <c r="V16" s="2"/>
      <c r="W16" s="2"/>
      <c r="X16" s="2"/>
      <c r="Y16" s="2"/>
      <c r="Z16" s="2"/>
    </row>
    <row r="17" ht="14.8" spans="1:26">
      <c r="A17" s="6" t="s">
        <v>74</v>
      </c>
      <c r="B17" s="2" t="s">
        <v>6638</v>
      </c>
      <c r="C17" s="2" t="s">
        <v>76</v>
      </c>
      <c r="D17" s="2"/>
      <c r="E17" s="2"/>
      <c r="F17" s="2" t="s">
        <v>6639</v>
      </c>
      <c r="G17" s="2" t="s">
        <v>6640</v>
      </c>
      <c r="H17" s="2"/>
      <c r="I17" s="2"/>
      <c r="J17" s="2"/>
      <c r="K17" s="2"/>
      <c r="L17" s="2"/>
      <c r="M17" s="2"/>
      <c r="N17" s="2"/>
      <c r="O17" s="2"/>
      <c r="P17" s="2"/>
      <c r="Q17" s="2"/>
      <c r="R17" s="2"/>
      <c r="S17" s="2"/>
      <c r="T17" s="2"/>
      <c r="U17" s="2"/>
      <c r="V17" s="2"/>
      <c r="W17" s="2"/>
      <c r="X17" s="2"/>
      <c r="Y17" s="2"/>
      <c r="Z17" s="2"/>
    </row>
    <row r="18" ht="14.8" spans="1:26">
      <c r="A18" s="6" t="s">
        <v>79</v>
      </c>
      <c r="B18" s="2" t="s">
        <v>6641</v>
      </c>
      <c r="C18" s="2" t="s">
        <v>81</v>
      </c>
      <c r="D18" s="2"/>
      <c r="E18" s="2" t="s">
        <v>37</v>
      </c>
      <c r="F18" s="2" t="s">
        <v>6642</v>
      </c>
      <c r="G18" s="2" t="s">
        <v>6643</v>
      </c>
      <c r="H18" s="2"/>
      <c r="I18" s="2"/>
      <c r="J18" s="2"/>
      <c r="K18" s="2"/>
      <c r="L18" s="2"/>
      <c r="M18" s="2"/>
      <c r="N18" s="2"/>
      <c r="O18" s="2"/>
      <c r="P18" s="2"/>
      <c r="Q18" s="2"/>
      <c r="R18" s="2"/>
      <c r="S18" s="2"/>
      <c r="T18" s="2"/>
      <c r="U18" s="2"/>
      <c r="V18" s="2"/>
      <c r="W18" s="2"/>
      <c r="X18" s="2"/>
      <c r="Y18" s="2"/>
      <c r="Z18" s="2"/>
    </row>
    <row r="19" ht="14.8" spans="1:26">
      <c r="A19" s="6" t="s">
        <v>84</v>
      </c>
      <c r="B19" s="2" t="s">
        <v>6644</v>
      </c>
      <c r="C19" s="2" t="s">
        <v>86</v>
      </c>
      <c r="D19" s="8">
        <v>134</v>
      </c>
      <c r="E19" s="2" t="s">
        <v>21</v>
      </c>
      <c r="F19" s="125"/>
      <c r="G19" s="2" t="s">
        <v>6645</v>
      </c>
      <c r="H19" s="2"/>
      <c r="I19" s="2"/>
      <c r="J19" s="2"/>
      <c r="K19" s="2"/>
      <c r="L19" s="2"/>
      <c r="M19" s="2"/>
      <c r="N19" s="2"/>
      <c r="O19" s="2"/>
      <c r="P19" s="2"/>
      <c r="Q19" s="2"/>
      <c r="R19" s="2"/>
      <c r="S19" s="2"/>
      <c r="T19" s="2"/>
      <c r="U19" s="2"/>
      <c r="V19" s="2"/>
      <c r="W19" s="2"/>
      <c r="X19" s="2"/>
      <c r="Y19" s="2"/>
      <c r="Z19" s="2"/>
    </row>
    <row r="20" ht="14.8" spans="1:26">
      <c r="A20" s="6" t="s">
        <v>89</v>
      </c>
      <c r="B20" s="2" t="s">
        <v>6646</v>
      </c>
      <c r="C20" s="2" t="s">
        <v>91</v>
      </c>
      <c r="D20" s="2"/>
      <c r="E20" s="2"/>
      <c r="F20" s="2" t="s">
        <v>6647</v>
      </c>
      <c r="G20" s="2" t="s">
        <v>6648</v>
      </c>
      <c r="H20" s="2"/>
      <c r="I20" s="2"/>
      <c r="J20" s="2"/>
      <c r="K20" s="2"/>
      <c r="L20" s="2"/>
      <c r="M20" s="2"/>
      <c r="N20" s="2"/>
      <c r="O20" s="2"/>
      <c r="P20" s="2"/>
      <c r="Q20" s="2"/>
      <c r="R20" s="2"/>
      <c r="S20" s="2"/>
      <c r="T20" s="2"/>
      <c r="U20" s="2"/>
      <c r="V20" s="2"/>
      <c r="W20" s="2"/>
      <c r="X20" s="2"/>
      <c r="Y20" s="2"/>
      <c r="Z20" s="2"/>
    </row>
    <row r="21" ht="14.8" spans="1:26">
      <c r="A21" s="6" t="s">
        <v>94</v>
      </c>
      <c r="B21" s="2" t="s">
        <v>6649</v>
      </c>
      <c r="C21" s="2" t="s">
        <v>925</v>
      </c>
      <c r="D21" s="2">
        <v>60</v>
      </c>
      <c r="E21" s="2" t="s">
        <v>71</v>
      </c>
      <c r="F21" s="2" t="s">
        <v>6650</v>
      </c>
      <c r="G21" s="2" t="s">
        <v>6651</v>
      </c>
      <c r="H21" s="2"/>
      <c r="I21" s="2"/>
      <c r="J21" s="2"/>
      <c r="K21" s="2"/>
      <c r="L21" s="2"/>
      <c r="M21" s="2"/>
      <c r="N21" s="2"/>
      <c r="O21" s="2"/>
      <c r="P21" s="2"/>
      <c r="Q21" s="2"/>
      <c r="R21" s="2"/>
      <c r="S21" s="2"/>
      <c r="T21" s="2"/>
      <c r="U21" s="2"/>
      <c r="V21" s="2"/>
      <c r="W21" s="2"/>
      <c r="X21" s="2"/>
      <c r="Y21" s="2"/>
      <c r="Z21" s="2"/>
    </row>
    <row r="22" ht="14.8" spans="1:26">
      <c r="A22" s="6" t="s">
        <v>99</v>
      </c>
      <c r="B22" s="2" t="s">
        <v>6652</v>
      </c>
      <c r="C22" s="2" t="s">
        <v>925</v>
      </c>
      <c r="D22" s="2">
        <v>70</v>
      </c>
      <c r="E22" s="2" t="s">
        <v>32</v>
      </c>
      <c r="F22" s="2" t="s">
        <v>6653</v>
      </c>
      <c r="G22" s="2" t="s">
        <v>6654</v>
      </c>
      <c r="H22" s="2"/>
      <c r="I22" s="2"/>
      <c r="J22" s="2"/>
      <c r="K22" s="2"/>
      <c r="L22" s="2"/>
      <c r="M22" s="2"/>
      <c r="N22" s="2"/>
      <c r="O22" s="2"/>
      <c r="P22" s="2"/>
      <c r="Q22" s="2"/>
      <c r="R22" s="2"/>
      <c r="S22" s="2"/>
      <c r="T22" s="2"/>
      <c r="U22" s="2"/>
      <c r="V22" s="2"/>
      <c r="W22" s="2"/>
      <c r="X22" s="2"/>
      <c r="Y22" s="2"/>
      <c r="Z22" s="2"/>
    </row>
    <row r="23" ht="14.8" spans="1:26">
      <c r="A23" s="6" t="s">
        <v>102</v>
      </c>
      <c r="B23" s="2" t="s">
        <v>6655</v>
      </c>
      <c r="C23" s="2" t="s">
        <v>108</v>
      </c>
      <c r="D23" s="2">
        <v>123</v>
      </c>
      <c r="E23" s="2" t="s">
        <v>21</v>
      </c>
      <c r="F23" s="2" t="s">
        <v>6656</v>
      </c>
      <c r="G23" s="2" t="s">
        <v>6657</v>
      </c>
      <c r="H23" s="2"/>
      <c r="I23" s="2"/>
      <c r="J23" s="2"/>
      <c r="K23" s="2"/>
      <c r="L23" s="2"/>
      <c r="M23" s="2"/>
      <c r="N23" s="2"/>
      <c r="O23" s="2"/>
      <c r="P23" s="2"/>
      <c r="Q23" s="2"/>
      <c r="R23" s="2"/>
      <c r="S23" s="2"/>
      <c r="T23" s="2"/>
      <c r="U23" s="2"/>
      <c r="V23" s="2"/>
      <c r="W23" s="2"/>
      <c r="X23" s="2"/>
      <c r="Y23" s="2"/>
      <c r="Z23" s="2"/>
    </row>
    <row r="24" ht="14.8" spans="1:26">
      <c r="A24" s="6" t="s">
        <v>107</v>
      </c>
      <c r="B24" s="2" t="s">
        <v>6658</v>
      </c>
      <c r="C24" s="2" t="s">
        <v>104</v>
      </c>
      <c r="D24" s="2"/>
      <c r="E24" s="2"/>
      <c r="F24" s="2" t="s">
        <v>6659</v>
      </c>
      <c r="G24" s="2" t="s">
        <v>6660</v>
      </c>
      <c r="H24" s="2"/>
      <c r="I24" s="2"/>
      <c r="J24" s="2"/>
      <c r="K24" s="2"/>
      <c r="L24" s="2"/>
      <c r="M24" s="2"/>
      <c r="N24" s="2"/>
      <c r="O24" s="2"/>
      <c r="P24" s="2"/>
      <c r="Q24" s="2"/>
      <c r="R24" s="2"/>
      <c r="S24" s="2"/>
      <c r="T24" s="2"/>
      <c r="U24" s="2"/>
      <c r="V24" s="2"/>
      <c r="W24" s="2"/>
      <c r="X24" s="2"/>
      <c r="Y24" s="2"/>
      <c r="Z24" s="2"/>
    </row>
    <row r="25" ht="14.8" spans="1:26">
      <c r="A25" s="6" t="s">
        <v>110</v>
      </c>
      <c r="B25" s="2" t="s">
        <v>6661</v>
      </c>
      <c r="C25" s="2" t="s">
        <v>112</v>
      </c>
      <c r="D25" s="2"/>
      <c r="E25" s="2"/>
      <c r="F25" s="2" t="s">
        <v>6662</v>
      </c>
      <c r="G25" s="2" t="s">
        <v>6663</v>
      </c>
      <c r="H25" s="2"/>
      <c r="I25" s="2"/>
      <c r="J25" s="2"/>
      <c r="K25" s="2"/>
      <c r="L25" s="2"/>
      <c r="M25" s="2"/>
      <c r="N25" s="2"/>
      <c r="O25" s="2"/>
      <c r="P25" s="2"/>
      <c r="Q25" s="2"/>
      <c r="R25" s="2"/>
      <c r="S25" s="2"/>
      <c r="T25" s="2"/>
      <c r="U25" s="2"/>
      <c r="V25" s="2"/>
      <c r="W25" s="2"/>
      <c r="X25" s="2"/>
      <c r="Y25" s="2"/>
      <c r="Z25" s="2"/>
    </row>
    <row r="26" ht="14.8" spans="1:26">
      <c r="A26" s="2" t="s">
        <v>115</v>
      </c>
      <c r="B26" s="2" t="s">
        <v>6664</v>
      </c>
      <c r="C26" s="2" t="s">
        <v>117</v>
      </c>
      <c r="D26" s="2">
        <v>90</v>
      </c>
      <c r="E26" s="2" t="s">
        <v>32</v>
      </c>
      <c r="F26" s="2" t="s">
        <v>6665</v>
      </c>
      <c r="G26" s="2" t="s">
        <v>6666</v>
      </c>
      <c r="H26" s="2"/>
      <c r="I26" s="2"/>
      <c r="J26" s="2"/>
      <c r="K26" s="2"/>
      <c r="L26" s="2"/>
      <c r="M26" s="2"/>
      <c r="N26" s="2"/>
      <c r="O26" s="2"/>
      <c r="P26" s="2"/>
      <c r="Q26" s="2"/>
      <c r="R26" s="2"/>
      <c r="S26" s="2"/>
      <c r="T26" s="2"/>
      <c r="U26" s="2"/>
      <c r="V26" s="2"/>
      <c r="W26" s="2"/>
      <c r="X26" s="2"/>
      <c r="Y26" s="2"/>
      <c r="Z26" s="2"/>
    </row>
    <row r="27" ht="14.8" spans="1:26">
      <c r="A27" s="6" t="s">
        <v>120</v>
      </c>
      <c r="B27" s="2" t="s">
        <v>6667</v>
      </c>
      <c r="C27" s="2" t="s">
        <v>117</v>
      </c>
      <c r="D27" s="2">
        <v>60</v>
      </c>
      <c r="E27" s="2" t="s">
        <v>37</v>
      </c>
      <c r="F27" s="2" t="s">
        <v>6668</v>
      </c>
      <c r="G27" s="2" t="s">
        <v>6669</v>
      </c>
      <c r="H27" s="2"/>
      <c r="I27" s="2"/>
      <c r="J27" s="2"/>
      <c r="K27" s="2"/>
      <c r="L27" s="2"/>
      <c r="M27" s="2"/>
      <c r="N27" s="2"/>
      <c r="O27" s="2"/>
      <c r="P27" s="2"/>
      <c r="Q27" s="2"/>
      <c r="R27" s="2"/>
      <c r="S27" s="2"/>
      <c r="T27" s="2"/>
      <c r="U27" s="2"/>
      <c r="V27" s="2"/>
      <c r="W27" s="2"/>
      <c r="X27" s="2"/>
      <c r="Y27" s="2"/>
      <c r="Z27" s="2"/>
    </row>
    <row r="28" ht="14.8" spans="1:26">
      <c r="A28" s="6" t="s">
        <v>123</v>
      </c>
      <c r="B28" s="2" t="s">
        <v>5870</v>
      </c>
      <c r="C28" s="2" t="s">
        <v>117</v>
      </c>
      <c r="D28" s="2">
        <v>80</v>
      </c>
      <c r="E28" s="2" t="s">
        <v>245</v>
      </c>
      <c r="F28" s="125"/>
      <c r="G28" s="2" t="s">
        <v>6670</v>
      </c>
      <c r="H28" s="2"/>
      <c r="I28" s="2"/>
      <c r="J28" s="2"/>
      <c r="K28" s="2"/>
      <c r="L28" s="2"/>
      <c r="M28" s="2"/>
      <c r="N28" s="2"/>
      <c r="O28" s="2"/>
      <c r="P28" s="2"/>
      <c r="Q28" s="2"/>
      <c r="R28" s="2"/>
      <c r="S28" s="2"/>
      <c r="T28" s="2"/>
      <c r="U28" s="2"/>
      <c r="V28" s="2"/>
      <c r="W28" s="2"/>
      <c r="X28" s="2"/>
      <c r="Y28" s="2"/>
      <c r="Z28" s="2"/>
    </row>
    <row r="29" ht="14.8" spans="1:26">
      <c r="A29" s="6" t="s">
        <v>127</v>
      </c>
      <c r="B29" s="2" t="s">
        <v>6671</v>
      </c>
      <c r="C29" s="2" t="s">
        <v>117</v>
      </c>
      <c r="D29" s="2">
        <v>50</v>
      </c>
      <c r="E29" s="2" t="s">
        <v>37</v>
      </c>
      <c r="F29" s="2" t="s">
        <v>6672</v>
      </c>
      <c r="G29" s="2" t="s">
        <v>6673</v>
      </c>
      <c r="H29" s="2"/>
      <c r="I29" s="2"/>
      <c r="J29" s="2"/>
      <c r="K29" s="2"/>
      <c r="L29" s="2"/>
      <c r="M29" s="2"/>
      <c r="N29" s="2"/>
      <c r="O29" s="2"/>
      <c r="P29" s="2"/>
      <c r="Q29" s="2"/>
      <c r="R29" s="2"/>
      <c r="S29" s="2"/>
      <c r="T29" s="2"/>
      <c r="U29" s="2"/>
      <c r="V29" s="2"/>
      <c r="W29" s="2"/>
      <c r="X29" s="2"/>
      <c r="Y29" s="2"/>
      <c r="Z29" s="2"/>
    </row>
    <row r="30" ht="14.8" spans="1:26">
      <c r="A30" s="6" t="s">
        <v>131</v>
      </c>
      <c r="B30" s="2" t="s">
        <v>6674</v>
      </c>
      <c r="C30" s="2" t="s">
        <v>117</v>
      </c>
      <c r="D30" s="2">
        <v>50</v>
      </c>
      <c r="E30" s="2" t="s">
        <v>32</v>
      </c>
      <c r="F30" s="2" t="s">
        <v>6675</v>
      </c>
      <c r="G30" s="2" t="s">
        <v>6676</v>
      </c>
      <c r="H30" s="2"/>
      <c r="I30" s="2"/>
      <c r="J30" s="2"/>
      <c r="K30" s="2"/>
      <c r="L30" s="2"/>
      <c r="M30" s="2"/>
      <c r="N30" s="2"/>
      <c r="O30" s="2"/>
      <c r="P30" s="2"/>
      <c r="Q30" s="2"/>
      <c r="R30" s="2"/>
      <c r="S30" s="2"/>
      <c r="T30" s="2"/>
      <c r="U30" s="2"/>
      <c r="V30" s="2"/>
      <c r="W30" s="2"/>
      <c r="X30" s="2"/>
      <c r="Y30" s="2"/>
      <c r="Z30" s="2"/>
    </row>
    <row r="31" ht="14.8" spans="1:26">
      <c r="A31" s="6" t="s">
        <v>135</v>
      </c>
      <c r="B31" s="2" t="s">
        <v>6677</v>
      </c>
      <c r="C31" s="2" t="s">
        <v>117</v>
      </c>
      <c r="D31" s="2">
        <v>30</v>
      </c>
      <c r="E31" s="2" t="s">
        <v>32</v>
      </c>
      <c r="F31" s="2" t="s">
        <v>6678</v>
      </c>
      <c r="G31" s="2" t="s">
        <v>6679</v>
      </c>
      <c r="H31" s="2"/>
      <c r="I31" s="2"/>
      <c r="J31" s="2"/>
      <c r="K31" s="2"/>
      <c r="L31" s="2"/>
      <c r="M31" s="2"/>
      <c r="N31" s="2"/>
      <c r="O31" s="2"/>
      <c r="P31" s="2"/>
      <c r="Q31" s="2"/>
      <c r="R31" s="2"/>
      <c r="S31" s="2"/>
      <c r="T31" s="2"/>
      <c r="U31" s="2"/>
      <c r="V31" s="2"/>
      <c r="W31" s="2"/>
      <c r="X31" s="2"/>
      <c r="Y31" s="2"/>
      <c r="Z31" s="2"/>
    </row>
    <row r="32" ht="14.8" spans="1:26">
      <c r="A32" s="6" t="s">
        <v>139</v>
      </c>
      <c r="B32" s="2" t="s">
        <v>6680</v>
      </c>
      <c r="C32" s="2" t="s">
        <v>141</v>
      </c>
      <c r="D32" s="8">
        <v>55</v>
      </c>
      <c r="E32" s="2" t="s">
        <v>37</v>
      </c>
      <c r="F32" s="2" t="s">
        <v>6681</v>
      </c>
      <c r="G32" s="2" t="s">
        <v>6682</v>
      </c>
      <c r="H32" s="2"/>
      <c r="I32" s="2"/>
      <c r="J32" s="2"/>
      <c r="K32" s="2"/>
      <c r="L32" s="2"/>
      <c r="M32" s="2"/>
      <c r="N32" s="2"/>
      <c r="O32" s="2"/>
      <c r="P32" s="2"/>
      <c r="Q32" s="2"/>
      <c r="R32" s="2"/>
      <c r="S32" s="2"/>
      <c r="T32" s="2"/>
      <c r="U32" s="2"/>
      <c r="V32" s="2"/>
      <c r="W32" s="2"/>
      <c r="X32" s="2"/>
      <c r="Y32" s="2"/>
      <c r="Z32" s="2"/>
    </row>
    <row r="33" ht="14.8" spans="1:26">
      <c r="A33" s="6" t="s">
        <v>144</v>
      </c>
      <c r="B33" s="2" t="s">
        <v>6683</v>
      </c>
      <c r="C33" s="2" t="s">
        <v>146</v>
      </c>
      <c r="D33" s="2"/>
      <c r="E33" s="2"/>
      <c r="F33" s="2" t="s">
        <v>6684</v>
      </c>
      <c r="G33" s="2" t="s">
        <v>6685</v>
      </c>
      <c r="H33" s="2"/>
      <c r="I33" s="2"/>
      <c r="J33" s="2"/>
      <c r="K33" s="2"/>
      <c r="L33" s="2"/>
      <c r="M33" s="2"/>
      <c r="N33" s="2"/>
      <c r="O33" s="2"/>
      <c r="P33" s="2"/>
      <c r="Q33" s="2"/>
      <c r="R33" s="2"/>
      <c r="S33" s="2"/>
      <c r="T33" s="2"/>
      <c r="U33" s="2"/>
      <c r="V33" s="2"/>
      <c r="W33" s="2"/>
      <c r="X33" s="2"/>
      <c r="Y33" s="2"/>
      <c r="Z33" s="2"/>
    </row>
    <row r="34" ht="14.8" spans="1:26">
      <c r="A34" s="6" t="s">
        <v>149</v>
      </c>
      <c r="B34" s="2" t="s">
        <v>6686</v>
      </c>
      <c r="C34" s="2" t="s">
        <v>151</v>
      </c>
      <c r="D34" s="2"/>
      <c r="E34" s="2"/>
      <c r="F34" s="2" t="s">
        <v>6687</v>
      </c>
      <c r="G34" s="2" t="s">
        <v>6688</v>
      </c>
      <c r="H34" s="2"/>
      <c r="I34" s="2"/>
      <c r="J34" s="2"/>
      <c r="K34" s="2"/>
      <c r="L34" s="2"/>
      <c r="M34" s="2"/>
      <c r="N34" s="2"/>
      <c r="O34" s="2"/>
      <c r="P34" s="2"/>
      <c r="Q34" s="2"/>
      <c r="R34" s="2"/>
      <c r="S34" s="2"/>
      <c r="T34" s="2"/>
      <c r="U34" s="2"/>
      <c r="V34" s="2"/>
      <c r="W34" s="2"/>
      <c r="X34" s="2"/>
      <c r="Y34" s="2"/>
      <c r="Z34" s="2"/>
    </row>
    <row r="35" ht="14.8" spans="1:26">
      <c r="A35" s="6" t="s">
        <v>154</v>
      </c>
      <c r="B35" s="2" t="s">
        <v>6689</v>
      </c>
      <c r="C35" s="2" t="s">
        <v>156</v>
      </c>
      <c r="D35" s="2">
        <v>30</v>
      </c>
      <c r="E35" s="2" t="s">
        <v>37</v>
      </c>
      <c r="F35" s="2" t="s">
        <v>6690</v>
      </c>
      <c r="G35" s="2" t="s">
        <v>6691</v>
      </c>
      <c r="H35" s="2"/>
      <c r="I35" s="2"/>
      <c r="J35" s="2"/>
      <c r="K35" s="2"/>
      <c r="L35" s="2"/>
      <c r="M35" s="2"/>
      <c r="N35" s="2"/>
      <c r="O35" s="2"/>
      <c r="P35" s="2"/>
      <c r="Q35" s="2"/>
      <c r="R35" s="2"/>
      <c r="S35" s="2"/>
      <c r="T35" s="2"/>
      <c r="U35" s="2"/>
      <c r="V35" s="2"/>
      <c r="W35" s="2"/>
      <c r="X35" s="2"/>
      <c r="Y35" s="2"/>
      <c r="Z35" s="2"/>
    </row>
    <row r="36" ht="14.8" spans="1:26">
      <c r="A36" s="6" t="s">
        <v>159</v>
      </c>
      <c r="B36" s="2" t="s">
        <v>6692</v>
      </c>
      <c r="C36" s="2" t="s">
        <v>161</v>
      </c>
      <c r="D36" s="2"/>
      <c r="E36" s="2"/>
      <c r="F36" s="2" t="s">
        <v>6693</v>
      </c>
      <c r="G36" s="2" t="s">
        <v>6694</v>
      </c>
      <c r="H36" s="2"/>
      <c r="I36" s="2"/>
      <c r="J36" s="2"/>
      <c r="K36" s="2"/>
      <c r="L36" s="2"/>
      <c r="M36" s="2"/>
      <c r="N36" s="2"/>
      <c r="O36" s="2"/>
      <c r="P36" s="2"/>
      <c r="Q36" s="2"/>
      <c r="R36" s="2"/>
      <c r="S36" s="2"/>
      <c r="T36" s="2"/>
      <c r="U36" s="2"/>
      <c r="V36" s="2"/>
      <c r="W36" s="2"/>
      <c r="X36" s="2"/>
      <c r="Y36" s="2"/>
      <c r="Z36" s="2"/>
    </row>
    <row r="37" ht="14.8" spans="1:26">
      <c r="A37" s="6" t="s">
        <v>164</v>
      </c>
      <c r="B37" s="2" t="s">
        <v>6695</v>
      </c>
      <c r="C37" s="2" t="s">
        <v>166</v>
      </c>
      <c r="D37" s="2"/>
      <c r="E37" s="2"/>
      <c r="F37" s="2" t="s">
        <v>6696</v>
      </c>
      <c r="G37" s="2" t="s">
        <v>6697</v>
      </c>
      <c r="H37" s="2"/>
      <c r="I37" s="2"/>
      <c r="J37" s="2"/>
      <c r="K37" s="2"/>
      <c r="L37" s="2"/>
      <c r="M37" s="2"/>
      <c r="N37" s="2"/>
      <c r="O37" s="2"/>
      <c r="P37" s="2"/>
      <c r="Q37" s="2"/>
      <c r="R37" s="2"/>
      <c r="S37" s="2"/>
      <c r="T37" s="2"/>
      <c r="U37" s="2"/>
      <c r="V37" s="2"/>
      <c r="W37" s="2"/>
      <c r="X37" s="2"/>
      <c r="Y37" s="2"/>
      <c r="Z37" s="2"/>
    </row>
    <row r="38" ht="14.8" spans="1:26">
      <c r="A38" s="6" t="s">
        <v>169</v>
      </c>
      <c r="B38" s="2" t="s">
        <v>6698</v>
      </c>
      <c r="C38" s="2" t="s">
        <v>171</v>
      </c>
      <c r="D38" s="2">
        <v>46</v>
      </c>
      <c r="E38" s="2" t="s">
        <v>37</v>
      </c>
      <c r="F38" s="2" t="s">
        <v>6699</v>
      </c>
      <c r="G38" s="2" t="s">
        <v>6700</v>
      </c>
      <c r="H38" s="2"/>
      <c r="I38" s="2"/>
      <c r="J38" s="2"/>
      <c r="K38" s="2"/>
      <c r="L38" s="2"/>
      <c r="M38" s="2"/>
      <c r="N38" s="2"/>
      <c r="O38" s="2"/>
      <c r="P38" s="2"/>
      <c r="Q38" s="2"/>
      <c r="R38" s="2"/>
      <c r="S38" s="2"/>
      <c r="T38" s="2"/>
      <c r="U38" s="2"/>
      <c r="V38" s="2"/>
      <c r="W38" s="2"/>
      <c r="X38" s="2"/>
      <c r="Y38" s="2"/>
      <c r="Z38" s="2"/>
    </row>
    <row r="39" ht="14.8" spans="1:26">
      <c r="A39" s="6" t="s">
        <v>174</v>
      </c>
      <c r="B39" s="2" t="s">
        <v>6701</v>
      </c>
      <c r="C39" s="2" t="s">
        <v>171</v>
      </c>
      <c r="D39" s="2">
        <v>30</v>
      </c>
      <c r="E39" s="2" t="s">
        <v>37</v>
      </c>
      <c r="F39" s="2" t="s">
        <v>6702</v>
      </c>
      <c r="G39" s="2" t="s">
        <v>6703</v>
      </c>
      <c r="H39" s="2"/>
      <c r="I39" s="2"/>
      <c r="J39" s="2"/>
      <c r="K39" s="2"/>
      <c r="L39" s="2"/>
      <c r="M39" s="2"/>
      <c r="N39" s="2"/>
      <c r="O39" s="2"/>
      <c r="P39" s="2"/>
      <c r="Q39" s="2"/>
      <c r="R39" s="2"/>
      <c r="S39" s="2"/>
      <c r="T39" s="2"/>
      <c r="U39" s="2"/>
      <c r="V39" s="2"/>
      <c r="W39" s="2"/>
      <c r="X39" s="2"/>
      <c r="Y39" s="2"/>
      <c r="Z39" s="2"/>
    </row>
    <row r="40" ht="14.8" spans="1:26">
      <c r="A40" s="6" t="s">
        <v>178</v>
      </c>
      <c r="B40" s="2" t="s">
        <v>6704</v>
      </c>
      <c r="C40" s="2" t="s">
        <v>180</v>
      </c>
      <c r="D40" s="2">
        <v>45</v>
      </c>
      <c r="E40" s="2" t="s">
        <v>37</v>
      </c>
      <c r="F40" s="2" t="s">
        <v>6705</v>
      </c>
      <c r="G40" s="2" t="s">
        <v>6706</v>
      </c>
      <c r="H40" s="2"/>
      <c r="I40" s="2"/>
      <c r="J40" s="2"/>
      <c r="K40" s="2"/>
      <c r="L40" s="2"/>
      <c r="M40" s="2"/>
      <c r="N40" s="2"/>
      <c r="O40" s="2"/>
      <c r="P40" s="2"/>
      <c r="Q40" s="2"/>
      <c r="R40" s="2"/>
      <c r="S40" s="2"/>
      <c r="T40" s="2"/>
      <c r="U40" s="2"/>
      <c r="V40" s="2"/>
      <c r="W40" s="2"/>
      <c r="X40" s="2"/>
      <c r="Y40" s="2"/>
      <c r="Z40" s="2"/>
    </row>
    <row r="41" ht="14.8" spans="1:26">
      <c r="A41" s="6" t="s">
        <v>183</v>
      </c>
      <c r="B41" s="125"/>
      <c r="C41" s="2" t="s">
        <v>185</v>
      </c>
      <c r="D41" s="2">
        <v>7</v>
      </c>
      <c r="E41" s="2" t="s">
        <v>37</v>
      </c>
      <c r="F41" s="125"/>
      <c r="G41" s="125"/>
      <c r="H41" s="2"/>
      <c r="I41" s="2"/>
      <c r="J41" s="2"/>
      <c r="K41" s="2"/>
      <c r="L41" s="2"/>
      <c r="M41" s="2"/>
      <c r="N41" s="2"/>
      <c r="O41" s="2"/>
      <c r="P41" s="2"/>
      <c r="Q41" s="2"/>
      <c r="R41" s="2"/>
      <c r="S41" s="2"/>
      <c r="T41" s="2"/>
      <c r="U41" s="2"/>
      <c r="V41" s="2"/>
      <c r="W41" s="2"/>
      <c r="X41" s="2"/>
      <c r="Y41" s="2"/>
      <c r="Z41" s="2"/>
    </row>
    <row r="42" ht="14.8" spans="1:26">
      <c r="A42" s="6" t="s">
        <v>188</v>
      </c>
      <c r="B42" s="2" t="s">
        <v>6707</v>
      </c>
      <c r="C42" s="2" t="s">
        <v>190</v>
      </c>
      <c r="D42" s="2">
        <v>650</v>
      </c>
      <c r="E42" s="2" t="s">
        <v>37</v>
      </c>
      <c r="F42" s="2" t="s">
        <v>6708</v>
      </c>
      <c r="G42" s="2" t="s">
        <v>6709</v>
      </c>
      <c r="H42" s="2"/>
      <c r="I42" s="2"/>
      <c r="J42" s="2"/>
      <c r="K42" s="2"/>
      <c r="L42" s="2"/>
      <c r="M42" s="2"/>
      <c r="N42" s="2"/>
      <c r="O42" s="2"/>
      <c r="P42" s="2"/>
      <c r="Q42" s="2"/>
      <c r="R42" s="2"/>
      <c r="S42" s="2"/>
      <c r="T42" s="2"/>
      <c r="U42" s="2"/>
      <c r="V42" s="2"/>
      <c r="W42" s="2"/>
      <c r="X42" s="2"/>
      <c r="Y42" s="2"/>
      <c r="Z42" s="2"/>
    </row>
    <row r="43" ht="14.8" spans="1:26">
      <c r="A43" s="6" t="s">
        <v>193</v>
      </c>
      <c r="B43" s="2" t="s">
        <v>6710</v>
      </c>
      <c r="C43" s="2" t="s">
        <v>195</v>
      </c>
      <c r="D43" s="2"/>
      <c r="E43" s="2"/>
      <c r="F43" s="2" t="s">
        <v>6711</v>
      </c>
      <c r="G43" s="2" t="s">
        <v>6712</v>
      </c>
      <c r="H43" s="2"/>
      <c r="I43" s="2"/>
      <c r="J43" s="2"/>
      <c r="K43" s="2"/>
      <c r="L43" s="2"/>
      <c r="M43" s="2"/>
      <c r="N43" s="2"/>
      <c r="O43" s="2"/>
      <c r="P43" s="2"/>
      <c r="Q43" s="2"/>
      <c r="R43" s="2"/>
      <c r="S43" s="2"/>
      <c r="T43" s="2"/>
      <c r="U43" s="2"/>
      <c r="V43" s="2"/>
      <c r="W43" s="2"/>
      <c r="X43" s="2"/>
      <c r="Y43" s="2"/>
      <c r="Z43" s="2"/>
    </row>
    <row r="44" ht="14.8" spans="1:26">
      <c r="A44" s="6" t="s">
        <v>198</v>
      </c>
      <c r="B44" s="125"/>
      <c r="C44" s="2" t="s">
        <v>200</v>
      </c>
      <c r="D44" s="2">
        <v>30</v>
      </c>
      <c r="E44" s="2" t="s">
        <v>21</v>
      </c>
      <c r="F44" s="125"/>
      <c r="G44" s="2" t="s">
        <v>6713</v>
      </c>
      <c r="H44" s="2"/>
      <c r="I44" s="2"/>
      <c r="J44" s="2"/>
      <c r="K44" s="2"/>
      <c r="L44" s="2"/>
      <c r="M44" s="2"/>
      <c r="N44" s="2"/>
      <c r="O44" s="2"/>
      <c r="P44" s="2"/>
      <c r="Q44" s="2"/>
      <c r="R44" s="2"/>
      <c r="S44" s="2"/>
      <c r="T44" s="2"/>
      <c r="U44" s="2"/>
      <c r="V44" s="2"/>
      <c r="W44" s="2"/>
      <c r="X44" s="2"/>
      <c r="Y44" s="2"/>
      <c r="Z44" s="2"/>
    </row>
    <row r="45" ht="14.8" spans="1:26">
      <c r="A45" s="6" t="s">
        <v>203</v>
      </c>
      <c r="B45" s="2" t="s">
        <v>6714</v>
      </c>
      <c r="C45" s="2" t="s">
        <v>200</v>
      </c>
      <c r="D45" s="8">
        <v>80</v>
      </c>
      <c r="E45" s="2" t="s">
        <v>21</v>
      </c>
      <c r="F45" s="2" t="s">
        <v>6715</v>
      </c>
      <c r="G45" s="2" t="s">
        <v>6716</v>
      </c>
      <c r="H45" s="2"/>
      <c r="I45" s="2"/>
      <c r="J45" s="2"/>
      <c r="K45" s="2"/>
      <c r="L45" s="2"/>
      <c r="M45" s="2"/>
      <c r="N45" s="2"/>
      <c r="O45" s="2"/>
      <c r="P45" s="2"/>
      <c r="Q45" s="2"/>
      <c r="R45" s="2"/>
      <c r="S45" s="2"/>
      <c r="T45" s="2"/>
      <c r="U45" s="2"/>
      <c r="V45" s="2"/>
      <c r="W45" s="2"/>
      <c r="X45" s="2"/>
      <c r="Y45" s="2"/>
      <c r="Z45" s="2"/>
    </row>
    <row r="46" ht="14.8" spans="1:26">
      <c r="A46" s="6" t="s">
        <v>207</v>
      </c>
      <c r="B46" s="125"/>
      <c r="C46" s="2" t="s">
        <v>209</v>
      </c>
      <c r="D46" s="2">
        <v>5</v>
      </c>
      <c r="E46" s="2" t="s">
        <v>37</v>
      </c>
      <c r="F46" s="125"/>
      <c r="G46" s="125"/>
      <c r="H46" s="2"/>
      <c r="I46" s="2"/>
      <c r="J46" s="2"/>
      <c r="K46" s="2"/>
      <c r="L46" s="2"/>
      <c r="M46" s="2"/>
      <c r="N46" s="2"/>
      <c r="O46" s="2"/>
      <c r="P46" s="2"/>
      <c r="Q46" s="2"/>
      <c r="R46" s="2"/>
      <c r="S46" s="2"/>
      <c r="T46" s="2"/>
      <c r="U46" s="2"/>
      <c r="V46" s="2"/>
      <c r="W46" s="2"/>
      <c r="X46" s="2"/>
      <c r="Y46" s="2"/>
      <c r="Z46" s="2"/>
    </row>
    <row r="47" ht="14.8" spans="1:26">
      <c r="A47" s="6" t="s">
        <v>212</v>
      </c>
      <c r="B47" s="2" t="s">
        <v>6717</v>
      </c>
      <c r="C47" s="2" t="s">
        <v>214</v>
      </c>
      <c r="D47" s="8">
        <v>20</v>
      </c>
      <c r="E47" s="2" t="s">
        <v>37</v>
      </c>
      <c r="F47" s="2" t="s">
        <v>6718</v>
      </c>
      <c r="G47" s="2" t="s">
        <v>6719</v>
      </c>
      <c r="H47" s="2"/>
      <c r="I47" s="2"/>
      <c r="J47" s="2"/>
      <c r="K47" s="2"/>
      <c r="L47" s="2"/>
      <c r="M47" s="2"/>
      <c r="N47" s="2"/>
      <c r="O47" s="2"/>
      <c r="P47" s="2"/>
      <c r="Q47" s="2"/>
      <c r="R47" s="2"/>
      <c r="S47" s="2"/>
      <c r="T47" s="2"/>
      <c r="U47" s="2"/>
      <c r="V47" s="2"/>
      <c r="W47" s="2"/>
      <c r="X47" s="2"/>
      <c r="Y47" s="2"/>
      <c r="Z47" s="2"/>
    </row>
    <row r="48" ht="14.8" spans="1:26">
      <c r="A48" s="6" t="s">
        <v>217</v>
      </c>
      <c r="B48" s="2" t="s">
        <v>6720</v>
      </c>
      <c r="C48" s="2" t="s">
        <v>219</v>
      </c>
      <c r="D48" s="2"/>
      <c r="E48" s="2"/>
      <c r="F48" s="2" t="s">
        <v>6721</v>
      </c>
      <c r="G48" s="2" t="s">
        <v>6722</v>
      </c>
      <c r="H48" s="2"/>
      <c r="I48" s="2"/>
      <c r="J48" s="2"/>
      <c r="K48" s="2"/>
      <c r="L48" s="2"/>
      <c r="M48" s="2"/>
      <c r="N48" s="2"/>
      <c r="O48" s="2"/>
      <c r="P48" s="2"/>
      <c r="Q48" s="2"/>
      <c r="R48" s="2"/>
      <c r="S48" s="2"/>
      <c r="T48" s="2"/>
      <c r="U48" s="2"/>
      <c r="V48" s="2"/>
      <c r="W48" s="2"/>
      <c r="X48" s="2"/>
      <c r="Y48" s="2"/>
      <c r="Z48" s="2"/>
    </row>
    <row r="49" ht="14.8" spans="1:26">
      <c r="A49" s="6" t="s">
        <v>222</v>
      </c>
      <c r="B49" s="125"/>
      <c r="C49" s="2" t="s">
        <v>224</v>
      </c>
      <c r="D49" s="8">
        <v>96</v>
      </c>
      <c r="E49" s="2" t="s">
        <v>21</v>
      </c>
      <c r="F49" s="125"/>
      <c r="G49" s="125"/>
      <c r="H49" s="2"/>
      <c r="I49" s="2"/>
      <c r="J49" s="2"/>
      <c r="K49" s="2"/>
      <c r="L49" s="2"/>
      <c r="M49" s="2"/>
      <c r="N49" s="2"/>
      <c r="O49" s="2"/>
      <c r="P49" s="2"/>
      <c r="Q49" s="2"/>
      <c r="R49" s="2"/>
      <c r="S49" s="2"/>
      <c r="T49" s="2"/>
      <c r="U49" s="2"/>
      <c r="V49" s="2"/>
      <c r="W49" s="2"/>
      <c r="X49" s="2"/>
      <c r="Y49" s="2"/>
      <c r="Z49" s="2"/>
    </row>
    <row r="50" ht="14.8" spans="1:26">
      <c r="A50" s="6" t="s">
        <v>227</v>
      </c>
      <c r="B50" s="125"/>
      <c r="C50" s="2" t="s">
        <v>229</v>
      </c>
      <c r="D50" s="8">
        <v>66</v>
      </c>
      <c r="E50" s="2" t="s">
        <v>21</v>
      </c>
      <c r="F50" s="125"/>
      <c r="G50" s="125"/>
      <c r="H50" s="2"/>
      <c r="I50" s="2"/>
      <c r="J50" s="2"/>
      <c r="K50" s="2"/>
      <c r="L50" s="2"/>
      <c r="M50" s="2"/>
      <c r="N50" s="2"/>
      <c r="O50" s="2"/>
      <c r="P50" s="2"/>
      <c r="Q50" s="2"/>
      <c r="R50" s="2"/>
      <c r="S50" s="2"/>
      <c r="T50" s="2"/>
      <c r="U50" s="2"/>
      <c r="V50" s="2"/>
      <c r="W50" s="2"/>
      <c r="X50" s="2"/>
      <c r="Y50" s="2"/>
      <c r="Z50" s="2"/>
    </row>
    <row r="51" ht="14.8" spans="1:26">
      <c r="A51" s="6" t="s">
        <v>231</v>
      </c>
      <c r="B51" s="125"/>
      <c r="C51" s="2" t="s">
        <v>224</v>
      </c>
      <c r="D51" s="8">
        <v>156</v>
      </c>
      <c r="E51" s="2" t="s">
        <v>21</v>
      </c>
      <c r="F51" s="125"/>
      <c r="G51" s="125"/>
      <c r="H51" s="2"/>
      <c r="I51" s="2"/>
      <c r="J51" s="2"/>
      <c r="K51" s="2"/>
      <c r="L51" s="2"/>
      <c r="M51" s="2"/>
      <c r="N51" s="2"/>
      <c r="O51" s="2"/>
      <c r="P51" s="2"/>
      <c r="Q51" s="2"/>
      <c r="R51" s="2"/>
      <c r="S51" s="2"/>
      <c r="T51" s="2"/>
      <c r="U51" s="2"/>
      <c r="V51" s="2"/>
      <c r="W51" s="2"/>
      <c r="X51" s="2"/>
      <c r="Y51" s="2"/>
      <c r="Z51" s="2"/>
    </row>
    <row r="52" ht="14.8" spans="1:26">
      <c r="A52" s="6" t="s">
        <v>234</v>
      </c>
      <c r="B52" s="2" t="s">
        <v>6723</v>
      </c>
      <c r="C52" s="2" t="s">
        <v>236</v>
      </c>
      <c r="D52" s="2">
        <v>30</v>
      </c>
      <c r="E52" s="2" t="s">
        <v>37</v>
      </c>
      <c r="F52" s="2" t="s">
        <v>6724</v>
      </c>
      <c r="G52" s="2" t="s">
        <v>6725</v>
      </c>
      <c r="H52" s="2"/>
      <c r="I52" s="2"/>
      <c r="J52" s="2"/>
      <c r="K52" s="2"/>
      <c r="L52" s="2"/>
      <c r="M52" s="2"/>
      <c r="N52" s="2"/>
      <c r="O52" s="2"/>
      <c r="P52" s="2"/>
      <c r="Q52" s="2"/>
      <c r="R52" s="2"/>
      <c r="S52" s="2"/>
      <c r="T52" s="2"/>
      <c r="U52" s="2"/>
      <c r="V52" s="2"/>
      <c r="W52" s="2"/>
      <c r="X52" s="2"/>
      <c r="Y52" s="2"/>
      <c r="Z52" s="2"/>
    </row>
    <row r="53" ht="14.8" spans="1:26">
      <c r="A53" s="6" t="s">
        <v>239</v>
      </c>
      <c r="B53" s="2" t="s">
        <v>6726</v>
      </c>
      <c r="C53" s="2" t="s">
        <v>236</v>
      </c>
      <c r="D53" s="8">
        <v>230</v>
      </c>
      <c r="E53" s="2" t="s">
        <v>21</v>
      </c>
      <c r="F53" s="2" t="s">
        <v>6727</v>
      </c>
      <c r="G53" s="2" t="s">
        <v>6728</v>
      </c>
      <c r="H53" s="2"/>
      <c r="I53" s="2"/>
      <c r="J53" s="2"/>
      <c r="K53" s="2"/>
      <c r="L53" s="2"/>
      <c r="M53" s="2"/>
      <c r="N53" s="2"/>
      <c r="O53" s="2"/>
      <c r="P53" s="2"/>
      <c r="Q53" s="2"/>
      <c r="R53" s="2"/>
      <c r="S53" s="2"/>
      <c r="T53" s="2"/>
      <c r="U53" s="2"/>
      <c r="V53" s="2"/>
      <c r="W53" s="2"/>
      <c r="X53" s="2"/>
      <c r="Y53" s="2"/>
      <c r="Z53" s="2"/>
    </row>
    <row r="54" ht="14.8" spans="1:26">
      <c r="A54" s="6" t="s">
        <v>243</v>
      </c>
      <c r="B54" s="2" t="s">
        <v>6729</v>
      </c>
      <c r="C54" s="2" t="s">
        <v>236</v>
      </c>
      <c r="D54" s="8">
        <v>100</v>
      </c>
      <c r="E54" s="2" t="s">
        <v>245</v>
      </c>
      <c r="F54" s="2" t="s">
        <v>6730</v>
      </c>
      <c r="G54" s="2" t="s">
        <v>6731</v>
      </c>
      <c r="H54" s="2"/>
      <c r="I54" s="2"/>
      <c r="J54" s="2"/>
      <c r="K54" s="2"/>
      <c r="L54" s="2"/>
      <c r="M54" s="2"/>
      <c r="N54" s="2"/>
      <c r="O54" s="2"/>
      <c r="P54" s="2"/>
      <c r="Q54" s="2"/>
      <c r="R54" s="2"/>
      <c r="S54" s="2"/>
      <c r="T54" s="2"/>
      <c r="U54" s="2"/>
      <c r="V54" s="2"/>
      <c r="W54" s="2"/>
      <c r="X54" s="2"/>
      <c r="Y54" s="2"/>
      <c r="Z54" s="2"/>
    </row>
    <row r="55" ht="14.8" spans="1:26">
      <c r="A55" s="6" t="s">
        <v>248</v>
      </c>
      <c r="B55" s="2" t="s">
        <v>6732</v>
      </c>
      <c r="C55" s="2" t="s">
        <v>236</v>
      </c>
      <c r="D55" s="8">
        <v>100</v>
      </c>
      <c r="E55" s="2" t="s">
        <v>245</v>
      </c>
      <c r="F55" s="2" t="s">
        <v>6733</v>
      </c>
      <c r="G55" s="2" t="s">
        <v>6734</v>
      </c>
      <c r="H55" s="2"/>
      <c r="I55" s="2"/>
      <c r="J55" s="2"/>
      <c r="K55" s="2"/>
      <c r="L55" s="2"/>
      <c r="M55" s="2"/>
      <c r="N55" s="2"/>
      <c r="O55" s="2"/>
      <c r="P55" s="2"/>
      <c r="Q55" s="2"/>
      <c r="R55" s="2"/>
      <c r="S55" s="2"/>
      <c r="T55" s="2"/>
      <c r="U55" s="2"/>
      <c r="V55" s="2"/>
      <c r="W55" s="2"/>
      <c r="X55" s="2"/>
      <c r="Y55" s="2"/>
      <c r="Z55" s="2"/>
    </row>
    <row r="56" ht="14.8" spans="1:26">
      <c r="A56" s="6" t="s">
        <v>252</v>
      </c>
      <c r="B56" s="2" t="s">
        <v>6735</v>
      </c>
      <c r="C56" s="2" t="s">
        <v>236</v>
      </c>
      <c r="D56" s="2">
        <v>35</v>
      </c>
      <c r="E56" s="2" t="s">
        <v>37</v>
      </c>
      <c r="F56" s="2" t="s">
        <v>6736</v>
      </c>
      <c r="G56" s="2" t="s">
        <v>6737</v>
      </c>
      <c r="H56" s="2"/>
      <c r="I56" s="2"/>
      <c r="J56" s="2"/>
      <c r="K56" s="2"/>
      <c r="L56" s="2"/>
      <c r="M56" s="2"/>
      <c r="N56" s="2"/>
      <c r="O56" s="2"/>
      <c r="P56" s="2"/>
      <c r="Q56" s="2"/>
      <c r="R56" s="2"/>
      <c r="S56" s="2"/>
      <c r="T56" s="2"/>
      <c r="U56" s="2"/>
      <c r="V56" s="2"/>
      <c r="W56" s="2"/>
      <c r="X56" s="2"/>
      <c r="Y56" s="2"/>
      <c r="Z56" s="2"/>
    </row>
    <row r="57" ht="14.8" spans="1:26">
      <c r="A57" s="6" t="s">
        <v>256</v>
      </c>
      <c r="B57" s="2" t="s">
        <v>6738</v>
      </c>
      <c r="C57" s="2" t="s">
        <v>236</v>
      </c>
      <c r="D57" s="2">
        <v>40</v>
      </c>
      <c r="E57" s="2" t="s">
        <v>37</v>
      </c>
      <c r="F57" s="2" t="s">
        <v>6739</v>
      </c>
      <c r="G57" s="2" t="s">
        <v>6740</v>
      </c>
      <c r="H57" s="2"/>
      <c r="I57" s="2"/>
      <c r="J57" s="2"/>
      <c r="K57" s="2"/>
      <c r="L57" s="2"/>
      <c r="M57" s="2"/>
      <c r="N57" s="2"/>
      <c r="O57" s="2"/>
      <c r="P57" s="2"/>
      <c r="Q57" s="2"/>
      <c r="R57" s="2"/>
      <c r="S57" s="2"/>
      <c r="T57" s="2"/>
      <c r="U57" s="2"/>
      <c r="V57" s="2"/>
      <c r="W57" s="2"/>
      <c r="X57" s="2"/>
      <c r="Y57" s="2"/>
      <c r="Z57" s="2"/>
    </row>
    <row r="58" ht="14.8" spans="1:26">
      <c r="A58" s="6" t="s">
        <v>260</v>
      </c>
      <c r="B58" s="2" t="s">
        <v>6741</v>
      </c>
      <c r="C58" s="2" t="s">
        <v>236</v>
      </c>
      <c r="D58" s="2">
        <v>8</v>
      </c>
      <c r="E58" s="2" t="s">
        <v>262</v>
      </c>
      <c r="F58" s="2" t="s">
        <v>6742</v>
      </c>
      <c r="G58" s="2" t="s">
        <v>6743</v>
      </c>
      <c r="H58" s="2"/>
      <c r="I58" s="2"/>
      <c r="J58" s="2"/>
      <c r="K58" s="2"/>
      <c r="L58" s="2"/>
      <c r="M58" s="2"/>
      <c r="N58" s="2"/>
      <c r="O58" s="2"/>
      <c r="P58" s="2"/>
      <c r="Q58" s="2"/>
      <c r="R58" s="2"/>
      <c r="S58" s="2"/>
      <c r="T58" s="2"/>
      <c r="U58" s="2"/>
      <c r="V58" s="2"/>
      <c r="W58" s="2"/>
      <c r="X58" s="2"/>
      <c r="Y58" s="2"/>
      <c r="Z58" s="2"/>
    </row>
    <row r="59" ht="14.8" spans="1:26">
      <c r="A59" s="6" t="s">
        <v>265</v>
      </c>
      <c r="B59" s="2" t="s">
        <v>6744</v>
      </c>
      <c r="C59" s="2" t="s">
        <v>236</v>
      </c>
      <c r="D59" s="2">
        <v>30</v>
      </c>
      <c r="E59" s="2" t="s">
        <v>37</v>
      </c>
      <c r="F59" s="2" t="s">
        <v>6745</v>
      </c>
      <c r="G59" s="2" t="s">
        <v>6746</v>
      </c>
      <c r="H59" s="2"/>
      <c r="I59" s="2"/>
      <c r="J59" s="2"/>
      <c r="K59" s="2"/>
      <c r="L59" s="2"/>
      <c r="M59" s="2"/>
      <c r="N59" s="2"/>
      <c r="O59" s="2"/>
      <c r="P59" s="2"/>
      <c r="Q59" s="2"/>
      <c r="R59" s="2"/>
      <c r="S59" s="2"/>
      <c r="T59" s="2"/>
      <c r="U59" s="2"/>
      <c r="V59" s="2"/>
      <c r="W59" s="2"/>
      <c r="X59" s="2"/>
      <c r="Y59" s="2"/>
      <c r="Z59" s="2"/>
    </row>
    <row r="60" ht="14.8" spans="1:26">
      <c r="A60" s="6" t="s">
        <v>269</v>
      </c>
      <c r="B60" s="2" t="s">
        <v>6747</v>
      </c>
      <c r="C60" s="2" t="s">
        <v>236</v>
      </c>
      <c r="D60" s="2">
        <v>35</v>
      </c>
      <c r="E60" s="2" t="s">
        <v>37</v>
      </c>
      <c r="F60" s="2" t="s">
        <v>6748</v>
      </c>
      <c r="G60" s="2" t="s">
        <v>6749</v>
      </c>
      <c r="H60" s="2"/>
      <c r="I60" s="2"/>
      <c r="J60" s="2"/>
      <c r="K60" s="2"/>
      <c r="L60" s="2"/>
      <c r="M60" s="2"/>
      <c r="N60" s="2"/>
      <c r="O60" s="2"/>
      <c r="P60" s="2"/>
      <c r="Q60" s="2"/>
      <c r="R60" s="2"/>
      <c r="S60" s="2"/>
      <c r="T60" s="2"/>
      <c r="U60" s="2"/>
      <c r="V60" s="2"/>
      <c r="W60" s="2"/>
      <c r="X60" s="2"/>
      <c r="Y60" s="2"/>
      <c r="Z60" s="2"/>
    </row>
    <row r="61" ht="14.8" spans="1:26">
      <c r="A61" s="6" t="s">
        <v>273</v>
      </c>
      <c r="B61" s="2" t="s">
        <v>6750</v>
      </c>
      <c r="C61" s="2" t="s">
        <v>236</v>
      </c>
      <c r="D61" s="2">
        <v>30</v>
      </c>
      <c r="E61" s="2" t="s">
        <v>32</v>
      </c>
      <c r="F61" s="2" t="s">
        <v>6751</v>
      </c>
      <c r="G61" s="2" t="s">
        <v>6752</v>
      </c>
      <c r="H61" s="2"/>
      <c r="I61" s="2"/>
      <c r="J61" s="2"/>
      <c r="K61" s="2"/>
      <c r="L61" s="2"/>
      <c r="M61" s="2"/>
      <c r="N61" s="2"/>
      <c r="O61" s="2"/>
      <c r="P61" s="2"/>
      <c r="Q61" s="2"/>
      <c r="R61" s="2"/>
      <c r="S61" s="2"/>
      <c r="T61" s="2"/>
      <c r="U61" s="2"/>
      <c r="V61" s="2"/>
      <c r="W61" s="2"/>
      <c r="X61" s="2"/>
      <c r="Y61" s="2"/>
      <c r="Z61" s="2"/>
    </row>
    <row r="62" ht="14.8" spans="1:26">
      <c r="A62" s="6" t="s">
        <v>277</v>
      </c>
      <c r="B62" s="2" t="s">
        <v>6753</v>
      </c>
      <c r="C62" s="2" t="s">
        <v>236</v>
      </c>
      <c r="D62" s="2">
        <v>37</v>
      </c>
      <c r="E62" s="2" t="s">
        <v>37</v>
      </c>
      <c r="F62" s="2" t="s">
        <v>6754</v>
      </c>
      <c r="G62" s="2" t="s">
        <v>6755</v>
      </c>
      <c r="H62" s="2"/>
      <c r="I62" s="2"/>
      <c r="J62" s="2"/>
      <c r="K62" s="2"/>
      <c r="L62" s="2"/>
      <c r="M62" s="2"/>
      <c r="N62" s="2"/>
      <c r="O62" s="2"/>
      <c r="P62" s="2"/>
      <c r="Q62" s="2"/>
      <c r="R62" s="2"/>
      <c r="S62" s="2"/>
      <c r="T62" s="2"/>
      <c r="U62" s="2"/>
      <c r="V62" s="2"/>
      <c r="W62" s="2"/>
      <c r="X62" s="2"/>
      <c r="Y62" s="2"/>
      <c r="Z62" s="2"/>
    </row>
    <row r="63" ht="14.8" spans="1:26">
      <c r="A63" s="6" t="s">
        <v>281</v>
      </c>
      <c r="B63" s="2" t="s">
        <v>6756</v>
      </c>
      <c r="C63" s="2" t="s">
        <v>236</v>
      </c>
      <c r="D63" s="2">
        <v>40</v>
      </c>
      <c r="E63" s="2" t="s">
        <v>37</v>
      </c>
      <c r="F63" s="2" t="s">
        <v>6757</v>
      </c>
      <c r="G63" s="2" t="s">
        <v>6758</v>
      </c>
      <c r="H63" s="2"/>
      <c r="I63" s="2"/>
      <c r="J63" s="2"/>
      <c r="K63" s="2"/>
      <c r="L63" s="2"/>
      <c r="M63" s="2"/>
      <c r="N63" s="2"/>
      <c r="O63" s="2"/>
      <c r="P63" s="2"/>
      <c r="Q63" s="2"/>
      <c r="R63" s="2"/>
      <c r="S63" s="2"/>
      <c r="T63" s="2"/>
      <c r="U63" s="2"/>
      <c r="V63" s="2"/>
      <c r="W63" s="2"/>
      <c r="X63" s="2"/>
      <c r="Y63" s="2"/>
      <c r="Z63" s="2"/>
    </row>
    <row r="64" ht="14.8" spans="1:26">
      <c r="A64" s="6" t="s">
        <v>285</v>
      </c>
      <c r="B64" s="2" t="s">
        <v>6759</v>
      </c>
      <c r="C64" s="2" t="s">
        <v>286</v>
      </c>
      <c r="D64" s="8">
        <v>35</v>
      </c>
      <c r="E64" s="2" t="s">
        <v>37</v>
      </c>
      <c r="F64" s="2" t="s">
        <v>6760</v>
      </c>
      <c r="G64" s="2" t="s">
        <v>6761</v>
      </c>
      <c r="H64" s="2"/>
      <c r="I64" s="2"/>
      <c r="J64" s="2"/>
      <c r="K64" s="2"/>
      <c r="L64" s="2"/>
      <c r="M64" s="2"/>
      <c r="N64" s="2"/>
      <c r="O64" s="2"/>
      <c r="P64" s="2"/>
      <c r="Q64" s="2"/>
      <c r="R64" s="2"/>
      <c r="S64" s="2"/>
      <c r="T64" s="2"/>
      <c r="U64" s="2"/>
      <c r="V64" s="2"/>
      <c r="W64" s="2"/>
      <c r="X64" s="2"/>
      <c r="Y64" s="2"/>
      <c r="Z64" s="2"/>
    </row>
    <row r="65" ht="14.8" spans="1:26">
      <c r="A65" s="6" t="s">
        <v>288</v>
      </c>
      <c r="B65" s="2" t="s">
        <v>6762</v>
      </c>
      <c r="C65" s="2" t="s">
        <v>290</v>
      </c>
      <c r="D65" s="2">
        <v>300</v>
      </c>
      <c r="E65" s="2" t="s">
        <v>37</v>
      </c>
      <c r="F65" s="2" t="s">
        <v>6763</v>
      </c>
      <c r="G65" s="2" t="s">
        <v>6764</v>
      </c>
      <c r="H65" s="2"/>
      <c r="I65" s="2"/>
      <c r="J65" s="2"/>
      <c r="K65" s="2"/>
      <c r="L65" s="2"/>
      <c r="M65" s="2"/>
      <c r="N65" s="2"/>
      <c r="O65" s="2"/>
      <c r="P65" s="2"/>
      <c r="Q65" s="2"/>
      <c r="R65" s="2"/>
      <c r="S65" s="2"/>
      <c r="T65" s="2"/>
      <c r="U65" s="2"/>
      <c r="V65" s="2"/>
      <c r="W65" s="2"/>
      <c r="X65" s="2"/>
      <c r="Y65" s="2"/>
      <c r="Z65" s="2"/>
    </row>
    <row r="66" ht="14.8" spans="1:26">
      <c r="A66" s="6" t="s">
        <v>293</v>
      </c>
      <c r="B66" s="2" t="s">
        <v>6765</v>
      </c>
      <c r="C66" s="2" t="s">
        <v>290</v>
      </c>
      <c r="D66" s="2">
        <v>35</v>
      </c>
      <c r="E66" s="2" t="s">
        <v>37</v>
      </c>
      <c r="F66" s="2" t="s">
        <v>6766</v>
      </c>
      <c r="G66" s="2" t="s">
        <v>6767</v>
      </c>
      <c r="H66" s="2"/>
      <c r="I66" s="2"/>
      <c r="J66" s="2"/>
      <c r="K66" s="2"/>
      <c r="L66" s="2"/>
      <c r="M66" s="2"/>
      <c r="N66" s="2"/>
      <c r="O66" s="2"/>
      <c r="P66" s="2"/>
      <c r="Q66" s="2"/>
      <c r="R66" s="2"/>
      <c r="S66" s="2"/>
      <c r="T66" s="2"/>
      <c r="U66" s="2"/>
      <c r="V66" s="2"/>
      <c r="W66" s="2"/>
      <c r="X66" s="2"/>
      <c r="Y66" s="2"/>
      <c r="Z66" s="2"/>
    </row>
    <row r="67" ht="14.8" spans="1:26">
      <c r="A67" s="6" t="s">
        <v>297</v>
      </c>
      <c r="B67" s="2" t="s">
        <v>6768</v>
      </c>
      <c r="C67" s="2" t="s">
        <v>1807</v>
      </c>
      <c r="D67" s="8">
        <v>1000</v>
      </c>
      <c r="E67" s="2" t="s">
        <v>37</v>
      </c>
      <c r="F67" s="2" t="s">
        <v>6769</v>
      </c>
      <c r="G67" s="2" t="s">
        <v>6770</v>
      </c>
      <c r="H67" s="2"/>
      <c r="I67" s="2"/>
      <c r="J67" s="2"/>
      <c r="K67" s="2"/>
      <c r="L67" s="2"/>
      <c r="M67" s="2"/>
      <c r="N67" s="2"/>
      <c r="O67" s="2"/>
      <c r="P67" s="2"/>
      <c r="Q67" s="2"/>
      <c r="R67" s="2"/>
      <c r="S67" s="2"/>
      <c r="T67" s="2"/>
      <c r="U67" s="2"/>
      <c r="V67" s="2"/>
      <c r="W67" s="2"/>
      <c r="X67" s="2"/>
      <c r="Y67" s="2"/>
      <c r="Z67" s="2"/>
    </row>
    <row r="68" ht="14.8" spans="1:26">
      <c r="A68" s="6" t="s">
        <v>302</v>
      </c>
      <c r="B68" s="2" t="s">
        <v>6771</v>
      </c>
      <c r="C68" s="2" t="s">
        <v>304</v>
      </c>
      <c r="D68" s="2"/>
      <c r="E68" s="2"/>
      <c r="F68" s="2" t="s">
        <v>6772</v>
      </c>
      <c r="G68" s="2" t="s">
        <v>6773</v>
      </c>
      <c r="H68" s="2"/>
      <c r="I68" s="2"/>
      <c r="J68" s="2"/>
      <c r="K68" s="2"/>
      <c r="L68" s="2"/>
      <c r="M68" s="2"/>
      <c r="N68" s="2"/>
      <c r="O68" s="2"/>
      <c r="P68" s="2"/>
      <c r="Q68" s="2"/>
      <c r="R68" s="2"/>
      <c r="S68" s="2"/>
      <c r="T68" s="2"/>
      <c r="U68" s="2"/>
      <c r="V68" s="2"/>
      <c r="W68" s="2"/>
      <c r="X68" s="2"/>
      <c r="Y68" s="2"/>
      <c r="Z68" s="2"/>
    </row>
    <row r="69" ht="14.8" spans="1:26">
      <c r="A69" s="6" t="s">
        <v>307</v>
      </c>
      <c r="B69" s="2" t="s">
        <v>3084</v>
      </c>
      <c r="C69" s="2" t="s">
        <v>309</v>
      </c>
      <c r="D69" s="8">
        <v>45</v>
      </c>
      <c r="E69" s="2" t="s">
        <v>310</v>
      </c>
      <c r="F69" s="2" t="s">
        <v>6774</v>
      </c>
      <c r="G69" s="2" t="s">
        <v>6775</v>
      </c>
      <c r="H69" s="2"/>
      <c r="I69" s="2"/>
      <c r="J69" s="2"/>
      <c r="K69" s="2"/>
      <c r="L69" s="2"/>
      <c r="M69" s="2"/>
      <c r="N69" s="2"/>
      <c r="O69" s="2"/>
      <c r="P69" s="2"/>
      <c r="Q69" s="2"/>
      <c r="R69" s="2"/>
      <c r="S69" s="2"/>
      <c r="T69" s="2"/>
      <c r="U69" s="2"/>
      <c r="V69" s="2"/>
      <c r="W69" s="2"/>
      <c r="X69" s="2"/>
      <c r="Y69" s="2"/>
      <c r="Z69" s="2"/>
    </row>
    <row r="70" ht="14.8" spans="1:26">
      <c r="A70" s="6" t="s">
        <v>317</v>
      </c>
      <c r="B70" s="2" t="s">
        <v>6776</v>
      </c>
      <c r="C70" s="2" t="s">
        <v>319</v>
      </c>
      <c r="D70" s="2">
        <v>400</v>
      </c>
      <c r="E70" s="2" t="s">
        <v>245</v>
      </c>
      <c r="F70" s="2" t="s">
        <v>6777</v>
      </c>
      <c r="G70" s="2" t="s">
        <v>6778</v>
      </c>
      <c r="H70" s="2"/>
      <c r="I70" s="2"/>
      <c r="J70" s="2"/>
      <c r="K70" s="2"/>
      <c r="L70" s="2"/>
      <c r="M70" s="2"/>
      <c r="N70" s="2"/>
      <c r="O70" s="2"/>
      <c r="P70" s="2"/>
      <c r="Q70" s="2"/>
      <c r="R70" s="2"/>
      <c r="S70" s="2"/>
      <c r="T70" s="2"/>
      <c r="U70" s="2"/>
      <c r="V70" s="2"/>
      <c r="W70" s="2"/>
      <c r="X70" s="2"/>
      <c r="Y70" s="2"/>
      <c r="Z70" s="2"/>
    </row>
    <row r="71" ht="14.8" spans="1:26">
      <c r="A71" s="6" t="s">
        <v>321</v>
      </c>
      <c r="B71" s="125"/>
      <c r="C71" s="2" t="s">
        <v>315</v>
      </c>
      <c r="D71" s="2">
        <v>13</v>
      </c>
      <c r="E71" s="2" t="s">
        <v>262</v>
      </c>
      <c r="F71" s="125"/>
      <c r="G71" s="125"/>
      <c r="H71" s="2"/>
      <c r="I71" s="2"/>
      <c r="J71" s="2"/>
      <c r="K71" s="2"/>
      <c r="L71" s="2"/>
      <c r="M71" s="2"/>
      <c r="N71" s="2"/>
      <c r="O71" s="2"/>
      <c r="P71" s="2"/>
      <c r="Q71" s="2"/>
      <c r="R71" s="2"/>
      <c r="S71" s="2"/>
      <c r="T71" s="2"/>
      <c r="U71" s="2"/>
      <c r="V71" s="2"/>
      <c r="W71" s="2"/>
      <c r="X71" s="2"/>
      <c r="Y71" s="2"/>
      <c r="Z71" s="2"/>
    </row>
    <row r="72" ht="14.8" spans="1:26">
      <c r="A72" s="6" t="s">
        <v>325</v>
      </c>
      <c r="B72" s="2" t="s">
        <v>6779</v>
      </c>
      <c r="C72" s="2" t="s">
        <v>327</v>
      </c>
      <c r="D72" s="8">
        <v>25</v>
      </c>
      <c r="E72" s="2" t="s">
        <v>310</v>
      </c>
      <c r="F72" s="2" t="s">
        <v>6780</v>
      </c>
      <c r="G72" s="2" t="s">
        <v>6781</v>
      </c>
      <c r="H72" s="2"/>
      <c r="I72" s="2"/>
      <c r="J72" s="2"/>
      <c r="K72" s="2"/>
      <c r="L72" s="2"/>
      <c r="M72" s="2"/>
      <c r="N72" s="2"/>
      <c r="O72" s="2"/>
      <c r="P72" s="2"/>
      <c r="Q72" s="2"/>
      <c r="R72" s="2"/>
      <c r="S72" s="2"/>
      <c r="T72" s="2"/>
      <c r="U72" s="2"/>
      <c r="V72" s="2"/>
      <c r="W72" s="2"/>
      <c r="X72" s="2"/>
      <c r="Y72" s="2"/>
      <c r="Z72" s="2"/>
    </row>
    <row r="73" ht="14.8" spans="1:26">
      <c r="A73" s="6" t="s">
        <v>330</v>
      </c>
      <c r="B73" s="2" t="s">
        <v>6782</v>
      </c>
      <c r="C73" s="2" t="s">
        <v>315</v>
      </c>
      <c r="D73" s="2">
        <v>50</v>
      </c>
      <c r="E73" s="2" t="s">
        <v>37</v>
      </c>
      <c r="F73" s="2" t="s">
        <v>6783</v>
      </c>
      <c r="G73" s="2" t="s">
        <v>6784</v>
      </c>
      <c r="H73" s="2"/>
      <c r="I73" s="2"/>
      <c r="J73" s="2"/>
      <c r="K73" s="2"/>
      <c r="L73" s="2"/>
      <c r="M73" s="2"/>
      <c r="N73" s="2"/>
      <c r="O73" s="2"/>
      <c r="P73" s="2"/>
      <c r="Q73" s="2"/>
      <c r="R73" s="2"/>
      <c r="S73" s="2"/>
      <c r="T73" s="2"/>
      <c r="U73" s="2"/>
      <c r="V73" s="2"/>
      <c r="W73" s="2"/>
      <c r="X73" s="2"/>
      <c r="Y73" s="2"/>
      <c r="Z73" s="2"/>
    </row>
    <row r="74" ht="14.8" spans="1:26">
      <c r="A74" s="6" t="s">
        <v>334</v>
      </c>
      <c r="B74" s="2" t="s">
        <v>6785</v>
      </c>
      <c r="C74" s="2" t="s">
        <v>315</v>
      </c>
      <c r="D74" s="2">
        <v>50</v>
      </c>
      <c r="E74" s="2" t="s">
        <v>37</v>
      </c>
      <c r="F74" s="2" t="s">
        <v>6786</v>
      </c>
      <c r="G74" s="2" t="s">
        <v>6787</v>
      </c>
      <c r="H74" s="2"/>
      <c r="I74" s="2"/>
      <c r="J74" s="2"/>
      <c r="K74" s="2"/>
      <c r="L74" s="2"/>
      <c r="M74" s="2"/>
      <c r="N74" s="2"/>
      <c r="O74" s="2"/>
      <c r="P74" s="2"/>
      <c r="Q74" s="2"/>
      <c r="R74" s="2"/>
      <c r="S74" s="2"/>
      <c r="T74" s="2"/>
      <c r="U74" s="2"/>
      <c r="V74" s="2"/>
      <c r="W74" s="2"/>
      <c r="X74" s="2"/>
      <c r="Y74" s="2"/>
      <c r="Z74" s="2"/>
    </row>
    <row r="75" ht="14.8" spans="1:26">
      <c r="A75" s="6" t="s">
        <v>338</v>
      </c>
      <c r="B75" s="2" t="s">
        <v>6788</v>
      </c>
      <c r="C75" s="2" t="s">
        <v>315</v>
      </c>
      <c r="D75" s="2">
        <v>125</v>
      </c>
      <c r="E75" s="2" t="s">
        <v>262</v>
      </c>
      <c r="F75" s="2" t="s">
        <v>6789</v>
      </c>
      <c r="G75" s="2" t="s">
        <v>6790</v>
      </c>
      <c r="H75" s="2"/>
      <c r="I75" s="2"/>
      <c r="J75" s="2"/>
      <c r="K75" s="2"/>
      <c r="L75" s="2"/>
      <c r="M75" s="2"/>
      <c r="N75" s="2"/>
      <c r="O75" s="2"/>
      <c r="P75" s="2"/>
      <c r="Q75" s="2"/>
      <c r="R75" s="2"/>
      <c r="S75" s="2"/>
      <c r="T75" s="2"/>
      <c r="U75" s="2"/>
      <c r="V75" s="2"/>
      <c r="W75" s="2"/>
      <c r="X75" s="2"/>
      <c r="Y75" s="2"/>
      <c r="Z75" s="2"/>
    </row>
    <row r="76" ht="14.8" spans="1:26">
      <c r="A76" s="6" t="s">
        <v>342</v>
      </c>
      <c r="B76" s="2" t="s">
        <v>6776</v>
      </c>
      <c r="C76" s="2" t="s">
        <v>315</v>
      </c>
      <c r="D76" s="2">
        <v>126</v>
      </c>
      <c r="E76" s="2" t="s">
        <v>262</v>
      </c>
      <c r="F76" s="2" t="s">
        <v>6777</v>
      </c>
      <c r="G76" s="2" t="s">
        <v>6778</v>
      </c>
      <c r="H76" s="2"/>
      <c r="I76" s="2"/>
      <c r="J76" s="2"/>
      <c r="K76" s="2"/>
      <c r="L76" s="2"/>
      <c r="M76" s="2"/>
      <c r="N76" s="2"/>
      <c r="O76" s="2"/>
      <c r="P76" s="2"/>
      <c r="Q76" s="2"/>
      <c r="R76" s="2"/>
      <c r="S76" s="2"/>
      <c r="T76" s="2"/>
      <c r="U76" s="2"/>
      <c r="V76" s="2"/>
      <c r="W76" s="2"/>
      <c r="X76" s="2"/>
      <c r="Y76" s="2"/>
      <c r="Z76" s="2"/>
    </row>
    <row r="77" ht="14.8" spans="1:26">
      <c r="A77" s="6" t="s">
        <v>346</v>
      </c>
      <c r="B77" s="2" t="s">
        <v>6791</v>
      </c>
      <c r="C77" s="2" t="s">
        <v>315</v>
      </c>
      <c r="D77" s="2">
        <v>127</v>
      </c>
      <c r="E77" s="2" t="s">
        <v>262</v>
      </c>
      <c r="F77" s="2" t="s">
        <v>6792</v>
      </c>
      <c r="G77" s="2" t="s">
        <v>6793</v>
      </c>
      <c r="H77" s="2"/>
      <c r="I77" s="2"/>
      <c r="J77" s="2"/>
      <c r="K77" s="2"/>
      <c r="L77" s="2"/>
      <c r="M77" s="2"/>
      <c r="N77" s="2"/>
      <c r="O77" s="2"/>
      <c r="P77" s="2"/>
      <c r="Q77" s="2"/>
      <c r="R77" s="2"/>
      <c r="S77" s="2"/>
      <c r="T77" s="2"/>
      <c r="U77" s="2"/>
      <c r="V77" s="2"/>
      <c r="W77" s="2"/>
      <c r="X77" s="2"/>
      <c r="Y77" s="2"/>
      <c r="Z77" s="2"/>
    </row>
    <row r="78" ht="14.8" spans="1:26">
      <c r="A78" s="6" t="s">
        <v>350</v>
      </c>
      <c r="B78" s="2" t="s">
        <v>6794</v>
      </c>
      <c r="C78" s="2" t="s">
        <v>315</v>
      </c>
      <c r="D78" s="2">
        <v>128</v>
      </c>
      <c r="E78" s="2" t="s">
        <v>262</v>
      </c>
      <c r="F78" s="2" t="s">
        <v>6795</v>
      </c>
      <c r="G78" s="2" t="s">
        <v>6796</v>
      </c>
      <c r="H78" s="2"/>
      <c r="I78" s="2"/>
      <c r="J78" s="2"/>
      <c r="K78" s="2"/>
      <c r="L78" s="2"/>
      <c r="M78" s="2"/>
      <c r="N78" s="2"/>
      <c r="O78" s="2"/>
      <c r="P78" s="2"/>
      <c r="Q78" s="2"/>
      <c r="R78" s="2"/>
      <c r="S78" s="2"/>
      <c r="T78" s="2"/>
      <c r="U78" s="2"/>
      <c r="V78" s="2"/>
      <c r="W78" s="2"/>
      <c r="X78" s="2"/>
      <c r="Y78" s="2"/>
      <c r="Z78" s="2"/>
    </row>
    <row r="79" ht="14.8" spans="1:26">
      <c r="A79" s="6" t="s">
        <v>354</v>
      </c>
      <c r="B79" s="2" t="s">
        <v>6797</v>
      </c>
      <c r="C79" s="2" t="s">
        <v>315</v>
      </c>
      <c r="D79" s="2">
        <v>129</v>
      </c>
      <c r="E79" s="2" t="s">
        <v>262</v>
      </c>
      <c r="F79" s="2" t="s">
        <v>6798</v>
      </c>
      <c r="G79" s="2" t="s">
        <v>6799</v>
      </c>
      <c r="H79" s="2"/>
      <c r="I79" s="2"/>
      <c r="J79" s="2"/>
      <c r="K79" s="2"/>
      <c r="L79" s="2"/>
      <c r="M79" s="2"/>
      <c r="N79" s="2"/>
      <c r="O79" s="2"/>
      <c r="P79" s="2"/>
      <c r="Q79" s="2"/>
      <c r="R79" s="2"/>
      <c r="S79" s="2"/>
      <c r="T79" s="2"/>
      <c r="U79" s="2"/>
      <c r="V79" s="2"/>
      <c r="W79" s="2"/>
      <c r="X79" s="2"/>
      <c r="Y79" s="2"/>
      <c r="Z79" s="2"/>
    </row>
    <row r="80" ht="14.8" spans="1:26">
      <c r="A80" s="6" t="s">
        <v>359</v>
      </c>
      <c r="B80" s="2" t="s">
        <v>6800</v>
      </c>
      <c r="C80" s="2" t="s">
        <v>315</v>
      </c>
      <c r="D80" s="2">
        <v>130</v>
      </c>
      <c r="E80" s="2" t="s">
        <v>262</v>
      </c>
      <c r="F80" s="2" t="s">
        <v>6801</v>
      </c>
      <c r="G80" s="2" t="s">
        <v>6802</v>
      </c>
      <c r="H80" s="2"/>
      <c r="I80" s="2"/>
      <c r="J80" s="2"/>
      <c r="K80" s="2"/>
      <c r="L80" s="2"/>
      <c r="M80" s="2"/>
      <c r="N80" s="2"/>
      <c r="O80" s="2"/>
      <c r="P80" s="2"/>
      <c r="Q80" s="2"/>
      <c r="R80" s="2"/>
      <c r="S80" s="2"/>
      <c r="T80" s="2"/>
      <c r="U80" s="2"/>
      <c r="V80" s="2"/>
      <c r="W80" s="2"/>
      <c r="X80" s="2"/>
      <c r="Y80" s="2"/>
      <c r="Z80" s="2"/>
    </row>
    <row r="81" ht="14.8" spans="1:26">
      <c r="A81" s="6" t="s">
        <v>364</v>
      </c>
      <c r="B81" s="2" t="s">
        <v>6803</v>
      </c>
      <c r="C81" s="2" t="s">
        <v>315</v>
      </c>
      <c r="D81" s="2">
        <v>131</v>
      </c>
      <c r="E81" s="2" t="s">
        <v>262</v>
      </c>
      <c r="F81" s="2" t="s">
        <v>6804</v>
      </c>
      <c r="G81" s="2" t="s">
        <v>6805</v>
      </c>
      <c r="H81" s="2"/>
      <c r="I81" s="2"/>
      <c r="J81" s="2"/>
      <c r="K81" s="2"/>
      <c r="L81" s="2"/>
      <c r="M81" s="2"/>
      <c r="N81" s="2"/>
      <c r="O81" s="2"/>
      <c r="P81" s="2"/>
      <c r="Q81" s="2"/>
      <c r="R81" s="2"/>
      <c r="S81" s="2"/>
      <c r="T81" s="2"/>
      <c r="U81" s="2"/>
      <c r="V81" s="2"/>
      <c r="W81" s="2"/>
      <c r="X81" s="2"/>
      <c r="Y81" s="2"/>
      <c r="Z81" s="2"/>
    </row>
    <row r="82" ht="14.8" spans="1:26">
      <c r="A82" s="6" t="s">
        <v>368</v>
      </c>
      <c r="B82" s="2" t="s">
        <v>6806</v>
      </c>
      <c r="C82" s="2" t="s">
        <v>315</v>
      </c>
      <c r="D82" s="2">
        <v>132</v>
      </c>
      <c r="E82" s="2" t="s">
        <v>262</v>
      </c>
      <c r="F82" s="2" t="s">
        <v>6807</v>
      </c>
      <c r="G82" s="2" t="s">
        <v>6808</v>
      </c>
      <c r="H82" s="2"/>
      <c r="I82" s="2"/>
      <c r="J82" s="2"/>
      <c r="K82" s="2"/>
      <c r="L82" s="2"/>
      <c r="M82" s="2"/>
      <c r="N82" s="2"/>
      <c r="O82" s="2"/>
      <c r="P82" s="2"/>
      <c r="Q82" s="2"/>
      <c r="R82" s="2"/>
      <c r="S82" s="2"/>
      <c r="T82" s="2"/>
      <c r="U82" s="2"/>
      <c r="V82" s="2"/>
      <c r="W82" s="2"/>
      <c r="X82" s="2"/>
      <c r="Y82" s="2"/>
      <c r="Z82" s="2"/>
    </row>
    <row r="83" ht="14.8" spans="1:26">
      <c r="A83" s="6" t="s">
        <v>371</v>
      </c>
      <c r="B83" s="2" t="s">
        <v>6664</v>
      </c>
      <c r="C83" s="2" t="s">
        <v>315</v>
      </c>
      <c r="D83" s="2">
        <v>133</v>
      </c>
      <c r="E83" s="2" t="s">
        <v>262</v>
      </c>
      <c r="F83" s="2" t="s">
        <v>6809</v>
      </c>
      <c r="G83" s="2" t="s">
        <v>6666</v>
      </c>
      <c r="H83" s="2"/>
      <c r="I83" s="2"/>
      <c r="J83" s="2"/>
      <c r="K83" s="2"/>
      <c r="L83" s="2"/>
      <c r="M83" s="2"/>
      <c r="N83" s="2"/>
      <c r="O83" s="2"/>
      <c r="P83" s="2"/>
      <c r="Q83" s="2"/>
      <c r="R83" s="2"/>
      <c r="S83" s="2"/>
      <c r="T83" s="2"/>
      <c r="U83" s="2"/>
      <c r="V83" s="2"/>
      <c r="W83" s="2"/>
      <c r="X83" s="2"/>
      <c r="Y83" s="2"/>
      <c r="Z83" s="2"/>
    </row>
    <row r="84" ht="14.8" spans="1:26">
      <c r="A84" s="6" t="s">
        <v>375</v>
      </c>
      <c r="B84" s="2" t="s">
        <v>6677</v>
      </c>
      <c r="C84" s="2" t="s">
        <v>315</v>
      </c>
      <c r="D84" s="2">
        <v>134</v>
      </c>
      <c r="E84" s="2" t="s">
        <v>262</v>
      </c>
      <c r="F84" s="2" t="s">
        <v>6678</v>
      </c>
      <c r="G84" s="2" t="s">
        <v>6679</v>
      </c>
      <c r="H84" s="2"/>
      <c r="I84" s="2"/>
      <c r="J84" s="2"/>
      <c r="K84" s="2"/>
      <c r="L84" s="2"/>
      <c r="M84" s="2"/>
      <c r="N84" s="2"/>
      <c r="O84" s="2"/>
      <c r="P84" s="2"/>
      <c r="Q84" s="2"/>
      <c r="R84" s="2"/>
      <c r="S84" s="2"/>
      <c r="T84" s="2"/>
      <c r="U84" s="2"/>
      <c r="V84" s="2"/>
      <c r="W84" s="2"/>
      <c r="X84" s="2"/>
      <c r="Y84" s="2"/>
      <c r="Z84" s="2"/>
    </row>
    <row r="85" ht="14.8" spans="1:26">
      <c r="A85" s="6" t="s">
        <v>379</v>
      </c>
      <c r="B85" s="2" t="s">
        <v>6810</v>
      </c>
      <c r="C85" s="2" t="s">
        <v>315</v>
      </c>
      <c r="D85" s="2">
        <v>135</v>
      </c>
      <c r="E85" s="2" t="s">
        <v>262</v>
      </c>
      <c r="F85" s="2" t="s">
        <v>6811</v>
      </c>
      <c r="G85" s="2" t="s">
        <v>6812</v>
      </c>
      <c r="H85" s="2"/>
      <c r="I85" s="2"/>
      <c r="J85" s="2"/>
      <c r="K85" s="2"/>
      <c r="L85" s="2"/>
      <c r="M85" s="2"/>
      <c r="N85" s="2"/>
      <c r="O85" s="2"/>
      <c r="P85" s="2"/>
      <c r="Q85" s="2"/>
      <c r="R85" s="2"/>
      <c r="S85" s="2"/>
      <c r="T85" s="2"/>
      <c r="U85" s="2"/>
      <c r="V85" s="2"/>
      <c r="W85" s="2"/>
      <c r="X85" s="2"/>
      <c r="Y85" s="2"/>
      <c r="Z85" s="2"/>
    </row>
    <row r="86" ht="14.8" spans="1:26">
      <c r="A86" s="6" t="s">
        <v>383</v>
      </c>
      <c r="B86" s="125"/>
      <c r="C86" s="2" t="s">
        <v>315</v>
      </c>
      <c r="D86" s="2">
        <v>136</v>
      </c>
      <c r="E86" s="2" t="s">
        <v>262</v>
      </c>
      <c r="F86" s="125"/>
      <c r="G86" s="125"/>
      <c r="H86" s="2"/>
      <c r="I86" s="2"/>
      <c r="J86" s="2"/>
      <c r="K86" s="2"/>
      <c r="L86" s="2"/>
      <c r="M86" s="2"/>
      <c r="N86" s="2"/>
      <c r="O86" s="2"/>
      <c r="P86" s="2"/>
      <c r="Q86" s="2"/>
      <c r="R86" s="2"/>
      <c r="S86" s="2"/>
      <c r="T86" s="2"/>
      <c r="U86" s="2"/>
      <c r="V86" s="2"/>
      <c r="W86" s="2"/>
      <c r="X86" s="2"/>
      <c r="Y86" s="2"/>
      <c r="Z86" s="2"/>
    </row>
    <row r="87" ht="14.8" spans="1:26">
      <c r="A87" s="6" t="s">
        <v>387</v>
      </c>
      <c r="B87" s="125"/>
      <c r="C87" s="2" t="s">
        <v>315</v>
      </c>
      <c r="D87" s="2">
        <v>137</v>
      </c>
      <c r="E87" s="2" t="s">
        <v>262</v>
      </c>
      <c r="F87" s="125"/>
      <c r="G87" s="125"/>
      <c r="H87" s="2"/>
      <c r="I87" s="2"/>
      <c r="J87" s="2"/>
      <c r="K87" s="2"/>
      <c r="L87" s="2"/>
      <c r="M87" s="2"/>
      <c r="N87" s="2"/>
      <c r="O87" s="2"/>
      <c r="P87" s="2"/>
      <c r="Q87" s="2"/>
      <c r="R87" s="2"/>
      <c r="S87" s="2"/>
      <c r="T87" s="2"/>
      <c r="U87" s="2"/>
      <c r="V87" s="2"/>
      <c r="W87" s="2"/>
      <c r="X87" s="2"/>
      <c r="Y87" s="2"/>
      <c r="Z87" s="2"/>
    </row>
    <row r="88" ht="14.8" spans="1:26">
      <c r="A88" s="6" t="s">
        <v>391</v>
      </c>
      <c r="B88" s="2" t="s">
        <v>6813</v>
      </c>
      <c r="C88" s="2" t="s">
        <v>315</v>
      </c>
      <c r="D88" s="2">
        <v>138</v>
      </c>
      <c r="E88" s="2" t="s">
        <v>262</v>
      </c>
      <c r="F88" s="2" t="s">
        <v>6814</v>
      </c>
      <c r="G88" s="2" t="s">
        <v>6815</v>
      </c>
      <c r="H88" s="2"/>
      <c r="I88" s="2"/>
      <c r="J88" s="2"/>
      <c r="K88" s="2"/>
      <c r="L88" s="2"/>
      <c r="M88" s="2"/>
      <c r="N88" s="2"/>
      <c r="O88" s="2"/>
      <c r="P88" s="2"/>
      <c r="Q88" s="2"/>
      <c r="R88" s="2"/>
      <c r="S88" s="2"/>
      <c r="T88" s="2"/>
      <c r="U88" s="2"/>
      <c r="V88" s="2"/>
      <c r="W88" s="2"/>
      <c r="X88" s="2"/>
      <c r="Y88" s="2"/>
      <c r="Z88" s="2"/>
    </row>
    <row r="89" ht="14.8" spans="1:26">
      <c r="A89" s="6" t="s">
        <v>395</v>
      </c>
      <c r="B89" s="2" t="s">
        <v>6816</v>
      </c>
      <c r="C89" s="2" t="s">
        <v>315</v>
      </c>
      <c r="D89" s="2">
        <v>139</v>
      </c>
      <c r="E89" s="2" t="s">
        <v>262</v>
      </c>
      <c r="F89" s="2" t="s">
        <v>6817</v>
      </c>
      <c r="G89" s="2" t="s">
        <v>6818</v>
      </c>
      <c r="H89" s="2"/>
      <c r="I89" s="2"/>
      <c r="J89" s="2"/>
      <c r="K89" s="2"/>
      <c r="L89" s="2"/>
      <c r="M89" s="2"/>
      <c r="N89" s="2"/>
      <c r="O89" s="2"/>
      <c r="P89" s="2"/>
      <c r="Q89" s="2"/>
      <c r="R89" s="2"/>
      <c r="S89" s="2"/>
      <c r="T89" s="2"/>
      <c r="U89" s="2"/>
      <c r="V89" s="2"/>
      <c r="W89" s="2"/>
      <c r="X89" s="2"/>
      <c r="Y89" s="2"/>
      <c r="Z89" s="2"/>
    </row>
    <row r="90" ht="14.8" spans="1:26">
      <c r="A90" s="6" t="s">
        <v>399</v>
      </c>
      <c r="B90" s="2" t="s">
        <v>6710</v>
      </c>
      <c r="C90" s="2" t="s">
        <v>315</v>
      </c>
      <c r="D90" s="2">
        <v>140</v>
      </c>
      <c r="E90" s="2" t="s">
        <v>262</v>
      </c>
      <c r="F90" s="2" t="s">
        <v>6711</v>
      </c>
      <c r="G90" s="2" t="s">
        <v>6712</v>
      </c>
      <c r="H90" s="2"/>
      <c r="I90" s="2"/>
      <c r="J90" s="2"/>
      <c r="K90" s="2"/>
      <c r="L90" s="2"/>
      <c r="M90" s="2"/>
      <c r="N90" s="2"/>
      <c r="O90" s="2"/>
      <c r="P90" s="2"/>
      <c r="Q90" s="2"/>
      <c r="R90" s="2"/>
      <c r="S90" s="2"/>
      <c r="T90" s="2"/>
      <c r="U90" s="2"/>
      <c r="V90" s="2"/>
      <c r="W90" s="2"/>
      <c r="X90" s="2"/>
      <c r="Y90" s="2"/>
      <c r="Z90" s="2"/>
    </row>
    <row r="91" ht="14.8" spans="1:26">
      <c r="A91" s="6" t="s">
        <v>403</v>
      </c>
      <c r="B91" s="2" t="s">
        <v>6819</v>
      </c>
      <c r="C91" s="2" t="s">
        <v>315</v>
      </c>
      <c r="D91" s="2">
        <v>141</v>
      </c>
      <c r="E91" s="2" t="s">
        <v>262</v>
      </c>
      <c r="F91" s="2" t="s">
        <v>6820</v>
      </c>
      <c r="G91" s="2" t="s">
        <v>6821</v>
      </c>
      <c r="H91" s="2"/>
      <c r="I91" s="2"/>
      <c r="J91" s="2"/>
      <c r="K91" s="2"/>
      <c r="L91" s="2"/>
      <c r="M91" s="2"/>
      <c r="N91" s="2"/>
      <c r="O91" s="2"/>
      <c r="P91" s="2"/>
      <c r="Q91" s="2"/>
      <c r="R91" s="2"/>
      <c r="S91" s="2"/>
      <c r="T91" s="2"/>
      <c r="U91" s="2"/>
      <c r="V91" s="2"/>
      <c r="W91" s="2"/>
      <c r="X91" s="2"/>
      <c r="Y91" s="2"/>
      <c r="Z91" s="2"/>
    </row>
    <row r="92" ht="14.8" spans="1:26">
      <c r="A92" s="6" t="s">
        <v>407</v>
      </c>
      <c r="B92" s="125"/>
      <c r="C92" s="2" t="s">
        <v>315</v>
      </c>
      <c r="D92" s="2">
        <v>142</v>
      </c>
      <c r="E92" s="2" t="s">
        <v>262</v>
      </c>
      <c r="F92" s="125"/>
      <c r="G92" s="125"/>
      <c r="H92" s="2"/>
      <c r="I92" s="2"/>
      <c r="J92" s="2"/>
      <c r="K92" s="2"/>
      <c r="L92" s="2"/>
      <c r="M92" s="2"/>
      <c r="N92" s="2"/>
      <c r="O92" s="2"/>
      <c r="P92" s="2"/>
      <c r="Q92" s="2"/>
      <c r="R92" s="2"/>
      <c r="S92" s="2"/>
      <c r="T92" s="2"/>
      <c r="U92" s="2"/>
      <c r="V92" s="2"/>
      <c r="W92" s="2"/>
      <c r="X92" s="2"/>
      <c r="Y92" s="2"/>
      <c r="Z92" s="2"/>
    </row>
    <row r="93" ht="14.8" spans="1:26">
      <c r="A93" s="6" t="s">
        <v>411</v>
      </c>
      <c r="B93" s="2" t="s">
        <v>6822</v>
      </c>
      <c r="C93" s="2" t="s">
        <v>315</v>
      </c>
      <c r="D93" s="2">
        <v>143</v>
      </c>
      <c r="E93" s="2" t="s">
        <v>262</v>
      </c>
      <c r="F93" s="2" t="s">
        <v>6823</v>
      </c>
      <c r="G93" s="2" t="s">
        <v>6824</v>
      </c>
      <c r="H93" s="2"/>
      <c r="I93" s="2"/>
      <c r="J93" s="2"/>
      <c r="K93" s="2"/>
      <c r="L93" s="2"/>
      <c r="M93" s="2"/>
      <c r="N93" s="2"/>
      <c r="O93" s="2"/>
      <c r="P93" s="2"/>
      <c r="Q93" s="2"/>
      <c r="R93" s="2"/>
      <c r="S93" s="2"/>
      <c r="T93" s="2"/>
      <c r="U93" s="2"/>
      <c r="V93" s="2"/>
      <c r="W93" s="2"/>
      <c r="X93" s="2"/>
      <c r="Y93" s="2"/>
      <c r="Z93" s="2"/>
    </row>
    <row r="94" ht="14.8" spans="1:26">
      <c r="A94" s="6" t="s">
        <v>416</v>
      </c>
      <c r="B94" s="125"/>
      <c r="C94" s="2" t="s">
        <v>315</v>
      </c>
      <c r="D94" s="2">
        <v>144</v>
      </c>
      <c r="E94" s="2" t="s">
        <v>262</v>
      </c>
      <c r="F94" s="125"/>
      <c r="G94" s="125"/>
      <c r="H94" s="2"/>
      <c r="I94" s="2"/>
      <c r="J94" s="2"/>
      <c r="K94" s="2"/>
      <c r="L94" s="2"/>
      <c r="M94" s="2"/>
      <c r="N94" s="2"/>
      <c r="O94" s="2"/>
      <c r="P94" s="2"/>
      <c r="Q94" s="2"/>
      <c r="R94" s="2"/>
      <c r="S94" s="2"/>
      <c r="T94" s="2"/>
      <c r="U94" s="2"/>
      <c r="V94" s="2"/>
      <c r="W94" s="2"/>
      <c r="X94" s="2"/>
      <c r="Y94" s="2"/>
      <c r="Z94" s="2"/>
    </row>
    <row r="95" ht="14.8" spans="1:26">
      <c r="A95" s="6" t="s">
        <v>421</v>
      </c>
      <c r="B95" s="2" t="s">
        <v>6825</v>
      </c>
      <c r="C95" s="2" t="s">
        <v>315</v>
      </c>
      <c r="D95" s="2">
        <v>145</v>
      </c>
      <c r="E95" s="2" t="s">
        <v>310</v>
      </c>
      <c r="F95" s="2" t="s">
        <v>6826</v>
      </c>
      <c r="G95" s="2" t="s">
        <v>6827</v>
      </c>
      <c r="H95" s="2"/>
      <c r="I95" s="2"/>
      <c r="J95" s="2"/>
      <c r="K95" s="2"/>
      <c r="L95" s="2"/>
      <c r="M95" s="2"/>
      <c r="N95" s="2"/>
      <c r="O95" s="2"/>
      <c r="P95" s="2"/>
      <c r="Q95" s="2"/>
      <c r="R95" s="2"/>
      <c r="S95" s="2"/>
      <c r="T95" s="2"/>
      <c r="U95" s="2"/>
      <c r="V95" s="2"/>
      <c r="W95" s="2"/>
      <c r="X95" s="2"/>
      <c r="Y95" s="2"/>
      <c r="Z95" s="2"/>
    </row>
    <row r="96" ht="14.8" spans="1:26">
      <c r="A96" s="6" t="s">
        <v>426</v>
      </c>
      <c r="B96" s="2" t="s">
        <v>6828</v>
      </c>
      <c r="C96" s="2" t="s">
        <v>315</v>
      </c>
      <c r="D96" s="2">
        <v>146</v>
      </c>
      <c r="E96" s="2" t="s">
        <v>262</v>
      </c>
      <c r="F96" s="2" t="s">
        <v>6829</v>
      </c>
      <c r="G96" s="2" t="s">
        <v>6830</v>
      </c>
      <c r="H96" s="2"/>
      <c r="I96" s="2"/>
      <c r="J96" s="2"/>
      <c r="K96" s="2"/>
      <c r="L96" s="2"/>
      <c r="M96" s="2"/>
      <c r="N96" s="2"/>
      <c r="O96" s="2"/>
      <c r="P96" s="2"/>
      <c r="Q96" s="2"/>
      <c r="R96" s="2"/>
      <c r="S96" s="2"/>
      <c r="T96" s="2"/>
      <c r="U96" s="2"/>
      <c r="V96" s="2"/>
      <c r="W96" s="2"/>
      <c r="X96" s="2"/>
      <c r="Y96" s="2"/>
      <c r="Z96" s="2"/>
    </row>
    <row r="97" ht="14.8" spans="1:26">
      <c r="A97" s="6" t="s">
        <v>431</v>
      </c>
      <c r="B97" s="2" t="s">
        <v>6831</v>
      </c>
      <c r="C97" s="2" t="s">
        <v>315</v>
      </c>
      <c r="D97" s="2">
        <v>147</v>
      </c>
      <c r="E97" s="2" t="s">
        <v>21</v>
      </c>
      <c r="F97" s="2" t="s">
        <v>6832</v>
      </c>
      <c r="G97" s="2" t="s">
        <v>6833</v>
      </c>
      <c r="H97" s="2"/>
      <c r="I97" s="2"/>
      <c r="J97" s="2"/>
      <c r="K97" s="2"/>
      <c r="L97" s="2"/>
      <c r="M97" s="2"/>
      <c r="N97" s="2"/>
      <c r="O97" s="2"/>
      <c r="P97" s="2"/>
      <c r="Q97" s="2"/>
      <c r="R97" s="2"/>
      <c r="S97" s="2"/>
      <c r="T97" s="2"/>
      <c r="U97" s="2"/>
      <c r="V97" s="2"/>
      <c r="W97" s="2"/>
      <c r="X97" s="2"/>
      <c r="Y97" s="2"/>
      <c r="Z97" s="2"/>
    </row>
    <row r="98" ht="14.8" spans="1:26">
      <c r="A98" s="6" t="s">
        <v>435</v>
      </c>
      <c r="B98" s="2" t="s">
        <v>6834</v>
      </c>
      <c r="C98" s="2" t="s">
        <v>315</v>
      </c>
      <c r="D98" s="2">
        <v>148</v>
      </c>
      <c r="E98" s="2" t="s">
        <v>21</v>
      </c>
      <c r="F98" s="2" t="s">
        <v>6835</v>
      </c>
      <c r="G98" s="2" t="s">
        <v>6836</v>
      </c>
      <c r="H98" s="2"/>
      <c r="I98" s="2"/>
      <c r="J98" s="2"/>
      <c r="K98" s="2"/>
      <c r="L98" s="2"/>
      <c r="M98" s="2"/>
      <c r="N98" s="2"/>
      <c r="O98" s="2"/>
      <c r="P98" s="2"/>
      <c r="Q98" s="2"/>
      <c r="R98" s="2"/>
      <c r="S98" s="2"/>
      <c r="T98" s="2"/>
      <c r="U98" s="2"/>
      <c r="V98" s="2"/>
      <c r="W98" s="2"/>
      <c r="X98" s="2"/>
      <c r="Y98" s="2"/>
      <c r="Z98" s="2"/>
    </row>
    <row r="99" ht="14.8" spans="1:26">
      <c r="A99" s="6" t="s">
        <v>439</v>
      </c>
      <c r="B99" s="2" t="s">
        <v>6837</v>
      </c>
      <c r="C99" s="2" t="s">
        <v>315</v>
      </c>
      <c r="D99" s="2">
        <v>149</v>
      </c>
      <c r="E99" s="2" t="s">
        <v>37</v>
      </c>
      <c r="F99" s="2" t="s">
        <v>6838</v>
      </c>
      <c r="G99" s="2" t="s">
        <v>6839</v>
      </c>
      <c r="H99" s="2"/>
      <c r="I99" s="2"/>
      <c r="J99" s="2"/>
      <c r="K99" s="2"/>
      <c r="L99" s="2"/>
      <c r="M99" s="2"/>
      <c r="N99" s="2"/>
      <c r="O99" s="2"/>
      <c r="P99" s="2"/>
      <c r="Q99" s="2"/>
      <c r="R99" s="2"/>
      <c r="S99" s="2"/>
      <c r="T99" s="2"/>
      <c r="U99" s="2"/>
      <c r="V99" s="2"/>
      <c r="W99" s="2"/>
      <c r="X99" s="2"/>
      <c r="Y99" s="2"/>
      <c r="Z99" s="2"/>
    </row>
    <row r="100" ht="14.8" spans="1:26">
      <c r="A100" s="6" t="s">
        <v>443</v>
      </c>
      <c r="B100" s="2" t="s">
        <v>6840</v>
      </c>
      <c r="C100" s="2" t="s">
        <v>315</v>
      </c>
      <c r="D100" s="2">
        <v>150</v>
      </c>
      <c r="E100" s="2" t="s">
        <v>310</v>
      </c>
      <c r="F100" s="2" t="s">
        <v>6841</v>
      </c>
      <c r="G100" s="2" t="s">
        <v>6842</v>
      </c>
      <c r="H100" s="2"/>
      <c r="I100" s="2"/>
      <c r="J100" s="2"/>
      <c r="K100" s="2"/>
      <c r="L100" s="2"/>
      <c r="M100" s="2"/>
      <c r="N100" s="2"/>
      <c r="O100" s="2"/>
      <c r="P100" s="2"/>
      <c r="Q100" s="2"/>
      <c r="R100" s="2"/>
      <c r="S100" s="2"/>
      <c r="T100" s="2"/>
      <c r="U100" s="2"/>
      <c r="V100" s="2"/>
      <c r="W100" s="2"/>
      <c r="X100" s="2"/>
      <c r="Y100" s="2"/>
      <c r="Z100" s="2"/>
    </row>
    <row r="101" ht="14.8" spans="1:26">
      <c r="A101" s="6" t="s">
        <v>448</v>
      </c>
      <c r="B101" s="2" t="s">
        <v>6843</v>
      </c>
      <c r="C101" s="2" t="s">
        <v>315</v>
      </c>
      <c r="D101" s="2">
        <v>151</v>
      </c>
      <c r="E101" s="2" t="s">
        <v>310</v>
      </c>
      <c r="F101" s="2" t="s">
        <v>6844</v>
      </c>
      <c r="G101" s="2" t="s">
        <v>6845</v>
      </c>
      <c r="H101" s="2"/>
      <c r="I101" s="2"/>
      <c r="J101" s="2"/>
      <c r="K101" s="2"/>
      <c r="L101" s="2"/>
      <c r="M101" s="2"/>
      <c r="N101" s="2"/>
      <c r="O101" s="2"/>
      <c r="P101" s="2"/>
      <c r="Q101" s="2"/>
      <c r="R101" s="2"/>
      <c r="S101" s="2"/>
      <c r="T101" s="2"/>
      <c r="U101" s="2"/>
      <c r="V101" s="2"/>
      <c r="W101" s="2"/>
      <c r="X101" s="2"/>
      <c r="Y101" s="2"/>
      <c r="Z101" s="2"/>
    </row>
    <row r="102" ht="14.8" spans="1:26">
      <c r="A102" s="6" t="s">
        <v>452</v>
      </c>
      <c r="B102" s="2" t="s">
        <v>6846</v>
      </c>
      <c r="C102" s="2" t="s">
        <v>315</v>
      </c>
      <c r="D102" s="2">
        <v>152</v>
      </c>
      <c r="E102" s="2" t="s">
        <v>310</v>
      </c>
      <c r="F102" s="2" t="s">
        <v>6847</v>
      </c>
      <c r="G102" s="2" t="s">
        <v>6848</v>
      </c>
      <c r="H102" s="2"/>
      <c r="I102" s="2"/>
      <c r="J102" s="2"/>
      <c r="K102" s="2"/>
      <c r="L102" s="2"/>
      <c r="M102" s="2"/>
      <c r="N102" s="2"/>
      <c r="O102" s="2"/>
      <c r="P102" s="2"/>
      <c r="Q102" s="2"/>
      <c r="R102" s="2"/>
      <c r="S102" s="2"/>
      <c r="T102" s="2"/>
      <c r="U102" s="2"/>
      <c r="V102" s="2"/>
      <c r="W102" s="2"/>
      <c r="X102" s="2"/>
      <c r="Y102" s="2"/>
      <c r="Z102" s="2"/>
    </row>
    <row r="103" ht="14.8" spans="1:26">
      <c r="A103" s="6" t="s">
        <v>455</v>
      </c>
      <c r="B103" s="2" t="s">
        <v>6849</v>
      </c>
      <c r="C103" s="2" t="s">
        <v>315</v>
      </c>
      <c r="D103" s="2">
        <v>153</v>
      </c>
      <c r="E103" s="2" t="s">
        <v>21</v>
      </c>
      <c r="F103" s="2" t="s">
        <v>6850</v>
      </c>
      <c r="G103" s="2" t="s">
        <v>6851</v>
      </c>
      <c r="H103" s="2"/>
      <c r="I103" s="2"/>
      <c r="J103" s="2"/>
      <c r="K103" s="2"/>
      <c r="L103" s="2"/>
      <c r="M103" s="2"/>
      <c r="N103" s="2"/>
      <c r="O103" s="2"/>
      <c r="P103" s="2"/>
      <c r="Q103" s="2"/>
      <c r="R103" s="2"/>
      <c r="S103" s="2"/>
      <c r="T103" s="2"/>
      <c r="U103" s="2"/>
      <c r="V103" s="2"/>
      <c r="W103" s="2"/>
      <c r="X103" s="2"/>
      <c r="Y103" s="2"/>
      <c r="Z103" s="2"/>
    </row>
    <row r="104" ht="14.8" spans="1:26">
      <c r="A104" s="6" t="s">
        <v>460</v>
      </c>
      <c r="B104" s="125"/>
      <c r="C104" s="2" t="s">
        <v>315</v>
      </c>
      <c r="D104" s="2">
        <v>154</v>
      </c>
      <c r="E104" s="2" t="s">
        <v>37</v>
      </c>
      <c r="F104" s="125"/>
      <c r="G104" s="125"/>
      <c r="H104" s="2"/>
      <c r="I104" s="2"/>
      <c r="J104" s="2"/>
      <c r="K104" s="2"/>
      <c r="L104" s="2"/>
      <c r="M104" s="2"/>
      <c r="N104" s="2"/>
      <c r="O104" s="2"/>
      <c r="P104" s="2"/>
      <c r="Q104" s="2"/>
      <c r="R104" s="2"/>
      <c r="S104" s="2"/>
      <c r="T104" s="2"/>
      <c r="U104" s="2"/>
      <c r="V104" s="2"/>
      <c r="W104" s="2"/>
      <c r="X104" s="2"/>
      <c r="Y104" s="2"/>
      <c r="Z104" s="2"/>
    </row>
    <row r="105" ht="14.8" spans="1:26">
      <c r="A105" s="6" t="s">
        <v>465</v>
      </c>
      <c r="B105" s="2" t="s">
        <v>6852</v>
      </c>
      <c r="C105" s="2" t="s">
        <v>315</v>
      </c>
      <c r="D105" s="2">
        <v>155</v>
      </c>
      <c r="E105" s="2" t="s">
        <v>21</v>
      </c>
      <c r="F105" s="2" t="s">
        <v>6853</v>
      </c>
      <c r="G105" s="2" t="s">
        <v>6854</v>
      </c>
      <c r="H105" s="2"/>
      <c r="I105" s="2"/>
      <c r="J105" s="2"/>
      <c r="K105" s="2"/>
      <c r="L105" s="2"/>
      <c r="M105" s="2"/>
      <c r="N105" s="2"/>
      <c r="O105" s="2"/>
      <c r="P105" s="2"/>
      <c r="Q105" s="2"/>
      <c r="R105" s="2"/>
      <c r="S105" s="2"/>
      <c r="T105" s="2"/>
      <c r="U105" s="2"/>
      <c r="V105" s="2"/>
      <c r="W105" s="2"/>
      <c r="X105" s="2"/>
      <c r="Y105" s="2"/>
      <c r="Z105" s="2"/>
    </row>
    <row r="106" ht="14.8" spans="1:26">
      <c r="A106" s="6" t="s">
        <v>469</v>
      </c>
      <c r="B106" s="2" t="s">
        <v>6855</v>
      </c>
      <c r="C106" s="2" t="s">
        <v>315</v>
      </c>
      <c r="D106" s="2">
        <v>156</v>
      </c>
      <c r="E106" s="2" t="s">
        <v>310</v>
      </c>
      <c r="F106" s="2" t="s">
        <v>6856</v>
      </c>
      <c r="G106" s="2" t="s">
        <v>6857</v>
      </c>
      <c r="H106" s="2"/>
      <c r="I106" s="2"/>
      <c r="J106" s="2"/>
      <c r="K106" s="2"/>
      <c r="L106" s="2"/>
      <c r="M106" s="2"/>
      <c r="N106" s="2"/>
      <c r="O106" s="2"/>
      <c r="P106" s="2"/>
      <c r="Q106" s="2"/>
      <c r="R106" s="2"/>
      <c r="S106" s="2"/>
      <c r="T106" s="2"/>
      <c r="U106" s="2"/>
      <c r="V106" s="2"/>
      <c r="W106" s="2"/>
      <c r="X106" s="2"/>
      <c r="Y106" s="2"/>
      <c r="Z106" s="2"/>
    </row>
    <row r="107" ht="14.8" spans="1:26">
      <c r="A107" s="6" t="s">
        <v>474</v>
      </c>
      <c r="B107" s="2" t="s">
        <v>6858</v>
      </c>
      <c r="C107" s="2" t="s">
        <v>315</v>
      </c>
      <c r="D107" s="2">
        <v>157</v>
      </c>
      <c r="E107" s="2" t="s">
        <v>310</v>
      </c>
      <c r="F107" s="2" t="s">
        <v>6859</v>
      </c>
      <c r="G107" s="2" t="s">
        <v>6860</v>
      </c>
      <c r="H107" s="2"/>
      <c r="I107" s="2"/>
      <c r="J107" s="2"/>
      <c r="K107" s="2"/>
      <c r="L107" s="2"/>
      <c r="M107" s="2"/>
      <c r="N107" s="2"/>
      <c r="O107" s="2"/>
      <c r="P107" s="2"/>
      <c r="Q107" s="2"/>
      <c r="R107" s="2"/>
      <c r="S107" s="2"/>
      <c r="T107" s="2"/>
      <c r="U107" s="2"/>
      <c r="V107" s="2"/>
      <c r="W107" s="2"/>
      <c r="X107" s="2"/>
      <c r="Y107" s="2"/>
      <c r="Z107" s="2"/>
    </row>
    <row r="108" ht="14.8" spans="1:26">
      <c r="A108" s="6" t="s">
        <v>479</v>
      </c>
      <c r="B108" s="2" t="s">
        <v>6861</v>
      </c>
      <c r="C108" s="2" t="s">
        <v>315</v>
      </c>
      <c r="D108" s="2">
        <v>158</v>
      </c>
      <c r="E108" s="2" t="s">
        <v>310</v>
      </c>
      <c r="F108" s="2" t="s">
        <v>6862</v>
      </c>
      <c r="G108" s="2" t="s">
        <v>6863</v>
      </c>
      <c r="H108" s="2"/>
      <c r="I108" s="2"/>
      <c r="J108" s="2"/>
      <c r="K108" s="2"/>
      <c r="L108" s="2"/>
      <c r="M108" s="2"/>
      <c r="N108" s="2"/>
      <c r="O108" s="2"/>
      <c r="P108" s="2"/>
      <c r="Q108" s="2"/>
      <c r="R108" s="2"/>
      <c r="S108" s="2"/>
      <c r="T108" s="2"/>
      <c r="U108" s="2"/>
      <c r="V108" s="2"/>
      <c r="W108" s="2"/>
      <c r="X108" s="2"/>
      <c r="Y108" s="2"/>
      <c r="Z108" s="2"/>
    </row>
    <row r="109" ht="14.8" spans="1:26">
      <c r="A109" s="6" t="s">
        <v>483</v>
      </c>
      <c r="B109" s="2" t="s">
        <v>6698</v>
      </c>
      <c r="C109" s="2" t="s">
        <v>315</v>
      </c>
      <c r="D109" s="2">
        <v>159</v>
      </c>
      <c r="E109" s="2" t="s">
        <v>37</v>
      </c>
      <c r="F109" s="2" t="s">
        <v>6864</v>
      </c>
      <c r="G109" s="2" t="s">
        <v>6865</v>
      </c>
      <c r="H109" s="2"/>
      <c r="I109" s="2"/>
      <c r="J109" s="2"/>
      <c r="K109" s="2"/>
      <c r="L109" s="2"/>
      <c r="M109" s="2"/>
      <c r="N109" s="2"/>
      <c r="O109" s="2"/>
      <c r="P109" s="2"/>
      <c r="Q109" s="2"/>
      <c r="R109" s="2"/>
      <c r="S109" s="2"/>
      <c r="T109" s="2"/>
      <c r="U109" s="2"/>
      <c r="V109" s="2"/>
      <c r="W109" s="2"/>
      <c r="X109" s="2"/>
      <c r="Y109" s="2"/>
      <c r="Z109" s="2"/>
    </row>
    <row r="110" ht="14.8" spans="1:26">
      <c r="A110" s="6" t="s">
        <v>488</v>
      </c>
      <c r="B110" s="2" t="s">
        <v>6866</v>
      </c>
      <c r="C110" s="2" t="s">
        <v>315</v>
      </c>
      <c r="D110" s="2">
        <v>160</v>
      </c>
      <c r="E110" s="2" t="s">
        <v>37</v>
      </c>
      <c r="F110" s="2" t="s">
        <v>6867</v>
      </c>
      <c r="G110" s="2" t="s">
        <v>6868</v>
      </c>
      <c r="H110" s="2"/>
      <c r="I110" s="2"/>
      <c r="J110" s="2"/>
      <c r="K110" s="2"/>
      <c r="L110" s="2"/>
      <c r="M110" s="2"/>
      <c r="N110" s="2"/>
      <c r="O110" s="2"/>
      <c r="P110" s="2"/>
      <c r="Q110" s="2"/>
      <c r="R110" s="2"/>
      <c r="S110" s="2"/>
      <c r="T110" s="2"/>
      <c r="U110" s="2"/>
      <c r="V110" s="2"/>
      <c r="W110" s="2"/>
      <c r="X110" s="2"/>
      <c r="Y110" s="2"/>
      <c r="Z110" s="2"/>
    </row>
    <row r="111" ht="14.8" spans="1:26">
      <c r="A111" s="6" t="s">
        <v>493</v>
      </c>
      <c r="B111" s="2" t="s">
        <v>6869</v>
      </c>
      <c r="C111" s="2" t="s">
        <v>315</v>
      </c>
      <c r="D111" s="2">
        <v>161</v>
      </c>
      <c r="E111" s="2"/>
      <c r="F111" s="2" t="s">
        <v>6870</v>
      </c>
      <c r="G111" s="2" t="s">
        <v>6871</v>
      </c>
      <c r="H111" s="2"/>
      <c r="I111" s="2"/>
      <c r="J111" s="2"/>
      <c r="K111" s="2"/>
      <c r="L111" s="2"/>
      <c r="M111" s="2"/>
      <c r="N111" s="2"/>
      <c r="O111" s="2"/>
      <c r="P111" s="2"/>
      <c r="Q111" s="2"/>
      <c r="R111" s="2"/>
      <c r="S111" s="2"/>
      <c r="T111" s="2"/>
      <c r="U111" s="2"/>
      <c r="V111" s="2"/>
      <c r="W111" s="2"/>
      <c r="X111" s="2"/>
      <c r="Y111" s="2"/>
      <c r="Z111" s="2"/>
    </row>
    <row r="112" ht="14.8" spans="1:26">
      <c r="A112" s="6" t="s">
        <v>498</v>
      </c>
      <c r="B112" s="2" t="s">
        <v>6872</v>
      </c>
      <c r="C112" s="2" t="s">
        <v>315</v>
      </c>
      <c r="D112" s="2">
        <v>162</v>
      </c>
      <c r="E112" s="2"/>
      <c r="F112" s="2" t="s">
        <v>6873</v>
      </c>
      <c r="G112" s="2" t="s">
        <v>6874</v>
      </c>
      <c r="H112" s="2"/>
      <c r="I112" s="2"/>
      <c r="J112" s="2"/>
      <c r="K112" s="2"/>
      <c r="L112" s="2"/>
      <c r="M112" s="2"/>
      <c r="N112" s="2"/>
      <c r="O112" s="2"/>
      <c r="P112" s="2"/>
      <c r="Q112" s="2"/>
      <c r="R112" s="2"/>
      <c r="S112" s="2"/>
      <c r="T112" s="2"/>
      <c r="U112" s="2"/>
      <c r="V112" s="2"/>
      <c r="W112" s="2"/>
      <c r="X112" s="2"/>
      <c r="Y112" s="2"/>
      <c r="Z112" s="2"/>
    </row>
    <row r="113" ht="14.8" spans="1:26">
      <c r="A113" s="6" t="s">
        <v>503</v>
      </c>
      <c r="B113" s="2" t="s">
        <v>6875</v>
      </c>
      <c r="C113" s="2" t="s">
        <v>315</v>
      </c>
      <c r="D113" s="2">
        <v>163</v>
      </c>
      <c r="E113" s="2" t="s">
        <v>37</v>
      </c>
      <c r="F113" s="2" t="s">
        <v>6876</v>
      </c>
      <c r="G113" s="2" t="s">
        <v>6877</v>
      </c>
      <c r="H113" s="2"/>
      <c r="I113" s="2"/>
      <c r="J113" s="2"/>
      <c r="K113" s="2"/>
      <c r="L113" s="2"/>
      <c r="M113" s="2"/>
      <c r="N113" s="2"/>
      <c r="O113" s="2"/>
      <c r="P113" s="2"/>
      <c r="Q113" s="2"/>
      <c r="R113" s="2"/>
      <c r="S113" s="2"/>
      <c r="T113" s="2"/>
      <c r="U113" s="2"/>
      <c r="V113" s="2"/>
      <c r="W113" s="2"/>
      <c r="X113" s="2"/>
      <c r="Y113" s="2"/>
      <c r="Z113" s="2"/>
    </row>
    <row r="114" ht="14.8" spans="1:26">
      <c r="A114" s="6" t="s">
        <v>508</v>
      </c>
      <c r="B114" s="2" t="s">
        <v>6878</v>
      </c>
      <c r="C114" s="2" t="s">
        <v>315</v>
      </c>
      <c r="D114" s="2">
        <v>164</v>
      </c>
      <c r="E114" s="2" t="s">
        <v>37</v>
      </c>
      <c r="F114" s="2" t="s">
        <v>6879</v>
      </c>
      <c r="G114" s="2" t="s">
        <v>6880</v>
      </c>
      <c r="H114" s="2"/>
      <c r="I114" s="2"/>
      <c r="J114" s="2"/>
      <c r="K114" s="2"/>
      <c r="L114" s="2"/>
      <c r="M114" s="2"/>
      <c r="N114" s="2"/>
      <c r="O114" s="2"/>
      <c r="P114" s="2"/>
      <c r="Q114" s="2"/>
      <c r="R114" s="2"/>
      <c r="S114" s="2"/>
      <c r="T114" s="2"/>
      <c r="U114" s="2"/>
      <c r="V114" s="2"/>
      <c r="W114" s="2"/>
      <c r="X114" s="2"/>
      <c r="Y114" s="2"/>
      <c r="Z114" s="2"/>
    </row>
    <row r="115" ht="14.8" spans="1:26">
      <c r="A115" s="6" t="s">
        <v>513</v>
      </c>
      <c r="B115" s="125"/>
      <c r="C115" s="2" t="s">
        <v>515</v>
      </c>
      <c r="D115" s="2">
        <v>165</v>
      </c>
      <c r="E115" s="2" t="s">
        <v>37</v>
      </c>
      <c r="F115" s="125"/>
      <c r="G115" s="125"/>
      <c r="H115" s="2"/>
      <c r="I115" s="2"/>
      <c r="J115" s="2"/>
      <c r="K115" s="2"/>
      <c r="L115" s="2"/>
      <c r="M115" s="2"/>
      <c r="N115" s="2"/>
      <c r="O115" s="2"/>
      <c r="P115" s="2"/>
      <c r="Q115" s="2"/>
      <c r="R115" s="2"/>
      <c r="S115" s="2"/>
      <c r="T115" s="2"/>
      <c r="U115" s="2"/>
      <c r="V115" s="2"/>
      <c r="W115" s="2"/>
      <c r="X115" s="2"/>
      <c r="Y115" s="2"/>
      <c r="Z115" s="2"/>
    </row>
    <row r="116" ht="14.8" spans="1:26">
      <c r="A116" s="6" t="s">
        <v>518</v>
      </c>
      <c r="B116" s="2" t="s">
        <v>6698</v>
      </c>
      <c r="C116" s="2" t="s">
        <v>519</v>
      </c>
      <c r="D116" s="2">
        <v>166</v>
      </c>
      <c r="E116" s="2" t="s">
        <v>37</v>
      </c>
      <c r="F116" s="2" t="s">
        <v>6699</v>
      </c>
      <c r="G116" s="2" t="s">
        <v>6881</v>
      </c>
      <c r="H116" s="2"/>
      <c r="I116" s="2"/>
      <c r="J116" s="2"/>
      <c r="K116" s="2"/>
      <c r="L116" s="2"/>
      <c r="M116" s="2"/>
      <c r="N116" s="2"/>
      <c r="O116" s="2"/>
      <c r="P116" s="2"/>
      <c r="Q116" s="2"/>
      <c r="R116" s="2"/>
      <c r="S116" s="2"/>
      <c r="T116" s="2"/>
      <c r="U116" s="2"/>
      <c r="V116" s="2"/>
      <c r="W116" s="2"/>
      <c r="X116" s="2"/>
      <c r="Y116" s="2"/>
      <c r="Z116" s="2"/>
    </row>
    <row r="117" ht="14.8" spans="1:26">
      <c r="A117" s="6" t="s">
        <v>520</v>
      </c>
      <c r="B117" s="2" t="s">
        <v>6701</v>
      </c>
      <c r="C117" s="2" t="s">
        <v>515</v>
      </c>
      <c r="D117" s="2">
        <v>167</v>
      </c>
      <c r="E117" s="2" t="s">
        <v>37</v>
      </c>
      <c r="F117" s="2" t="s">
        <v>6702</v>
      </c>
      <c r="G117" s="2" t="s">
        <v>6703</v>
      </c>
      <c r="H117" s="2"/>
      <c r="I117" s="2"/>
      <c r="J117" s="2"/>
      <c r="K117" s="2"/>
      <c r="L117" s="2"/>
      <c r="M117" s="2"/>
      <c r="N117" s="2"/>
      <c r="O117" s="2"/>
      <c r="P117" s="2"/>
      <c r="Q117" s="2"/>
      <c r="R117" s="2"/>
      <c r="S117" s="2"/>
      <c r="T117" s="2"/>
      <c r="U117" s="2"/>
      <c r="V117" s="2"/>
      <c r="W117" s="2"/>
      <c r="X117" s="2"/>
      <c r="Y117" s="2"/>
      <c r="Z117" s="2"/>
    </row>
    <row r="118" ht="14.8" spans="1:26">
      <c r="A118" s="6" t="s">
        <v>522</v>
      </c>
      <c r="B118" s="2" t="s">
        <v>6599</v>
      </c>
      <c r="C118" s="2" t="s">
        <v>524</v>
      </c>
      <c r="D118" s="2">
        <v>168</v>
      </c>
      <c r="E118" s="2" t="s">
        <v>37</v>
      </c>
      <c r="F118" s="2" t="s">
        <v>6882</v>
      </c>
      <c r="G118" s="2" t="s">
        <v>6883</v>
      </c>
      <c r="H118" s="2"/>
      <c r="I118" s="2"/>
      <c r="J118" s="2"/>
      <c r="K118" s="2"/>
      <c r="L118" s="2"/>
      <c r="M118" s="2"/>
      <c r="N118" s="2"/>
      <c r="O118" s="2"/>
      <c r="P118" s="2"/>
      <c r="Q118" s="2"/>
      <c r="R118" s="2"/>
      <c r="S118" s="2"/>
      <c r="T118" s="2"/>
      <c r="U118" s="2"/>
      <c r="V118" s="2"/>
      <c r="W118" s="2"/>
      <c r="X118" s="2"/>
      <c r="Y118" s="2"/>
      <c r="Z118" s="2"/>
    </row>
    <row r="119" ht="14.8" spans="1:26">
      <c r="A119" s="6" t="s">
        <v>527</v>
      </c>
      <c r="B119" s="2" t="s">
        <v>6884</v>
      </c>
      <c r="C119" s="2" t="s">
        <v>529</v>
      </c>
      <c r="D119" s="2">
        <v>169</v>
      </c>
      <c r="E119" s="2" t="s">
        <v>37</v>
      </c>
      <c r="F119" s="2" t="s">
        <v>6885</v>
      </c>
      <c r="G119" s="2" t="s">
        <v>6886</v>
      </c>
      <c r="H119" s="2"/>
      <c r="I119" s="2"/>
      <c r="J119" s="2"/>
      <c r="K119" s="2"/>
      <c r="L119" s="2"/>
      <c r="M119" s="2"/>
      <c r="N119" s="2"/>
      <c r="O119" s="2"/>
      <c r="P119" s="2"/>
      <c r="Q119" s="2"/>
      <c r="R119" s="2"/>
      <c r="S119" s="2"/>
      <c r="T119" s="2"/>
      <c r="U119" s="2"/>
      <c r="V119" s="2"/>
      <c r="W119" s="2"/>
      <c r="X119" s="2"/>
      <c r="Y119" s="2"/>
      <c r="Z119" s="2"/>
    </row>
    <row r="120" ht="14.8" spans="1:26">
      <c r="A120" s="6" t="s">
        <v>532</v>
      </c>
      <c r="B120" s="2" t="s">
        <v>6887</v>
      </c>
      <c r="C120" s="2" t="s">
        <v>6888</v>
      </c>
      <c r="D120" s="2">
        <v>170</v>
      </c>
      <c r="E120" s="2" t="s">
        <v>37</v>
      </c>
      <c r="F120" s="2" t="s">
        <v>6889</v>
      </c>
      <c r="G120" s="2" t="s">
        <v>6890</v>
      </c>
      <c r="H120" s="2"/>
      <c r="I120" s="2"/>
      <c r="J120" s="2"/>
      <c r="K120" s="2"/>
      <c r="L120" s="2"/>
      <c r="M120" s="2"/>
      <c r="N120" s="2"/>
      <c r="O120" s="2"/>
      <c r="P120" s="2"/>
      <c r="Q120" s="2"/>
      <c r="R120" s="2"/>
      <c r="S120" s="2"/>
      <c r="T120" s="2"/>
      <c r="U120" s="2"/>
      <c r="V120" s="2"/>
      <c r="W120" s="2"/>
      <c r="X120" s="2"/>
      <c r="Y120" s="2"/>
      <c r="Z120" s="2"/>
    </row>
    <row r="121" ht="14.8" spans="1:26">
      <c r="A121" s="6" t="s">
        <v>537</v>
      </c>
      <c r="B121" s="2" t="s">
        <v>6891</v>
      </c>
      <c r="C121" s="2" t="s">
        <v>539</v>
      </c>
      <c r="D121" s="2">
        <v>171</v>
      </c>
      <c r="E121" s="2" t="s">
        <v>37</v>
      </c>
      <c r="F121" s="2" t="s">
        <v>6892</v>
      </c>
      <c r="G121" s="2" t="s">
        <v>6893</v>
      </c>
      <c r="H121" s="2"/>
      <c r="I121" s="2"/>
      <c r="J121" s="2"/>
      <c r="K121" s="2"/>
      <c r="L121" s="2"/>
      <c r="M121" s="2"/>
      <c r="N121" s="2"/>
      <c r="O121" s="2"/>
      <c r="P121" s="2"/>
      <c r="Q121" s="2"/>
      <c r="R121" s="2"/>
      <c r="S121" s="2"/>
      <c r="T121" s="2"/>
      <c r="U121" s="2"/>
      <c r="V121" s="2"/>
      <c r="W121" s="2"/>
      <c r="X121" s="2"/>
      <c r="Y121" s="2"/>
      <c r="Z121" s="2"/>
    </row>
    <row r="122" ht="14.8" spans="1:26">
      <c r="A122" s="6" t="s">
        <v>542</v>
      </c>
      <c r="B122" s="2" t="s">
        <v>6894</v>
      </c>
      <c r="C122" s="2" t="s">
        <v>539</v>
      </c>
      <c r="D122" s="2">
        <v>172</v>
      </c>
      <c r="E122" s="2" t="s">
        <v>37</v>
      </c>
      <c r="F122" s="2" t="s">
        <v>6895</v>
      </c>
      <c r="G122" s="2" t="s">
        <v>6896</v>
      </c>
      <c r="H122" s="2"/>
      <c r="I122" s="2"/>
      <c r="J122" s="2"/>
      <c r="K122" s="2"/>
      <c r="L122" s="2"/>
      <c r="M122" s="2"/>
      <c r="N122" s="2"/>
      <c r="O122" s="2"/>
      <c r="P122" s="2"/>
      <c r="Q122" s="2"/>
      <c r="R122" s="2"/>
      <c r="S122" s="2"/>
      <c r="T122" s="2"/>
      <c r="U122" s="2"/>
      <c r="V122" s="2"/>
      <c r="W122" s="2"/>
      <c r="X122" s="2"/>
      <c r="Y122" s="2"/>
      <c r="Z122" s="2"/>
    </row>
    <row r="123" ht="14.8" spans="1:26">
      <c r="A123" s="6" t="s">
        <v>546</v>
      </c>
      <c r="B123" s="2" t="s">
        <v>6897</v>
      </c>
      <c r="C123" s="2" t="s">
        <v>548</v>
      </c>
      <c r="D123" s="2">
        <v>173</v>
      </c>
      <c r="E123" s="2" t="s">
        <v>37</v>
      </c>
      <c r="F123" s="126" t="s">
        <v>6898</v>
      </c>
      <c r="G123" s="2" t="s">
        <v>6899</v>
      </c>
      <c r="H123" s="2"/>
      <c r="I123" s="2"/>
      <c r="J123" s="2"/>
      <c r="K123" s="2"/>
      <c r="L123" s="2"/>
      <c r="M123" s="2"/>
      <c r="N123" s="2"/>
      <c r="O123" s="2"/>
      <c r="P123" s="2"/>
      <c r="Q123" s="2"/>
      <c r="R123" s="2"/>
      <c r="S123" s="2"/>
      <c r="T123" s="2"/>
      <c r="U123" s="2"/>
      <c r="V123" s="2"/>
      <c r="W123" s="2"/>
      <c r="X123" s="2"/>
      <c r="Y123" s="2"/>
      <c r="Z123" s="2"/>
    </row>
    <row r="124" ht="14.8" spans="1:26">
      <c r="A124" s="6" t="s">
        <v>551</v>
      </c>
      <c r="B124" s="2" t="s">
        <v>6900</v>
      </c>
      <c r="C124" s="2" t="s">
        <v>553</v>
      </c>
      <c r="D124" s="2">
        <v>174</v>
      </c>
      <c r="E124" s="2" t="s">
        <v>37</v>
      </c>
      <c r="F124" s="2" t="s">
        <v>6901</v>
      </c>
      <c r="G124" s="2" t="s">
        <v>6902</v>
      </c>
      <c r="H124" s="2"/>
      <c r="I124" s="2"/>
      <c r="J124" s="2"/>
      <c r="K124" s="2"/>
      <c r="L124" s="2"/>
      <c r="M124" s="2"/>
      <c r="N124" s="2"/>
      <c r="O124" s="2"/>
      <c r="P124" s="2"/>
      <c r="Q124" s="2"/>
      <c r="R124" s="2"/>
      <c r="S124" s="2"/>
      <c r="T124" s="2"/>
      <c r="U124" s="2"/>
      <c r="V124" s="2"/>
      <c r="W124" s="2"/>
      <c r="X124" s="2"/>
      <c r="Y124" s="2"/>
      <c r="Z124" s="2"/>
    </row>
    <row r="125" ht="14.8" spans="1:26">
      <c r="A125" s="6" t="s">
        <v>556</v>
      </c>
      <c r="B125" s="2" t="s">
        <v>3737</v>
      </c>
      <c r="C125" s="2" t="s">
        <v>557</v>
      </c>
      <c r="D125" s="2">
        <v>175</v>
      </c>
      <c r="E125" s="2" t="s">
        <v>37</v>
      </c>
      <c r="F125" s="2" t="s">
        <v>6903</v>
      </c>
      <c r="G125" s="2" t="s">
        <v>6904</v>
      </c>
      <c r="H125" s="2"/>
      <c r="I125" s="2"/>
      <c r="J125" s="2"/>
      <c r="K125" s="2"/>
      <c r="L125" s="2"/>
      <c r="M125" s="2"/>
      <c r="N125" s="2"/>
      <c r="O125" s="2"/>
      <c r="P125" s="2"/>
      <c r="Q125" s="2"/>
      <c r="R125" s="2"/>
      <c r="S125" s="2"/>
      <c r="T125" s="2"/>
      <c r="U125" s="2"/>
      <c r="V125" s="2"/>
      <c r="W125" s="2"/>
      <c r="X125" s="2"/>
      <c r="Y125" s="2"/>
      <c r="Z125" s="2"/>
    </row>
    <row r="126" ht="14.8" spans="1:26">
      <c r="A126" s="6" t="s">
        <v>558</v>
      </c>
      <c r="B126" s="2" t="s">
        <v>6905</v>
      </c>
      <c r="C126" s="2" t="s">
        <v>560</v>
      </c>
      <c r="D126" s="2">
        <v>176</v>
      </c>
      <c r="E126" s="2" t="s">
        <v>37</v>
      </c>
      <c r="F126" s="2" t="s">
        <v>6906</v>
      </c>
      <c r="G126" s="2" t="s">
        <v>6907</v>
      </c>
      <c r="H126" s="2"/>
      <c r="I126" s="2"/>
      <c r="J126" s="2"/>
      <c r="K126" s="2"/>
      <c r="L126" s="2"/>
      <c r="M126" s="2"/>
      <c r="N126" s="2"/>
      <c r="O126" s="2"/>
      <c r="P126" s="2"/>
      <c r="Q126" s="2"/>
      <c r="R126" s="2"/>
      <c r="S126" s="2"/>
      <c r="T126" s="2"/>
      <c r="U126" s="2"/>
      <c r="V126" s="2"/>
      <c r="W126" s="2"/>
      <c r="X126" s="2"/>
      <c r="Y126" s="2"/>
      <c r="Z126" s="2"/>
    </row>
    <row r="127" ht="14.8" spans="1:26">
      <c r="A127" s="6" t="s">
        <v>563</v>
      </c>
      <c r="B127" s="2" t="s">
        <v>6908</v>
      </c>
      <c r="C127" s="2" t="s">
        <v>565</v>
      </c>
      <c r="D127" s="2">
        <v>177</v>
      </c>
      <c r="E127" s="2" t="s">
        <v>37</v>
      </c>
      <c r="F127" s="126" t="s">
        <v>6909</v>
      </c>
      <c r="G127" s="2" t="s">
        <v>6910</v>
      </c>
      <c r="H127" s="2"/>
      <c r="I127" s="2"/>
      <c r="J127" s="2"/>
      <c r="K127" s="2"/>
      <c r="L127" s="2"/>
      <c r="M127" s="2"/>
      <c r="N127" s="2"/>
      <c r="O127" s="2"/>
      <c r="P127" s="2"/>
      <c r="Q127" s="2"/>
      <c r="R127" s="2"/>
      <c r="S127" s="2"/>
      <c r="T127" s="2"/>
      <c r="U127" s="2"/>
      <c r="V127" s="2"/>
      <c r="W127" s="2"/>
      <c r="X127" s="2"/>
      <c r="Y127" s="2"/>
      <c r="Z127" s="2"/>
    </row>
    <row r="128" ht="14.8" spans="1:26">
      <c r="A128" s="6" t="s">
        <v>313</v>
      </c>
      <c r="B128" s="2" t="s">
        <v>6911</v>
      </c>
      <c r="C128" s="2" t="s">
        <v>6912</v>
      </c>
      <c r="D128" s="2">
        <v>178</v>
      </c>
      <c r="E128" s="2" t="s">
        <v>37</v>
      </c>
      <c r="F128" s="2" t="s">
        <v>6913</v>
      </c>
      <c r="G128" s="2" t="s">
        <v>6914</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6915</v>
      </c>
      <c r="C129" s="10" t="s">
        <v>570</v>
      </c>
      <c r="D129" s="2"/>
      <c r="E129" s="2"/>
      <c r="F129" s="2" t="s">
        <v>2309</v>
      </c>
      <c r="G129" s="2" t="s">
        <v>6916</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6917</v>
      </c>
      <c r="C130" s="2" t="s">
        <v>570</v>
      </c>
      <c r="D130" s="2"/>
      <c r="E130" s="2"/>
      <c r="F130" s="2" t="s">
        <v>2309</v>
      </c>
      <c r="G130" s="2" t="s">
        <v>6918</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6919</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6920</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6921</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6922</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6923</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6924</v>
      </c>
      <c r="C136" s="11" t="s">
        <v>578</v>
      </c>
      <c r="D136" s="2"/>
      <c r="E136" s="2"/>
      <c r="F136" s="2" t="s">
        <v>6925</v>
      </c>
      <c r="G136" s="128" t="s">
        <v>6926</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6927</v>
      </c>
      <c r="C137" s="11" t="s">
        <v>578</v>
      </c>
      <c r="D137" s="2"/>
      <c r="E137" s="2"/>
      <c r="F137" s="2" t="s">
        <v>6928</v>
      </c>
      <c r="G137" s="2" t="s">
        <v>6929</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6930</v>
      </c>
      <c r="C138" s="11" t="s">
        <v>578</v>
      </c>
      <c r="D138" s="2"/>
      <c r="E138" s="2"/>
      <c r="F138" s="2" t="s">
        <v>6931</v>
      </c>
      <c r="G138" s="2" t="s">
        <v>6932</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6933</v>
      </c>
      <c r="C139" s="11" t="s">
        <v>578</v>
      </c>
      <c r="D139" s="2"/>
      <c r="E139" s="2"/>
      <c r="F139" s="2" t="s">
        <v>6934</v>
      </c>
      <c r="G139" s="2" t="s">
        <v>6935</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6169</v>
      </c>
      <c r="C140" s="11" t="s">
        <v>578</v>
      </c>
      <c r="D140" s="2"/>
      <c r="E140" s="2"/>
      <c r="F140" s="2" t="s">
        <v>6936</v>
      </c>
      <c r="G140" s="2" t="s">
        <v>6937</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6938</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2328</v>
      </c>
      <c r="C145" s="11" t="s">
        <v>612</v>
      </c>
      <c r="D145" s="2"/>
      <c r="E145" s="2"/>
      <c r="F145" s="2" t="s">
        <v>2329</v>
      </c>
      <c r="G145" s="2" t="s">
        <v>2330</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127" t="s">
        <v>6939</v>
      </c>
      <c r="C146" s="11" t="s">
        <v>612</v>
      </c>
      <c r="D146" s="2"/>
      <c r="E146" s="2"/>
      <c r="F146" s="2" t="s">
        <v>6940</v>
      </c>
      <c r="G146" s="2" t="s">
        <v>6941</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6942</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6943</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6944</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6945</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6946</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6947</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6948</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6949</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6950</v>
      </c>
      <c r="C157" s="13" t="s">
        <v>648</v>
      </c>
      <c r="D157" s="14">
        <v>120</v>
      </c>
      <c r="E157" s="13" t="s">
        <v>37</v>
      </c>
      <c r="F157" s="13" t="s">
        <v>6616</v>
      </c>
      <c r="G157" s="13" t="s">
        <v>6617</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6951</v>
      </c>
      <c r="C158" s="11" t="s">
        <v>653</v>
      </c>
      <c r="D158" s="2"/>
      <c r="E158" s="2"/>
      <c r="F158" s="2" t="s">
        <v>6952</v>
      </c>
      <c r="G158" s="2" t="s">
        <v>6953</v>
      </c>
      <c r="H158" s="2"/>
      <c r="I158" s="2"/>
      <c r="J158" s="2"/>
      <c r="K158" s="2"/>
      <c r="L158" s="2"/>
      <c r="M158" s="2"/>
      <c r="N158" s="2"/>
      <c r="O158" s="2"/>
      <c r="P158" s="2"/>
      <c r="Q158" s="2"/>
      <c r="R158" s="2"/>
      <c r="S158" s="2"/>
      <c r="T158" s="2"/>
      <c r="U158" s="2"/>
      <c r="V158" s="2"/>
      <c r="W158" s="2"/>
      <c r="X158" s="2"/>
      <c r="Y158" s="2"/>
      <c r="Z158" s="2"/>
    </row>
    <row r="159" ht="14.8" spans="1:26">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45 B131:B143 B147:B148 B155:B156">
      <formula1>ValidLondonCounterpartyNames</formula1>
    </dataValidation>
  </dataValidation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workbookViewId="0">
      <selection activeCell="A1" sqref="A1"/>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6954</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70" t="s">
        <v>10</v>
      </c>
      <c r="B4" s="63" t="s">
        <v>6955</v>
      </c>
      <c r="C4" s="63" t="s">
        <v>12</v>
      </c>
      <c r="D4" s="98"/>
      <c r="E4" s="98"/>
      <c r="F4" s="63" t="s">
        <v>6956</v>
      </c>
      <c r="G4" s="63" t="s">
        <v>6957</v>
      </c>
      <c r="H4" s="2"/>
      <c r="I4" s="2"/>
      <c r="J4" s="2"/>
      <c r="K4" s="2"/>
      <c r="L4" s="2"/>
      <c r="M4" s="2"/>
      <c r="N4" s="2"/>
      <c r="O4" s="2"/>
      <c r="P4" s="2"/>
      <c r="Q4" s="2"/>
      <c r="R4" s="2"/>
      <c r="S4" s="2"/>
      <c r="T4" s="2"/>
      <c r="U4" s="2"/>
      <c r="V4" s="2"/>
      <c r="W4" s="2"/>
      <c r="X4" s="2"/>
      <c r="Y4" s="2"/>
      <c r="Z4" s="2"/>
    </row>
    <row r="5" customHeight="1" spans="1:26">
      <c r="A5" s="52" t="s">
        <v>15</v>
      </c>
      <c r="B5" s="62" t="s">
        <v>6958</v>
      </c>
      <c r="C5" s="13" t="s">
        <v>12</v>
      </c>
      <c r="D5" s="57"/>
      <c r="E5" s="57"/>
      <c r="F5" s="13" t="s">
        <v>6959</v>
      </c>
      <c r="G5" s="13" t="s">
        <v>6960</v>
      </c>
      <c r="H5" s="2"/>
      <c r="I5" s="2"/>
      <c r="J5" s="2"/>
      <c r="K5" s="2"/>
      <c r="L5" s="2"/>
      <c r="M5" s="2"/>
      <c r="N5" s="2"/>
      <c r="O5" s="2"/>
      <c r="P5" s="2"/>
      <c r="Q5" s="2"/>
      <c r="R5" s="2"/>
      <c r="S5" s="2"/>
      <c r="T5" s="2"/>
      <c r="U5" s="2"/>
      <c r="V5" s="2"/>
      <c r="W5" s="2"/>
      <c r="X5" s="2"/>
      <c r="Y5" s="2"/>
      <c r="Z5" s="2"/>
    </row>
    <row r="6" customHeight="1" spans="1:26">
      <c r="A6" s="63" t="s">
        <v>18</v>
      </c>
      <c r="B6" s="13" t="s">
        <v>6961</v>
      </c>
      <c r="C6" s="13" t="s">
        <v>20</v>
      </c>
      <c r="D6" s="14">
        <v>340</v>
      </c>
      <c r="E6" s="13" t="s">
        <v>21</v>
      </c>
      <c r="F6" s="13" t="s">
        <v>6962</v>
      </c>
      <c r="G6" s="13" t="s">
        <v>6963</v>
      </c>
      <c r="H6" s="2"/>
      <c r="I6" s="2"/>
      <c r="J6" s="2"/>
      <c r="K6" s="2"/>
      <c r="L6" s="2"/>
      <c r="M6" s="2"/>
      <c r="N6" s="2"/>
      <c r="O6" s="2"/>
      <c r="P6" s="2"/>
      <c r="Q6" s="2"/>
      <c r="R6" s="2"/>
      <c r="S6" s="2"/>
      <c r="T6" s="2"/>
      <c r="U6" s="2"/>
      <c r="V6" s="2"/>
      <c r="W6" s="2"/>
      <c r="X6" s="2"/>
      <c r="Y6" s="2"/>
      <c r="Z6" s="2"/>
    </row>
    <row r="7" customHeight="1" spans="1:26">
      <c r="A7" s="13" t="s">
        <v>24</v>
      </c>
      <c r="B7" s="13" t="s">
        <v>6964</v>
      </c>
      <c r="C7" s="13" t="s">
        <v>6965</v>
      </c>
      <c r="D7" s="14">
        <v>85</v>
      </c>
      <c r="E7" s="13" t="s">
        <v>21</v>
      </c>
      <c r="F7" s="13" t="s">
        <v>6966</v>
      </c>
      <c r="G7" s="13" t="s">
        <v>6967</v>
      </c>
      <c r="H7" s="2"/>
      <c r="I7" s="2"/>
      <c r="J7" s="2"/>
      <c r="K7" s="2"/>
      <c r="L7" s="2"/>
      <c r="M7" s="2"/>
      <c r="N7" s="2"/>
      <c r="O7" s="2"/>
      <c r="P7" s="2"/>
      <c r="Q7" s="2"/>
      <c r="R7" s="2"/>
      <c r="S7" s="2"/>
      <c r="T7" s="2"/>
      <c r="U7" s="2"/>
      <c r="V7" s="2"/>
      <c r="W7" s="2"/>
      <c r="X7" s="2"/>
      <c r="Y7" s="2"/>
      <c r="Z7" s="2"/>
    </row>
    <row r="8" customHeight="1" spans="1:26">
      <c r="A8" s="64" t="s">
        <v>29</v>
      </c>
      <c r="B8" s="13" t="s">
        <v>6968</v>
      </c>
      <c r="C8" s="13" t="s">
        <v>31</v>
      </c>
      <c r="D8" s="65">
        <v>30</v>
      </c>
      <c r="E8" s="13" t="s">
        <v>32</v>
      </c>
      <c r="F8" s="13" t="s">
        <v>6969</v>
      </c>
      <c r="G8" s="13" t="s">
        <v>6970</v>
      </c>
      <c r="H8" s="2"/>
      <c r="I8" s="2"/>
      <c r="J8" s="2"/>
      <c r="K8" s="2"/>
      <c r="L8" s="2"/>
      <c r="M8" s="2"/>
      <c r="N8" s="2"/>
      <c r="O8" s="2"/>
      <c r="P8" s="2"/>
      <c r="Q8" s="2"/>
      <c r="R8" s="2"/>
      <c r="S8" s="2"/>
      <c r="T8" s="2"/>
      <c r="U8" s="2"/>
      <c r="V8" s="2"/>
      <c r="W8" s="2"/>
      <c r="X8" s="2"/>
      <c r="Y8" s="2"/>
      <c r="Z8" s="2"/>
    </row>
    <row r="9" customHeight="1" spans="1:26">
      <c r="A9" s="64" t="s">
        <v>35</v>
      </c>
      <c r="B9" s="13" t="s">
        <v>6971</v>
      </c>
      <c r="C9" s="13" t="s">
        <v>31</v>
      </c>
      <c r="D9" s="65">
        <v>30</v>
      </c>
      <c r="E9" s="13" t="s">
        <v>37</v>
      </c>
      <c r="F9" s="13" t="s">
        <v>6972</v>
      </c>
      <c r="G9" s="13" t="s">
        <v>6973</v>
      </c>
      <c r="H9" s="2"/>
      <c r="I9" s="2"/>
      <c r="J9" s="2"/>
      <c r="K9" s="2"/>
      <c r="L9" s="2"/>
      <c r="M9" s="2"/>
      <c r="N9" s="2"/>
      <c r="O9" s="2"/>
      <c r="P9" s="2"/>
      <c r="Q9" s="2"/>
      <c r="R9" s="2"/>
      <c r="S9" s="2"/>
      <c r="T9" s="2"/>
      <c r="U9" s="2"/>
      <c r="V9" s="2"/>
      <c r="W9" s="2"/>
      <c r="X9" s="2"/>
      <c r="Y9" s="2"/>
      <c r="Z9" s="2"/>
    </row>
    <row r="10" customHeight="1" spans="1:26">
      <c r="A10" s="64" t="s">
        <v>40</v>
      </c>
      <c r="B10" s="13" t="s">
        <v>41</v>
      </c>
      <c r="C10" s="13" t="s">
        <v>4167</v>
      </c>
      <c r="D10" s="65">
        <v>106</v>
      </c>
      <c r="E10" s="13" t="s">
        <v>21</v>
      </c>
      <c r="F10" s="13" t="s">
        <v>6974</v>
      </c>
      <c r="G10" s="13" t="s">
        <v>6975</v>
      </c>
      <c r="H10" s="2"/>
      <c r="I10" s="2"/>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13" t="s">
        <v>6976</v>
      </c>
      <c r="H11" s="2"/>
      <c r="I11" s="2"/>
      <c r="J11" s="2"/>
      <c r="K11" s="2"/>
      <c r="L11" s="2"/>
      <c r="M11" s="2"/>
      <c r="N11" s="2"/>
      <c r="O11" s="2"/>
      <c r="P11" s="2"/>
      <c r="Q11" s="2"/>
      <c r="R11" s="2"/>
      <c r="S11" s="2"/>
      <c r="T11" s="2"/>
      <c r="U11" s="2"/>
      <c r="V11" s="2"/>
      <c r="W11" s="2"/>
      <c r="X11" s="2"/>
      <c r="Y11" s="2"/>
      <c r="Z11" s="2"/>
    </row>
    <row r="12" customHeight="1" spans="1:26">
      <c r="A12" s="13" t="s">
        <v>49</v>
      </c>
      <c r="B12" s="13" t="s">
        <v>6977</v>
      </c>
      <c r="C12" s="13" t="s">
        <v>3483</v>
      </c>
      <c r="D12" s="57"/>
      <c r="E12" s="57"/>
      <c r="F12" s="13" t="s">
        <v>4745</v>
      </c>
      <c r="G12" s="13" t="s">
        <v>6978</v>
      </c>
      <c r="H12" s="2"/>
      <c r="I12" s="2"/>
      <c r="J12" s="2"/>
      <c r="K12" s="2"/>
      <c r="L12" s="2"/>
      <c r="M12" s="2"/>
      <c r="N12" s="2"/>
      <c r="O12" s="2"/>
      <c r="P12" s="2"/>
      <c r="Q12" s="2"/>
      <c r="R12" s="2"/>
      <c r="S12" s="2"/>
      <c r="T12" s="2"/>
      <c r="U12" s="2"/>
      <c r="V12" s="2"/>
      <c r="W12" s="2"/>
      <c r="X12" s="2"/>
      <c r="Y12" s="2"/>
      <c r="Z12" s="2"/>
    </row>
    <row r="13" customHeight="1" spans="1:26">
      <c r="A13" s="13" t="s">
        <v>54</v>
      </c>
      <c r="B13" s="13" t="s">
        <v>4747</v>
      </c>
      <c r="C13" s="13" t="s">
        <v>56</v>
      </c>
      <c r="D13" s="57"/>
      <c r="E13" s="57"/>
      <c r="F13" s="13" t="s">
        <v>4748</v>
      </c>
      <c r="G13" s="13" t="s">
        <v>6979</v>
      </c>
      <c r="H13" s="2"/>
      <c r="I13" s="2"/>
      <c r="J13" s="2"/>
      <c r="K13" s="2"/>
      <c r="L13" s="2"/>
      <c r="M13" s="2"/>
      <c r="N13" s="2"/>
      <c r="O13" s="2"/>
      <c r="P13" s="2"/>
      <c r="Q13" s="2"/>
      <c r="R13" s="2"/>
      <c r="S13" s="2"/>
      <c r="T13" s="2"/>
      <c r="U13" s="2"/>
      <c r="V13" s="2"/>
      <c r="W13" s="2"/>
      <c r="X13" s="2"/>
      <c r="Y13" s="2"/>
      <c r="Z13" s="2"/>
    </row>
    <row r="14" customHeight="1" spans="1:26">
      <c r="A14" s="64" t="s">
        <v>59</v>
      </c>
      <c r="B14" s="13" t="s">
        <v>6980</v>
      </c>
      <c r="C14" s="13" t="s">
        <v>61</v>
      </c>
      <c r="D14" s="65">
        <v>13</v>
      </c>
      <c r="E14" s="13" t="s">
        <v>37</v>
      </c>
      <c r="F14" s="13" t="s">
        <v>6981</v>
      </c>
      <c r="G14" s="13" t="s">
        <v>6982</v>
      </c>
      <c r="H14" s="2"/>
      <c r="I14" s="2"/>
      <c r="J14" s="2"/>
      <c r="K14" s="2"/>
      <c r="L14" s="2"/>
      <c r="M14" s="2"/>
      <c r="N14" s="2"/>
      <c r="O14" s="2"/>
      <c r="P14" s="2"/>
      <c r="Q14" s="2"/>
      <c r="R14" s="2"/>
      <c r="S14" s="2"/>
      <c r="T14" s="2"/>
      <c r="U14" s="2"/>
      <c r="V14" s="2"/>
      <c r="W14" s="2"/>
      <c r="X14" s="2"/>
      <c r="Y14" s="2"/>
      <c r="Z14" s="2"/>
    </row>
    <row r="15" customHeight="1" spans="1:26">
      <c r="A15" s="64" t="s">
        <v>64</v>
      </c>
      <c r="B15" s="13" t="s">
        <v>6983</v>
      </c>
      <c r="C15" s="13" t="s">
        <v>66</v>
      </c>
      <c r="D15" s="65">
        <v>13</v>
      </c>
      <c r="E15" s="13" t="s">
        <v>32</v>
      </c>
      <c r="F15" s="13" t="s">
        <v>6984</v>
      </c>
      <c r="G15" s="13" t="s">
        <v>6985</v>
      </c>
      <c r="H15" s="2"/>
      <c r="I15" s="2"/>
      <c r="J15" s="2"/>
      <c r="K15" s="2"/>
      <c r="L15" s="2"/>
      <c r="M15" s="2"/>
      <c r="N15" s="2"/>
      <c r="O15" s="2"/>
      <c r="P15" s="2"/>
      <c r="Q15" s="2"/>
      <c r="R15" s="2"/>
      <c r="S15" s="2"/>
      <c r="T15" s="2"/>
      <c r="U15" s="2"/>
      <c r="V15" s="2"/>
      <c r="W15" s="2"/>
      <c r="X15" s="2"/>
      <c r="Y15" s="2"/>
      <c r="Z15" s="2"/>
    </row>
    <row r="16" customHeight="1" spans="1:26">
      <c r="A16" s="64" t="s">
        <v>69</v>
      </c>
      <c r="B16" s="13" t="s">
        <v>6986</v>
      </c>
      <c r="C16" s="13" t="s">
        <v>66</v>
      </c>
      <c r="D16" s="65">
        <v>12</v>
      </c>
      <c r="E16" s="13" t="s">
        <v>71</v>
      </c>
      <c r="F16" s="13" t="s">
        <v>6987</v>
      </c>
      <c r="G16" s="13" t="s">
        <v>6988</v>
      </c>
      <c r="H16" s="2"/>
      <c r="I16" s="2"/>
      <c r="J16" s="2"/>
      <c r="K16" s="2"/>
      <c r="L16" s="2"/>
      <c r="M16" s="2"/>
      <c r="N16" s="2"/>
      <c r="O16" s="2"/>
      <c r="P16" s="2"/>
      <c r="Q16" s="2"/>
      <c r="R16" s="2"/>
      <c r="S16" s="2"/>
      <c r="T16" s="2"/>
      <c r="U16" s="2"/>
      <c r="V16" s="2"/>
      <c r="W16" s="2"/>
      <c r="X16" s="2"/>
      <c r="Y16" s="2"/>
      <c r="Z16" s="2"/>
    </row>
    <row r="17" customHeight="1" spans="1:26">
      <c r="A17" s="13" t="s">
        <v>74</v>
      </c>
      <c r="B17" s="13" t="s">
        <v>6989</v>
      </c>
      <c r="C17" s="13" t="s">
        <v>76</v>
      </c>
      <c r="D17" s="57"/>
      <c r="E17" s="57"/>
      <c r="F17" s="13" t="s">
        <v>6990</v>
      </c>
      <c r="G17" s="13" t="s">
        <v>6991</v>
      </c>
      <c r="H17" s="2"/>
      <c r="I17" s="2"/>
      <c r="J17" s="2"/>
      <c r="K17" s="2"/>
      <c r="L17" s="2"/>
      <c r="M17" s="2"/>
      <c r="N17" s="2"/>
      <c r="O17" s="2"/>
      <c r="P17" s="2"/>
      <c r="Q17" s="2"/>
      <c r="R17" s="2"/>
      <c r="S17" s="2"/>
      <c r="T17" s="2"/>
      <c r="U17" s="2"/>
      <c r="V17" s="2"/>
      <c r="W17" s="2"/>
      <c r="X17" s="2"/>
      <c r="Y17" s="2"/>
      <c r="Z17" s="2"/>
    </row>
    <row r="18" customHeight="1" spans="1:26">
      <c r="A18" s="64" t="s">
        <v>79</v>
      </c>
      <c r="B18" s="13" t="s">
        <v>6992</v>
      </c>
      <c r="C18" s="13" t="s">
        <v>81</v>
      </c>
      <c r="D18" s="65">
        <v>30</v>
      </c>
      <c r="E18" s="13" t="s">
        <v>37</v>
      </c>
      <c r="F18" s="13" t="s">
        <v>6993</v>
      </c>
      <c r="G18" s="13" t="s">
        <v>6994</v>
      </c>
      <c r="H18" s="2"/>
      <c r="I18" s="2"/>
      <c r="J18" s="2"/>
      <c r="K18" s="2"/>
      <c r="L18" s="2"/>
      <c r="M18" s="2"/>
      <c r="N18" s="2"/>
      <c r="O18" s="2"/>
      <c r="P18" s="2"/>
      <c r="Q18" s="2"/>
      <c r="R18" s="2"/>
      <c r="S18" s="2"/>
      <c r="T18" s="2"/>
      <c r="U18" s="2"/>
      <c r="V18" s="2"/>
      <c r="W18" s="2"/>
      <c r="X18" s="2"/>
      <c r="Y18" s="2"/>
      <c r="Z18" s="2"/>
    </row>
    <row r="19" customHeight="1" spans="1:26">
      <c r="A19" s="13" t="s">
        <v>84</v>
      </c>
      <c r="B19" s="13" t="s">
        <v>6995</v>
      </c>
      <c r="C19" s="13" t="s">
        <v>86</v>
      </c>
      <c r="D19" s="14">
        <v>134</v>
      </c>
      <c r="E19" s="13" t="s">
        <v>21</v>
      </c>
      <c r="F19" s="13" t="s">
        <v>6996</v>
      </c>
      <c r="G19" s="13" t="s">
        <v>6997</v>
      </c>
      <c r="H19" s="2"/>
      <c r="I19" s="2"/>
      <c r="J19" s="2"/>
      <c r="K19" s="2"/>
      <c r="L19" s="2"/>
      <c r="M19" s="2"/>
      <c r="N19" s="2"/>
      <c r="O19" s="2"/>
      <c r="P19" s="2"/>
      <c r="Q19" s="2"/>
      <c r="R19" s="2"/>
      <c r="S19" s="2"/>
      <c r="T19" s="2"/>
      <c r="U19" s="2"/>
      <c r="V19" s="2"/>
      <c r="W19" s="2"/>
      <c r="X19" s="2"/>
      <c r="Y19" s="2"/>
      <c r="Z19" s="2"/>
    </row>
    <row r="20" customHeight="1" spans="1:26">
      <c r="A20" s="13" t="s">
        <v>89</v>
      </c>
      <c r="B20" s="13" t="s">
        <v>6998</v>
      </c>
      <c r="C20" s="13" t="s">
        <v>91</v>
      </c>
      <c r="D20" s="57"/>
      <c r="E20" s="57"/>
      <c r="F20" s="13" t="s">
        <v>6999</v>
      </c>
      <c r="G20" s="13" t="s">
        <v>7000</v>
      </c>
      <c r="H20" s="2"/>
      <c r="I20" s="2"/>
      <c r="J20" s="2"/>
      <c r="K20" s="2"/>
      <c r="L20" s="2"/>
      <c r="M20" s="2"/>
      <c r="N20" s="2"/>
      <c r="O20" s="2"/>
      <c r="P20" s="2"/>
      <c r="Q20" s="2"/>
      <c r="R20" s="2"/>
      <c r="S20" s="2"/>
      <c r="T20" s="2"/>
      <c r="U20" s="2"/>
      <c r="V20" s="2"/>
      <c r="W20" s="2"/>
      <c r="X20" s="2"/>
      <c r="Y20" s="2"/>
      <c r="Z20" s="2"/>
    </row>
    <row r="21" customHeight="1" spans="1:26">
      <c r="A21" s="64" t="s">
        <v>94</v>
      </c>
      <c r="B21" s="13" t="s">
        <v>7001</v>
      </c>
      <c r="C21" s="13" t="s">
        <v>925</v>
      </c>
      <c r="D21" s="65">
        <v>60</v>
      </c>
      <c r="E21" s="13" t="s">
        <v>71</v>
      </c>
      <c r="F21" s="13" t="s">
        <v>7002</v>
      </c>
      <c r="G21" s="13" t="s">
        <v>7003</v>
      </c>
      <c r="H21" s="2"/>
      <c r="I21" s="2"/>
      <c r="J21" s="2"/>
      <c r="K21" s="2"/>
      <c r="L21" s="2"/>
      <c r="M21" s="2"/>
      <c r="N21" s="2"/>
      <c r="O21" s="2"/>
      <c r="P21" s="2"/>
      <c r="Q21" s="2"/>
      <c r="R21" s="2"/>
      <c r="S21" s="2"/>
      <c r="T21" s="2"/>
      <c r="U21" s="2"/>
      <c r="V21" s="2"/>
      <c r="W21" s="2"/>
      <c r="X21" s="2"/>
      <c r="Y21" s="2"/>
      <c r="Z21" s="2"/>
    </row>
    <row r="22" customHeight="1" spans="1:26">
      <c r="A22" s="64" t="s">
        <v>99</v>
      </c>
      <c r="B22" s="13" t="s">
        <v>7004</v>
      </c>
      <c r="C22" s="13" t="s">
        <v>925</v>
      </c>
      <c r="D22" s="65">
        <v>70</v>
      </c>
      <c r="E22" s="13" t="s">
        <v>32</v>
      </c>
      <c r="F22" s="13" t="s">
        <v>7005</v>
      </c>
      <c r="G22" s="13" t="s">
        <v>7006</v>
      </c>
      <c r="H22" s="2"/>
      <c r="I22" s="2"/>
      <c r="J22" s="2"/>
      <c r="K22" s="2"/>
      <c r="L22" s="2"/>
      <c r="M22" s="2"/>
      <c r="N22" s="2"/>
      <c r="O22" s="2"/>
      <c r="P22" s="2"/>
      <c r="Q22" s="2"/>
      <c r="R22" s="2"/>
      <c r="S22" s="2"/>
      <c r="T22" s="2"/>
      <c r="U22" s="2"/>
      <c r="V22" s="2"/>
      <c r="W22" s="2"/>
      <c r="X22" s="2"/>
      <c r="Y22" s="2"/>
      <c r="Z22" s="2"/>
    </row>
    <row r="23" customHeight="1" spans="1:26">
      <c r="A23" s="64" t="s">
        <v>102</v>
      </c>
      <c r="B23" s="13" t="s">
        <v>4775</v>
      </c>
      <c r="C23" s="13" t="s">
        <v>108</v>
      </c>
      <c r="D23" s="65">
        <v>123</v>
      </c>
      <c r="E23" s="13" t="s">
        <v>21</v>
      </c>
      <c r="F23" s="13" t="s">
        <v>4776</v>
      </c>
      <c r="G23" s="13" t="s">
        <v>4777</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7007</v>
      </c>
      <c r="H24" s="2"/>
      <c r="I24" s="2"/>
      <c r="J24" s="2"/>
      <c r="K24" s="2"/>
      <c r="L24" s="2"/>
      <c r="M24" s="2"/>
      <c r="N24" s="2"/>
      <c r="O24" s="2"/>
      <c r="P24" s="2"/>
      <c r="Q24" s="2"/>
      <c r="R24" s="2"/>
      <c r="S24" s="2"/>
      <c r="T24" s="2"/>
      <c r="U24" s="2"/>
      <c r="V24" s="2"/>
      <c r="W24" s="2"/>
      <c r="X24" s="2"/>
      <c r="Y24" s="2"/>
      <c r="Z24" s="2"/>
    </row>
    <row r="25" customHeight="1" spans="1:26">
      <c r="A25" s="13" t="s">
        <v>110</v>
      </c>
      <c r="B25" s="13" t="s">
        <v>7008</v>
      </c>
      <c r="C25" s="13" t="s">
        <v>112</v>
      </c>
      <c r="D25" s="57"/>
      <c r="E25" s="57"/>
      <c r="F25" s="13" t="s">
        <v>7009</v>
      </c>
      <c r="G25" s="13" t="s">
        <v>7010</v>
      </c>
      <c r="H25" s="2"/>
      <c r="I25" s="2"/>
      <c r="J25" s="2"/>
      <c r="K25" s="2"/>
      <c r="L25" s="2"/>
      <c r="M25" s="2"/>
      <c r="N25" s="2"/>
      <c r="O25" s="2"/>
      <c r="P25" s="2"/>
      <c r="Q25" s="2"/>
      <c r="R25" s="2"/>
      <c r="S25" s="2"/>
      <c r="T25" s="2"/>
      <c r="U25" s="2"/>
      <c r="V25" s="2"/>
      <c r="W25" s="2"/>
      <c r="X25" s="2"/>
      <c r="Y25" s="2"/>
      <c r="Z25" s="2"/>
    </row>
    <row r="26" customHeight="1" spans="1:26">
      <c r="A26" s="13" t="s">
        <v>115</v>
      </c>
      <c r="B26" s="13" t="s">
        <v>7011</v>
      </c>
      <c r="C26" s="13" t="s">
        <v>117</v>
      </c>
      <c r="D26" s="65">
        <v>90</v>
      </c>
      <c r="E26" s="13" t="s">
        <v>32</v>
      </c>
      <c r="F26" s="13" t="s">
        <v>7012</v>
      </c>
      <c r="G26" s="13" t="s">
        <v>7013</v>
      </c>
      <c r="H26" s="2"/>
      <c r="I26" s="2"/>
      <c r="J26" s="2"/>
      <c r="K26" s="2"/>
      <c r="L26" s="2"/>
      <c r="M26" s="2"/>
      <c r="N26" s="2"/>
      <c r="O26" s="2"/>
      <c r="P26" s="2"/>
      <c r="Q26" s="2"/>
      <c r="R26" s="2"/>
      <c r="S26" s="2"/>
      <c r="T26" s="2"/>
      <c r="U26" s="2"/>
      <c r="V26" s="2"/>
      <c r="W26" s="2"/>
      <c r="X26" s="2"/>
      <c r="Y26" s="2"/>
      <c r="Z26" s="2"/>
    </row>
    <row r="27" customHeight="1" spans="1:26">
      <c r="A27" s="64" t="s">
        <v>120</v>
      </c>
      <c r="B27" s="13" t="s">
        <v>7014</v>
      </c>
      <c r="C27" s="13" t="s">
        <v>117</v>
      </c>
      <c r="D27" s="65">
        <v>60</v>
      </c>
      <c r="E27" s="13" t="s">
        <v>37</v>
      </c>
      <c r="F27" s="13" t="s">
        <v>7015</v>
      </c>
      <c r="G27" s="13" t="s">
        <v>7016</v>
      </c>
      <c r="H27" s="2"/>
      <c r="I27" s="2"/>
      <c r="J27" s="2"/>
      <c r="K27" s="2"/>
      <c r="L27" s="2"/>
      <c r="M27" s="2"/>
      <c r="N27" s="2"/>
      <c r="O27" s="2"/>
      <c r="P27" s="2"/>
      <c r="Q27" s="2"/>
      <c r="R27" s="2"/>
      <c r="S27" s="2"/>
      <c r="T27" s="2"/>
      <c r="U27" s="2"/>
      <c r="V27" s="2"/>
      <c r="W27" s="2"/>
      <c r="X27" s="2"/>
      <c r="Y27" s="2"/>
      <c r="Z27" s="2"/>
    </row>
    <row r="28" customHeight="1" spans="1:26">
      <c r="A28" s="13" t="s">
        <v>123</v>
      </c>
      <c r="B28" s="13" t="s">
        <v>7017</v>
      </c>
      <c r="C28" s="13" t="s">
        <v>117</v>
      </c>
      <c r="D28" s="65">
        <v>80</v>
      </c>
      <c r="E28" s="13" t="s">
        <v>245</v>
      </c>
      <c r="F28" s="13" t="s">
        <v>7018</v>
      </c>
      <c r="G28" s="13" t="s">
        <v>7019</v>
      </c>
      <c r="H28" s="2"/>
      <c r="I28" s="2"/>
      <c r="J28" s="2"/>
      <c r="K28" s="2"/>
      <c r="L28" s="2"/>
      <c r="M28" s="2"/>
      <c r="N28" s="2"/>
      <c r="O28" s="2"/>
      <c r="P28" s="2"/>
      <c r="Q28" s="2"/>
      <c r="R28" s="2"/>
      <c r="S28" s="2"/>
      <c r="T28" s="2"/>
      <c r="U28" s="2"/>
      <c r="V28" s="2"/>
      <c r="W28" s="2"/>
      <c r="X28" s="2"/>
      <c r="Y28" s="2"/>
      <c r="Z28" s="2"/>
    </row>
    <row r="29" customHeight="1" spans="1:26">
      <c r="A29" s="64" t="s">
        <v>127</v>
      </c>
      <c r="B29" s="13" t="s">
        <v>7020</v>
      </c>
      <c r="C29" s="13" t="s">
        <v>117</v>
      </c>
      <c r="D29" s="65">
        <v>50</v>
      </c>
      <c r="E29" s="13" t="s">
        <v>37</v>
      </c>
      <c r="F29" s="13" t="s">
        <v>7021</v>
      </c>
      <c r="G29" s="13" t="s">
        <v>7022</v>
      </c>
      <c r="H29" s="2"/>
      <c r="I29" s="2"/>
      <c r="J29" s="2"/>
      <c r="K29" s="2"/>
      <c r="L29" s="2"/>
      <c r="M29" s="2"/>
      <c r="N29" s="2"/>
      <c r="O29" s="2"/>
      <c r="P29" s="2"/>
      <c r="Q29" s="2"/>
      <c r="R29" s="2"/>
      <c r="S29" s="2"/>
      <c r="T29" s="2"/>
      <c r="U29" s="2"/>
      <c r="V29" s="2"/>
      <c r="W29" s="2"/>
      <c r="X29" s="2"/>
      <c r="Y29" s="2"/>
      <c r="Z29" s="2"/>
    </row>
    <row r="30" customHeight="1" spans="1:26">
      <c r="A30" s="64" t="s">
        <v>131</v>
      </c>
      <c r="B30" s="13" t="s">
        <v>7023</v>
      </c>
      <c r="C30" s="13" t="s">
        <v>117</v>
      </c>
      <c r="D30" s="65">
        <v>50</v>
      </c>
      <c r="E30" s="13" t="s">
        <v>32</v>
      </c>
      <c r="F30" s="13" t="s">
        <v>7024</v>
      </c>
      <c r="G30" s="13" t="s">
        <v>7025</v>
      </c>
      <c r="H30" s="2"/>
      <c r="I30" s="2"/>
      <c r="J30" s="2"/>
      <c r="K30" s="2"/>
      <c r="L30" s="2"/>
      <c r="M30" s="2"/>
      <c r="N30" s="2"/>
      <c r="O30" s="2"/>
      <c r="P30" s="2"/>
      <c r="Q30" s="2"/>
      <c r="R30" s="2"/>
      <c r="S30" s="2"/>
      <c r="T30" s="2"/>
      <c r="U30" s="2"/>
      <c r="V30" s="2"/>
      <c r="W30" s="2"/>
      <c r="X30" s="2"/>
      <c r="Y30" s="2"/>
      <c r="Z30" s="2"/>
    </row>
    <row r="31" customHeight="1" spans="1:26">
      <c r="A31" s="64" t="s">
        <v>135</v>
      </c>
      <c r="B31" s="13" t="s">
        <v>121</v>
      </c>
      <c r="C31" s="13" t="s">
        <v>117</v>
      </c>
      <c r="D31" s="65">
        <v>30</v>
      </c>
      <c r="E31" s="13" t="s">
        <v>32</v>
      </c>
      <c r="F31" s="13" t="s">
        <v>7026</v>
      </c>
      <c r="G31" s="13" t="s">
        <v>7027</v>
      </c>
      <c r="H31" s="2"/>
      <c r="I31" s="2"/>
      <c r="J31" s="2"/>
      <c r="K31" s="2"/>
      <c r="L31" s="2"/>
      <c r="M31" s="2"/>
      <c r="N31" s="2"/>
      <c r="O31" s="2"/>
      <c r="P31" s="2"/>
      <c r="Q31" s="2"/>
      <c r="R31" s="2"/>
      <c r="S31" s="2"/>
      <c r="T31" s="2"/>
      <c r="U31" s="2"/>
      <c r="V31" s="2"/>
      <c r="W31" s="2"/>
      <c r="X31" s="2"/>
      <c r="Y31" s="2"/>
      <c r="Z31" s="2"/>
    </row>
    <row r="32" customHeight="1" spans="1:26">
      <c r="A32" s="13" t="s">
        <v>139</v>
      </c>
      <c r="B32" s="13" t="s">
        <v>7028</v>
      </c>
      <c r="C32" s="13" t="s">
        <v>141</v>
      </c>
      <c r="D32" s="14">
        <v>55</v>
      </c>
      <c r="E32" s="13" t="s">
        <v>37</v>
      </c>
      <c r="F32" s="13" t="s">
        <v>7029</v>
      </c>
      <c r="G32" s="13" t="s">
        <v>7030</v>
      </c>
      <c r="H32" s="2"/>
      <c r="I32" s="2"/>
      <c r="J32" s="2"/>
      <c r="K32" s="2"/>
      <c r="L32" s="2"/>
      <c r="M32" s="2"/>
      <c r="N32" s="2"/>
      <c r="O32" s="2"/>
      <c r="P32" s="2"/>
      <c r="Q32" s="2"/>
      <c r="R32" s="2"/>
      <c r="S32" s="2"/>
      <c r="T32" s="2"/>
      <c r="U32" s="2"/>
      <c r="V32" s="2"/>
      <c r="W32" s="2"/>
      <c r="X32" s="2"/>
      <c r="Y32" s="2"/>
      <c r="Z32" s="2"/>
    </row>
    <row r="33" customHeight="1" spans="1:26">
      <c r="A33" s="13" t="s">
        <v>144</v>
      </c>
      <c r="B33" s="13" t="s">
        <v>7031</v>
      </c>
      <c r="C33" s="13" t="s">
        <v>146</v>
      </c>
      <c r="D33" s="57"/>
      <c r="E33" s="57"/>
      <c r="F33" s="13" t="s">
        <v>7032</v>
      </c>
      <c r="G33" s="13" t="s">
        <v>7033</v>
      </c>
      <c r="H33" s="2"/>
      <c r="I33" s="2"/>
      <c r="J33" s="2"/>
      <c r="K33" s="2"/>
      <c r="L33" s="2"/>
      <c r="M33" s="2"/>
      <c r="N33" s="2"/>
      <c r="O33" s="2"/>
      <c r="P33" s="2"/>
      <c r="Q33" s="2"/>
      <c r="R33" s="2"/>
      <c r="S33" s="2"/>
      <c r="T33" s="2"/>
      <c r="U33" s="2"/>
      <c r="V33" s="2"/>
      <c r="W33" s="2"/>
      <c r="X33" s="2"/>
      <c r="Y33" s="2"/>
      <c r="Z33" s="2"/>
    </row>
    <row r="34" customHeight="1" spans="1:26">
      <c r="A34" s="13" t="s">
        <v>149</v>
      </c>
      <c r="B34" s="13" t="s">
        <v>7034</v>
      </c>
      <c r="C34" s="13" t="s">
        <v>151</v>
      </c>
      <c r="D34" s="57"/>
      <c r="E34" s="57"/>
      <c r="F34" s="13" t="s">
        <v>7035</v>
      </c>
      <c r="G34" s="13" t="s">
        <v>7036</v>
      </c>
      <c r="H34" s="2"/>
      <c r="I34" s="2"/>
      <c r="J34" s="2"/>
      <c r="K34" s="2"/>
      <c r="L34" s="2"/>
      <c r="M34" s="2"/>
      <c r="N34" s="2"/>
      <c r="O34" s="2"/>
      <c r="P34" s="2"/>
      <c r="Q34" s="2"/>
      <c r="R34" s="2"/>
      <c r="S34" s="2"/>
      <c r="T34" s="2"/>
      <c r="U34" s="2"/>
      <c r="V34" s="2"/>
      <c r="W34" s="2"/>
      <c r="X34" s="2"/>
      <c r="Y34" s="2"/>
      <c r="Z34" s="2"/>
    </row>
    <row r="35" customHeight="1" spans="1:26">
      <c r="A35" s="64" t="s">
        <v>154</v>
      </c>
      <c r="B35" s="13" t="s">
        <v>7037</v>
      </c>
      <c r="C35" s="13" t="s">
        <v>156</v>
      </c>
      <c r="D35" s="65">
        <v>30</v>
      </c>
      <c r="E35" s="13" t="s">
        <v>37</v>
      </c>
      <c r="F35" s="13" t="s">
        <v>7038</v>
      </c>
      <c r="G35" s="13" t="s">
        <v>7039</v>
      </c>
      <c r="H35" s="2"/>
      <c r="I35" s="2"/>
      <c r="J35" s="2"/>
      <c r="K35" s="2"/>
      <c r="L35" s="2"/>
      <c r="M35" s="2"/>
      <c r="N35" s="2"/>
      <c r="O35" s="2"/>
      <c r="P35" s="2"/>
      <c r="Q35" s="2"/>
      <c r="R35" s="2"/>
      <c r="S35" s="2"/>
      <c r="T35" s="2"/>
      <c r="U35" s="2"/>
      <c r="V35" s="2"/>
      <c r="W35" s="2"/>
      <c r="X35" s="2"/>
      <c r="Y35" s="2"/>
      <c r="Z35" s="2"/>
    </row>
    <row r="36" customHeight="1" spans="1:26">
      <c r="A36" s="13" t="s">
        <v>159</v>
      </c>
      <c r="B36" s="13" t="s">
        <v>7040</v>
      </c>
      <c r="C36" s="13" t="s">
        <v>161</v>
      </c>
      <c r="D36" s="57"/>
      <c r="E36" s="57"/>
      <c r="F36" s="13" t="s">
        <v>7041</v>
      </c>
      <c r="G36" s="13" t="s">
        <v>7042</v>
      </c>
      <c r="H36" s="2"/>
      <c r="I36" s="2"/>
      <c r="J36" s="2"/>
      <c r="K36" s="2"/>
      <c r="L36" s="2"/>
      <c r="M36" s="2"/>
      <c r="N36" s="2"/>
      <c r="O36" s="2"/>
      <c r="P36" s="2"/>
      <c r="Q36" s="2"/>
      <c r="R36" s="2"/>
      <c r="S36" s="2"/>
      <c r="T36" s="2"/>
      <c r="U36" s="2"/>
      <c r="V36" s="2"/>
      <c r="W36" s="2"/>
      <c r="X36" s="2"/>
      <c r="Y36" s="2"/>
      <c r="Z36" s="2"/>
    </row>
    <row r="37" customHeight="1" spans="1:26">
      <c r="A37" s="13" t="s">
        <v>164</v>
      </c>
      <c r="B37" s="13" t="s">
        <v>7043</v>
      </c>
      <c r="C37" s="13" t="s">
        <v>166</v>
      </c>
      <c r="D37" s="57"/>
      <c r="E37" s="57"/>
      <c r="F37" s="13" t="s">
        <v>7044</v>
      </c>
      <c r="G37" s="13" t="s">
        <v>7045</v>
      </c>
      <c r="H37" s="2"/>
      <c r="I37" s="2"/>
      <c r="J37" s="2"/>
      <c r="K37" s="2"/>
      <c r="L37" s="2"/>
      <c r="M37" s="2"/>
      <c r="N37" s="2"/>
      <c r="O37" s="2"/>
      <c r="P37" s="2"/>
      <c r="Q37" s="2"/>
      <c r="R37" s="2"/>
      <c r="S37" s="2"/>
      <c r="T37" s="2"/>
      <c r="U37" s="2"/>
      <c r="V37" s="2"/>
      <c r="W37" s="2"/>
      <c r="X37" s="2"/>
      <c r="Y37" s="2"/>
      <c r="Z37" s="2"/>
    </row>
    <row r="38" customHeight="1" spans="1:26">
      <c r="A38" s="64" t="s">
        <v>169</v>
      </c>
      <c r="B38" s="13" t="s">
        <v>824</v>
      </c>
      <c r="C38" s="13" t="s">
        <v>171</v>
      </c>
      <c r="D38" s="65">
        <v>46</v>
      </c>
      <c r="E38" s="13" t="s">
        <v>37</v>
      </c>
      <c r="F38" s="13" t="s">
        <v>1733</v>
      </c>
      <c r="G38" s="13" t="s">
        <v>7046</v>
      </c>
      <c r="H38" s="2"/>
      <c r="I38" s="2"/>
      <c r="J38" s="2"/>
      <c r="K38" s="2"/>
      <c r="L38" s="2"/>
      <c r="M38" s="2"/>
      <c r="N38" s="2"/>
      <c r="O38" s="2"/>
      <c r="P38" s="2"/>
      <c r="Q38" s="2"/>
      <c r="R38" s="2"/>
      <c r="S38" s="2"/>
      <c r="T38" s="2"/>
      <c r="U38" s="2"/>
      <c r="V38" s="2"/>
      <c r="W38" s="2"/>
      <c r="X38" s="2"/>
      <c r="Y38" s="2"/>
      <c r="Z38" s="2"/>
    </row>
    <row r="39" customHeight="1" spans="1:26">
      <c r="A39" s="64" t="s">
        <v>174</v>
      </c>
      <c r="B39" s="13" t="s">
        <v>7047</v>
      </c>
      <c r="C39" s="13" t="s">
        <v>171</v>
      </c>
      <c r="D39" s="65">
        <v>30</v>
      </c>
      <c r="E39" s="13" t="s">
        <v>37</v>
      </c>
      <c r="F39" s="13" t="s">
        <v>7048</v>
      </c>
      <c r="G39" s="13" t="s">
        <v>7049</v>
      </c>
      <c r="H39" s="2"/>
      <c r="I39" s="2"/>
      <c r="J39" s="2"/>
      <c r="K39" s="2"/>
      <c r="L39" s="2"/>
      <c r="M39" s="2"/>
      <c r="N39" s="2"/>
      <c r="O39" s="2"/>
      <c r="P39" s="2"/>
      <c r="Q39" s="2"/>
      <c r="R39" s="2"/>
      <c r="S39" s="2"/>
      <c r="T39" s="2"/>
      <c r="U39" s="2"/>
      <c r="V39" s="2"/>
      <c r="W39" s="2"/>
      <c r="X39" s="2"/>
      <c r="Y39" s="2"/>
      <c r="Z39" s="2"/>
    </row>
    <row r="40" customHeight="1" spans="1:26">
      <c r="A40" s="64" t="s">
        <v>178</v>
      </c>
      <c r="B40" s="13" t="s">
        <v>7050</v>
      </c>
      <c r="C40" s="13" t="s">
        <v>180</v>
      </c>
      <c r="D40" s="65">
        <v>45</v>
      </c>
      <c r="E40" s="13" t="s">
        <v>37</v>
      </c>
      <c r="F40" s="13" t="s">
        <v>7051</v>
      </c>
      <c r="G40" s="13" t="s">
        <v>7052</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customHeight="1" spans="1:26">
      <c r="A42" s="64" t="s">
        <v>188</v>
      </c>
      <c r="B42" s="13" t="s">
        <v>7053</v>
      </c>
      <c r="C42" s="13" t="s">
        <v>190</v>
      </c>
      <c r="D42" s="65">
        <v>650</v>
      </c>
      <c r="E42" s="13" t="s">
        <v>37</v>
      </c>
      <c r="F42" s="13" t="s">
        <v>7054</v>
      </c>
      <c r="G42" s="13" t="s">
        <v>7055</v>
      </c>
      <c r="H42" s="2"/>
      <c r="I42" s="2"/>
      <c r="J42" s="2"/>
      <c r="K42" s="2"/>
      <c r="L42" s="2"/>
      <c r="M42" s="2"/>
      <c r="N42" s="2"/>
      <c r="O42" s="2"/>
      <c r="P42" s="2"/>
      <c r="Q42" s="2"/>
      <c r="R42" s="2"/>
      <c r="S42" s="2"/>
      <c r="T42" s="2"/>
      <c r="U42" s="2"/>
      <c r="V42" s="2"/>
      <c r="W42" s="2"/>
      <c r="X42" s="2"/>
      <c r="Y42" s="2"/>
      <c r="Z42" s="2"/>
    </row>
    <row r="43" customHeight="1" spans="1:26">
      <c r="A43" s="13" t="s">
        <v>193</v>
      </c>
      <c r="B43" s="13" t="s">
        <v>7056</v>
      </c>
      <c r="C43" s="13" t="s">
        <v>195</v>
      </c>
      <c r="D43" s="57"/>
      <c r="E43" s="57"/>
      <c r="F43" s="13" t="s">
        <v>7057</v>
      </c>
      <c r="G43" s="13" t="s">
        <v>7058</v>
      </c>
      <c r="H43" s="2"/>
      <c r="I43" s="2"/>
      <c r="J43" s="2"/>
      <c r="K43" s="2"/>
      <c r="L43" s="2"/>
      <c r="M43" s="2"/>
      <c r="N43" s="2"/>
      <c r="O43" s="2"/>
      <c r="P43" s="2"/>
      <c r="Q43" s="2"/>
      <c r="R43" s="2"/>
      <c r="S43" s="2"/>
      <c r="T43" s="2"/>
      <c r="U43" s="2"/>
      <c r="V43" s="2"/>
      <c r="W43" s="2"/>
      <c r="X43" s="2"/>
      <c r="Y43" s="2"/>
      <c r="Z43" s="2"/>
    </row>
    <row r="44" customHeight="1" spans="1:26">
      <c r="A44" s="64" t="s">
        <v>198</v>
      </c>
      <c r="B44" s="13" t="s">
        <v>4832</v>
      </c>
      <c r="C44" s="13" t="s">
        <v>200</v>
      </c>
      <c r="D44" s="65">
        <v>30</v>
      </c>
      <c r="E44" s="13" t="s">
        <v>21</v>
      </c>
      <c r="F44" s="13" t="s">
        <v>4833</v>
      </c>
      <c r="G44" s="13" t="s">
        <v>4834</v>
      </c>
      <c r="H44" s="2"/>
      <c r="I44" s="2"/>
      <c r="J44" s="2"/>
      <c r="K44" s="2"/>
      <c r="L44" s="2"/>
      <c r="M44" s="2"/>
      <c r="N44" s="2"/>
      <c r="O44" s="2"/>
      <c r="P44" s="2"/>
      <c r="Q44" s="2"/>
      <c r="R44" s="2"/>
      <c r="S44" s="2"/>
      <c r="T44" s="2"/>
      <c r="U44" s="2"/>
      <c r="V44" s="2"/>
      <c r="W44" s="2"/>
      <c r="X44" s="2"/>
      <c r="Y44" s="2"/>
      <c r="Z44" s="2"/>
    </row>
    <row r="45" customHeight="1" spans="1:26">
      <c r="A45" s="13" t="s">
        <v>203</v>
      </c>
      <c r="B45" s="13" t="s">
        <v>7059</v>
      </c>
      <c r="C45" s="13" t="s">
        <v>200</v>
      </c>
      <c r="D45" s="14">
        <v>80</v>
      </c>
      <c r="E45" s="13" t="s">
        <v>21</v>
      </c>
      <c r="F45" s="13" t="s">
        <v>7060</v>
      </c>
      <c r="G45" s="13" t="s">
        <v>7061</v>
      </c>
      <c r="H45" s="2"/>
      <c r="I45" s="2"/>
      <c r="J45" s="2"/>
      <c r="K45" s="2"/>
      <c r="L45" s="2"/>
      <c r="M45" s="2"/>
      <c r="N45" s="2"/>
      <c r="O45" s="2"/>
      <c r="P45" s="2"/>
      <c r="Q45" s="2"/>
      <c r="R45" s="2"/>
      <c r="S45" s="2"/>
      <c r="T45" s="2"/>
      <c r="U45" s="2"/>
      <c r="V45" s="2"/>
      <c r="W45" s="2"/>
      <c r="X45" s="2"/>
      <c r="Y45" s="2"/>
      <c r="Z45" s="2"/>
    </row>
    <row r="46" customHeight="1" spans="1:26">
      <c r="A46" s="64" t="s">
        <v>207</v>
      </c>
      <c r="B46" s="13" t="s">
        <v>4838</v>
      </c>
      <c r="C46" s="13" t="s">
        <v>209</v>
      </c>
      <c r="D46" s="65">
        <v>5</v>
      </c>
      <c r="E46" s="13" t="s">
        <v>37</v>
      </c>
      <c r="F46" s="13" t="s">
        <v>4839</v>
      </c>
      <c r="G46" s="13" t="s">
        <v>4840</v>
      </c>
      <c r="H46" s="2"/>
      <c r="I46" s="2"/>
      <c r="J46" s="2"/>
      <c r="K46" s="2"/>
      <c r="L46" s="2"/>
      <c r="M46" s="2"/>
      <c r="N46" s="2"/>
      <c r="O46" s="2"/>
      <c r="P46" s="2"/>
      <c r="Q46" s="2"/>
      <c r="R46" s="2"/>
      <c r="S46" s="2"/>
      <c r="T46" s="2"/>
      <c r="U46" s="2"/>
      <c r="V46" s="2"/>
      <c r="W46" s="2"/>
      <c r="X46" s="2"/>
      <c r="Y46" s="2"/>
      <c r="Z46" s="2"/>
    </row>
    <row r="47" customHeight="1" spans="1:26">
      <c r="A47" s="13" t="s">
        <v>212</v>
      </c>
      <c r="B47" s="13" t="s">
        <v>7062</v>
      </c>
      <c r="C47" s="13" t="s">
        <v>214</v>
      </c>
      <c r="D47" s="14">
        <v>20</v>
      </c>
      <c r="E47" s="13" t="s">
        <v>37</v>
      </c>
      <c r="F47" s="13" t="s">
        <v>7063</v>
      </c>
      <c r="G47" s="13" t="s">
        <v>7064</v>
      </c>
      <c r="H47" s="2"/>
      <c r="I47" s="2"/>
      <c r="J47" s="2"/>
      <c r="K47" s="2"/>
      <c r="L47" s="2"/>
      <c r="M47" s="2"/>
      <c r="N47" s="2"/>
      <c r="O47" s="2"/>
      <c r="P47" s="2"/>
      <c r="Q47" s="2"/>
      <c r="R47" s="2"/>
      <c r="S47" s="2"/>
      <c r="T47" s="2"/>
      <c r="U47" s="2"/>
      <c r="V47" s="2"/>
      <c r="W47" s="2"/>
      <c r="X47" s="2"/>
      <c r="Y47" s="2"/>
      <c r="Z47" s="2"/>
    </row>
    <row r="48" customHeight="1" spans="1:26">
      <c r="A48" s="13" t="s">
        <v>217</v>
      </c>
      <c r="B48" s="13" t="s">
        <v>7065</v>
      </c>
      <c r="C48" s="13" t="s">
        <v>219</v>
      </c>
      <c r="D48" s="57"/>
      <c r="E48" s="57"/>
      <c r="F48" s="13" t="s">
        <v>7066</v>
      </c>
      <c r="G48" s="13" t="s">
        <v>7067</v>
      </c>
      <c r="H48" s="2"/>
      <c r="I48" s="2"/>
      <c r="J48" s="2"/>
      <c r="K48" s="2"/>
      <c r="L48" s="2"/>
      <c r="M48" s="2"/>
      <c r="N48" s="2"/>
      <c r="O48" s="2"/>
      <c r="P48" s="2"/>
      <c r="Q48" s="2"/>
      <c r="R48" s="2"/>
      <c r="S48" s="2"/>
      <c r="T48" s="2"/>
      <c r="U48" s="2"/>
      <c r="V48" s="2"/>
      <c r="W48" s="2"/>
      <c r="X48" s="2"/>
      <c r="Y48" s="2"/>
      <c r="Z48" s="2"/>
    </row>
    <row r="49" customHeight="1" spans="1:26">
      <c r="A49" s="13" t="s">
        <v>222</v>
      </c>
      <c r="B49" s="13" t="s">
        <v>4847</v>
      </c>
      <c r="C49" s="13" t="s">
        <v>224</v>
      </c>
      <c r="D49" s="14">
        <v>96</v>
      </c>
      <c r="E49" s="13" t="s">
        <v>21</v>
      </c>
      <c r="F49" s="13" t="s">
        <v>4848</v>
      </c>
      <c r="G49" s="13" t="s">
        <v>4849</v>
      </c>
      <c r="H49" s="2"/>
      <c r="I49" s="2"/>
      <c r="J49" s="2"/>
      <c r="K49" s="2"/>
      <c r="L49" s="2"/>
      <c r="M49" s="2"/>
      <c r="N49" s="2"/>
      <c r="O49" s="2"/>
      <c r="P49" s="2"/>
      <c r="Q49" s="2"/>
      <c r="R49" s="2"/>
      <c r="S49" s="2"/>
      <c r="T49" s="2"/>
      <c r="U49" s="2"/>
      <c r="V49" s="2"/>
      <c r="W49" s="2"/>
      <c r="X49" s="2"/>
      <c r="Y49" s="2"/>
      <c r="Z49" s="2"/>
    </row>
    <row r="50" customHeight="1" spans="1:26">
      <c r="A50" s="13" t="s">
        <v>227</v>
      </c>
      <c r="B50" s="13" t="s">
        <v>4850</v>
      </c>
      <c r="C50" s="13" t="s">
        <v>229</v>
      </c>
      <c r="D50" s="14">
        <v>66</v>
      </c>
      <c r="E50" s="13" t="s">
        <v>21</v>
      </c>
      <c r="F50" s="13" t="s">
        <v>4851</v>
      </c>
      <c r="G50" s="13" t="s">
        <v>4852</v>
      </c>
      <c r="H50" s="2"/>
      <c r="I50" s="2"/>
      <c r="J50" s="2"/>
      <c r="K50" s="2"/>
      <c r="L50" s="2"/>
      <c r="M50" s="2"/>
      <c r="N50" s="2"/>
      <c r="O50" s="2"/>
      <c r="P50" s="2"/>
      <c r="Q50" s="2"/>
      <c r="R50" s="2"/>
      <c r="S50" s="2"/>
      <c r="T50" s="2"/>
      <c r="U50" s="2"/>
      <c r="V50" s="2"/>
      <c r="W50" s="2"/>
      <c r="X50" s="2"/>
      <c r="Y50" s="2"/>
      <c r="Z50" s="2"/>
    </row>
    <row r="51" customHeight="1" spans="1:26">
      <c r="A51" s="13" t="s">
        <v>231</v>
      </c>
      <c r="B51" s="13" t="s">
        <v>4853</v>
      </c>
      <c r="C51" s="13" t="s">
        <v>224</v>
      </c>
      <c r="D51" s="14">
        <v>156</v>
      </c>
      <c r="E51" s="13" t="s">
        <v>21</v>
      </c>
      <c r="F51" s="13" t="s">
        <v>4854</v>
      </c>
      <c r="G51" s="13" t="s">
        <v>4855</v>
      </c>
      <c r="H51" s="2"/>
      <c r="I51" s="2"/>
      <c r="J51" s="2"/>
      <c r="K51" s="2"/>
      <c r="L51" s="2"/>
      <c r="M51" s="2"/>
      <c r="N51" s="2"/>
      <c r="O51" s="2"/>
      <c r="P51" s="2"/>
      <c r="Q51" s="2"/>
      <c r="R51" s="2"/>
      <c r="S51" s="2"/>
      <c r="T51" s="2"/>
      <c r="U51" s="2"/>
      <c r="V51" s="2"/>
      <c r="W51" s="2"/>
      <c r="X51" s="2"/>
      <c r="Y51" s="2"/>
      <c r="Z51" s="2"/>
    </row>
    <row r="52" customHeight="1" spans="1:26">
      <c r="A52" s="64" t="s">
        <v>234</v>
      </c>
      <c r="B52" s="13" t="s">
        <v>7068</v>
      </c>
      <c r="C52" s="13" t="s">
        <v>236</v>
      </c>
      <c r="D52" s="65">
        <v>30</v>
      </c>
      <c r="E52" s="13" t="s">
        <v>37</v>
      </c>
      <c r="F52" s="13" t="s">
        <v>7069</v>
      </c>
      <c r="G52" s="13" t="s">
        <v>7070</v>
      </c>
      <c r="H52" s="2"/>
      <c r="I52" s="2"/>
      <c r="J52" s="2"/>
      <c r="K52" s="2"/>
      <c r="L52" s="2"/>
      <c r="M52" s="2"/>
      <c r="N52" s="2"/>
      <c r="O52" s="2"/>
      <c r="P52" s="2"/>
      <c r="Q52" s="2"/>
      <c r="R52" s="2"/>
      <c r="S52" s="2"/>
      <c r="T52" s="2"/>
      <c r="U52" s="2"/>
      <c r="V52" s="2"/>
      <c r="W52" s="2"/>
      <c r="X52" s="2"/>
      <c r="Y52" s="2"/>
      <c r="Z52" s="2"/>
    </row>
    <row r="53" customHeight="1" spans="1:26">
      <c r="A53" s="13" t="s">
        <v>239</v>
      </c>
      <c r="B53" s="13" t="s">
        <v>7071</v>
      </c>
      <c r="C53" s="13" t="s">
        <v>236</v>
      </c>
      <c r="D53" s="14">
        <v>230</v>
      </c>
      <c r="E53" s="13" t="s">
        <v>21</v>
      </c>
      <c r="F53" s="13" t="s">
        <v>7072</v>
      </c>
      <c r="G53" s="13" t="s">
        <v>7073</v>
      </c>
      <c r="H53" s="2"/>
      <c r="I53" s="2"/>
      <c r="J53" s="2"/>
      <c r="K53" s="2"/>
      <c r="L53" s="2"/>
      <c r="M53" s="2"/>
      <c r="N53" s="2"/>
      <c r="O53" s="2"/>
      <c r="P53" s="2"/>
      <c r="Q53" s="2"/>
      <c r="R53" s="2"/>
      <c r="S53" s="2"/>
      <c r="T53" s="2"/>
      <c r="U53" s="2"/>
      <c r="V53" s="2"/>
      <c r="W53" s="2"/>
      <c r="X53" s="2"/>
      <c r="Y53" s="2"/>
      <c r="Z53" s="2"/>
    </row>
    <row r="54" customHeight="1" spans="1:26">
      <c r="A54" s="13" t="s">
        <v>243</v>
      </c>
      <c r="B54" s="13" t="s">
        <v>7074</v>
      </c>
      <c r="C54" s="13" t="s">
        <v>236</v>
      </c>
      <c r="D54" s="14">
        <v>100</v>
      </c>
      <c r="E54" s="13" t="s">
        <v>245</v>
      </c>
      <c r="F54" s="13" t="s">
        <v>7075</v>
      </c>
      <c r="G54" s="13" t="s">
        <v>7076</v>
      </c>
      <c r="H54" s="2"/>
      <c r="I54" s="2"/>
      <c r="J54" s="2"/>
      <c r="K54" s="2"/>
      <c r="L54" s="2"/>
      <c r="M54" s="2"/>
      <c r="N54" s="2"/>
      <c r="O54" s="2"/>
      <c r="P54" s="2"/>
      <c r="Q54" s="2"/>
      <c r="R54" s="2"/>
      <c r="S54" s="2"/>
      <c r="T54" s="2"/>
      <c r="U54" s="2"/>
      <c r="V54" s="2"/>
      <c r="W54" s="2"/>
      <c r="X54" s="2"/>
      <c r="Y54" s="2"/>
      <c r="Z54" s="2"/>
    </row>
    <row r="55" customHeight="1" spans="1:26">
      <c r="A55" s="13" t="s">
        <v>248</v>
      </c>
      <c r="B55" s="13" t="s">
        <v>7077</v>
      </c>
      <c r="C55" s="13" t="s">
        <v>236</v>
      </c>
      <c r="D55" s="14">
        <v>100</v>
      </c>
      <c r="E55" s="13" t="s">
        <v>245</v>
      </c>
      <c r="F55" s="13" t="s">
        <v>7078</v>
      </c>
      <c r="G55" s="13" t="s">
        <v>7079</v>
      </c>
      <c r="H55" s="2"/>
      <c r="I55" s="2"/>
      <c r="J55" s="2"/>
      <c r="K55" s="2"/>
      <c r="L55" s="2"/>
      <c r="M55" s="2"/>
      <c r="N55" s="2"/>
      <c r="O55" s="2"/>
      <c r="P55" s="2"/>
      <c r="Q55" s="2"/>
      <c r="R55" s="2"/>
      <c r="S55" s="2"/>
      <c r="T55" s="2"/>
      <c r="U55" s="2"/>
      <c r="V55" s="2"/>
      <c r="W55" s="2"/>
      <c r="X55" s="2"/>
      <c r="Y55" s="2"/>
      <c r="Z55" s="2"/>
    </row>
    <row r="56" customHeight="1" spans="1:26">
      <c r="A56" s="64" t="s">
        <v>252</v>
      </c>
      <c r="B56" s="13" t="s">
        <v>7080</v>
      </c>
      <c r="C56" s="13" t="s">
        <v>236</v>
      </c>
      <c r="D56" s="65">
        <v>35</v>
      </c>
      <c r="E56" s="13" t="s">
        <v>37</v>
      </c>
      <c r="F56" s="13" t="s">
        <v>7081</v>
      </c>
      <c r="G56" s="13" t="s">
        <v>7082</v>
      </c>
      <c r="H56" s="2"/>
      <c r="I56" s="2"/>
      <c r="J56" s="2"/>
      <c r="K56" s="2"/>
      <c r="L56" s="2"/>
      <c r="M56" s="2"/>
      <c r="N56" s="2"/>
      <c r="O56" s="2"/>
      <c r="P56" s="2"/>
      <c r="Q56" s="2"/>
      <c r="R56" s="2"/>
      <c r="S56" s="2"/>
      <c r="T56" s="2"/>
      <c r="U56" s="2"/>
      <c r="V56" s="2"/>
      <c r="W56" s="2"/>
      <c r="X56" s="2"/>
      <c r="Y56" s="2"/>
      <c r="Z56" s="2"/>
    </row>
    <row r="57" customHeight="1" spans="1:26">
      <c r="A57" s="64" t="s">
        <v>256</v>
      </c>
      <c r="B57" s="13" t="s">
        <v>7083</v>
      </c>
      <c r="C57" s="13" t="s">
        <v>236</v>
      </c>
      <c r="D57" s="65">
        <v>40</v>
      </c>
      <c r="E57" s="13" t="s">
        <v>37</v>
      </c>
      <c r="F57" s="13" t="s">
        <v>7084</v>
      </c>
      <c r="G57" s="13" t="s">
        <v>7085</v>
      </c>
      <c r="H57" s="2"/>
      <c r="I57" s="2"/>
      <c r="J57" s="2"/>
      <c r="K57" s="2"/>
      <c r="L57" s="2"/>
      <c r="M57" s="2"/>
      <c r="N57" s="2"/>
      <c r="O57" s="2"/>
      <c r="P57" s="2"/>
      <c r="Q57" s="2"/>
      <c r="R57" s="2"/>
      <c r="S57" s="2"/>
      <c r="T57" s="2"/>
      <c r="U57" s="2"/>
      <c r="V57" s="2"/>
      <c r="W57" s="2"/>
      <c r="X57" s="2"/>
      <c r="Y57" s="2"/>
      <c r="Z57" s="2"/>
    </row>
    <row r="58" customHeight="1" spans="1:26">
      <c r="A58" s="64" t="s">
        <v>260</v>
      </c>
      <c r="B58" s="13" t="s">
        <v>7086</v>
      </c>
      <c r="C58" s="13" t="s">
        <v>236</v>
      </c>
      <c r="D58" s="65">
        <v>8</v>
      </c>
      <c r="E58" s="13" t="s">
        <v>262</v>
      </c>
      <c r="F58" s="13" t="s">
        <v>7087</v>
      </c>
      <c r="G58" s="13" t="s">
        <v>7088</v>
      </c>
      <c r="H58" s="2"/>
      <c r="I58" s="2"/>
      <c r="J58" s="2"/>
      <c r="K58" s="2"/>
      <c r="L58" s="2"/>
      <c r="M58" s="2"/>
      <c r="N58" s="2"/>
      <c r="O58" s="2"/>
      <c r="P58" s="2"/>
      <c r="Q58" s="2"/>
      <c r="R58" s="2"/>
      <c r="S58" s="2"/>
      <c r="T58" s="2"/>
      <c r="U58" s="2"/>
      <c r="V58" s="2"/>
      <c r="W58" s="2"/>
      <c r="X58" s="2"/>
      <c r="Y58" s="2"/>
      <c r="Z58" s="2"/>
    </row>
    <row r="59" customHeight="1" spans="1:26">
      <c r="A59" s="64" t="s">
        <v>265</v>
      </c>
      <c r="B59" s="13" t="s">
        <v>7089</v>
      </c>
      <c r="C59" s="13" t="s">
        <v>236</v>
      </c>
      <c r="D59" s="65">
        <v>30</v>
      </c>
      <c r="E59" s="13" t="s">
        <v>37</v>
      </c>
      <c r="F59" s="13" t="s">
        <v>7090</v>
      </c>
      <c r="G59" s="13" t="s">
        <v>7091</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13" t="s">
        <v>7092</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7093</v>
      </c>
      <c r="H61" s="2"/>
      <c r="I61" s="2"/>
      <c r="J61" s="2"/>
      <c r="K61" s="2"/>
      <c r="L61" s="2"/>
      <c r="M61" s="2"/>
      <c r="N61" s="2"/>
      <c r="O61" s="2"/>
      <c r="P61" s="2"/>
      <c r="Q61" s="2"/>
      <c r="R61" s="2"/>
      <c r="S61" s="2"/>
      <c r="T61" s="2"/>
      <c r="U61" s="2"/>
      <c r="V61" s="2"/>
      <c r="W61" s="2"/>
      <c r="X61" s="2"/>
      <c r="Y61" s="2"/>
      <c r="Z61" s="2"/>
    </row>
    <row r="62" customHeight="1" spans="1:26">
      <c r="A62" s="64" t="s">
        <v>277</v>
      </c>
      <c r="B62" s="13" t="s">
        <v>504</v>
      </c>
      <c r="C62" s="13" t="s">
        <v>236</v>
      </c>
      <c r="D62" s="65">
        <v>37</v>
      </c>
      <c r="E62" s="13" t="s">
        <v>37</v>
      </c>
      <c r="F62" s="13" t="s">
        <v>7094</v>
      </c>
      <c r="G62" s="13" t="s">
        <v>7095</v>
      </c>
      <c r="H62" s="2"/>
      <c r="I62" s="2"/>
      <c r="J62" s="2"/>
      <c r="K62" s="2"/>
      <c r="L62" s="2"/>
      <c r="M62" s="2"/>
      <c r="N62" s="2"/>
      <c r="O62" s="2"/>
      <c r="P62" s="2"/>
      <c r="Q62" s="2"/>
      <c r="R62" s="2"/>
      <c r="S62" s="2"/>
      <c r="T62" s="2"/>
      <c r="U62" s="2"/>
      <c r="V62" s="2"/>
      <c r="W62" s="2"/>
      <c r="X62" s="2"/>
      <c r="Y62" s="2"/>
      <c r="Z62" s="2"/>
    </row>
    <row r="63" ht="16.5" customHeight="1" spans="1:26">
      <c r="A63" s="64" t="s">
        <v>281</v>
      </c>
      <c r="B63" s="13" t="s">
        <v>7096</v>
      </c>
      <c r="C63" s="13" t="s">
        <v>236</v>
      </c>
      <c r="D63" s="65">
        <v>40</v>
      </c>
      <c r="E63" s="13" t="s">
        <v>37</v>
      </c>
      <c r="F63" s="13" t="s">
        <v>7097</v>
      </c>
      <c r="G63" s="13" t="s">
        <v>7098</v>
      </c>
      <c r="H63" s="2"/>
      <c r="I63" s="2"/>
      <c r="J63" s="2"/>
      <c r="K63" s="2"/>
      <c r="L63" s="2"/>
      <c r="M63" s="2"/>
      <c r="N63" s="2"/>
      <c r="O63" s="2"/>
      <c r="P63" s="2"/>
      <c r="Q63" s="2"/>
      <c r="R63" s="2"/>
      <c r="S63" s="2"/>
      <c r="T63" s="2"/>
      <c r="U63" s="2"/>
      <c r="V63" s="2"/>
      <c r="W63" s="2"/>
      <c r="X63" s="2"/>
      <c r="Y63" s="2"/>
      <c r="Z63" s="2"/>
    </row>
    <row r="64" customHeight="1" spans="1:26">
      <c r="A64" s="13" t="s">
        <v>285</v>
      </c>
      <c r="B64" s="13" t="s">
        <v>6992</v>
      </c>
      <c r="C64" s="13" t="s">
        <v>286</v>
      </c>
      <c r="D64" s="14">
        <v>35</v>
      </c>
      <c r="E64" s="13" t="s">
        <v>37</v>
      </c>
      <c r="F64" s="13" t="s">
        <v>6993</v>
      </c>
      <c r="G64" s="13" t="s">
        <v>7099</v>
      </c>
      <c r="H64" s="2"/>
      <c r="I64" s="2"/>
      <c r="J64" s="2"/>
      <c r="K64" s="2"/>
      <c r="L64" s="2"/>
      <c r="M64" s="2"/>
      <c r="N64" s="2"/>
      <c r="O64" s="2"/>
      <c r="P64" s="2"/>
      <c r="Q64" s="2"/>
      <c r="R64" s="2"/>
      <c r="S64" s="2"/>
      <c r="T64" s="2"/>
      <c r="U64" s="2"/>
      <c r="V64" s="2"/>
      <c r="W64" s="2"/>
      <c r="X64" s="2"/>
      <c r="Y64" s="2"/>
      <c r="Z64" s="2"/>
    </row>
    <row r="65" customHeight="1" spans="1:26">
      <c r="A65" s="64" t="s">
        <v>288</v>
      </c>
      <c r="B65" s="13" t="s">
        <v>6762</v>
      </c>
      <c r="C65" s="13" t="s">
        <v>290</v>
      </c>
      <c r="D65" s="65">
        <v>300</v>
      </c>
      <c r="E65" s="13" t="s">
        <v>37</v>
      </c>
      <c r="F65" s="13" t="s">
        <v>7100</v>
      </c>
      <c r="G65" s="13" t="s">
        <v>7101</v>
      </c>
      <c r="H65" s="2"/>
      <c r="I65" s="2"/>
      <c r="J65" s="2"/>
      <c r="K65" s="2"/>
      <c r="L65" s="2"/>
      <c r="M65" s="2"/>
      <c r="N65" s="2"/>
      <c r="O65" s="2"/>
      <c r="P65" s="2"/>
      <c r="Q65" s="2"/>
      <c r="R65" s="2"/>
      <c r="S65" s="2"/>
      <c r="T65" s="2"/>
      <c r="U65" s="2"/>
      <c r="V65" s="2"/>
      <c r="W65" s="2"/>
      <c r="X65" s="2"/>
      <c r="Y65" s="2"/>
      <c r="Z65" s="2"/>
    </row>
    <row r="66" customHeight="1" spans="1:26">
      <c r="A66" s="64" t="s">
        <v>293</v>
      </c>
      <c r="B66" s="13" t="s">
        <v>7102</v>
      </c>
      <c r="C66" s="13" t="s">
        <v>290</v>
      </c>
      <c r="D66" s="65">
        <v>35</v>
      </c>
      <c r="E66" s="13" t="s">
        <v>37</v>
      </c>
      <c r="F66" s="13" t="s">
        <v>7103</v>
      </c>
      <c r="G66" s="13" t="s">
        <v>7104</v>
      </c>
      <c r="H66" s="2"/>
      <c r="I66" s="2"/>
      <c r="J66" s="2"/>
      <c r="K66" s="2"/>
      <c r="L66" s="2"/>
      <c r="M66" s="2"/>
      <c r="N66" s="2"/>
      <c r="O66" s="2"/>
      <c r="P66" s="2"/>
      <c r="Q66" s="2"/>
      <c r="R66" s="2"/>
      <c r="S66" s="2"/>
      <c r="T66" s="2"/>
      <c r="U66" s="2"/>
      <c r="V66" s="2"/>
      <c r="W66" s="2"/>
      <c r="X66" s="2"/>
      <c r="Y66" s="2"/>
      <c r="Z66" s="2"/>
    </row>
    <row r="67" customHeight="1" spans="1:26">
      <c r="A67" s="13" t="s">
        <v>297</v>
      </c>
      <c r="B67" s="13" t="s">
        <v>7105</v>
      </c>
      <c r="C67" s="13" t="s">
        <v>1807</v>
      </c>
      <c r="D67" s="14">
        <v>1000</v>
      </c>
      <c r="E67" s="13" t="s">
        <v>37</v>
      </c>
      <c r="F67" s="13" t="s">
        <v>7106</v>
      </c>
      <c r="G67" s="13" t="s">
        <v>7107</v>
      </c>
      <c r="H67" s="2"/>
      <c r="I67" s="2"/>
      <c r="J67" s="2"/>
      <c r="K67" s="2"/>
      <c r="L67" s="2"/>
      <c r="M67" s="2"/>
      <c r="N67" s="2"/>
      <c r="O67" s="2"/>
      <c r="P67" s="2"/>
      <c r="Q67" s="2"/>
      <c r="R67" s="2"/>
      <c r="S67" s="2"/>
      <c r="T67" s="2"/>
      <c r="U67" s="2"/>
      <c r="V67" s="2"/>
      <c r="W67" s="2"/>
      <c r="X67" s="2"/>
      <c r="Y67" s="2"/>
      <c r="Z67" s="2"/>
    </row>
    <row r="68" customHeight="1" spans="1:26">
      <c r="A68" s="13" t="s">
        <v>302</v>
      </c>
      <c r="B68" s="13" t="s">
        <v>7108</v>
      </c>
      <c r="C68" s="13" t="s">
        <v>304</v>
      </c>
      <c r="D68" s="57"/>
      <c r="E68" s="57"/>
      <c r="F68" s="13" t="s">
        <v>7109</v>
      </c>
      <c r="G68" s="13" t="s">
        <v>7110</v>
      </c>
      <c r="H68" s="2"/>
      <c r="I68" s="2"/>
      <c r="J68" s="2"/>
      <c r="K68" s="2"/>
      <c r="L68" s="2"/>
      <c r="M68" s="2"/>
      <c r="N68" s="2"/>
      <c r="O68" s="2"/>
      <c r="P68" s="2"/>
      <c r="Q68" s="2"/>
      <c r="R68" s="2"/>
      <c r="S68" s="2"/>
      <c r="T68" s="2"/>
      <c r="U68" s="2"/>
      <c r="V68" s="2"/>
      <c r="W68" s="2"/>
      <c r="X68" s="2"/>
      <c r="Y68" s="2"/>
      <c r="Z68" s="2"/>
    </row>
    <row r="69" customHeight="1" spans="1:26">
      <c r="A69" s="13" t="s">
        <v>307</v>
      </c>
      <c r="B69" s="13" t="s">
        <v>7111</v>
      </c>
      <c r="C69" s="13" t="s">
        <v>309</v>
      </c>
      <c r="D69" s="14">
        <v>45</v>
      </c>
      <c r="E69" s="13" t="s">
        <v>310</v>
      </c>
      <c r="F69" s="13" t="s">
        <v>7112</v>
      </c>
      <c r="G69" s="13" t="s">
        <v>7113</v>
      </c>
      <c r="H69" s="2"/>
      <c r="I69" s="2"/>
      <c r="J69" s="2"/>
      <c r="K69" s="2"/>
      <c r="L69" s="2"/>
      <c r="M69" s="2"/>
      <c r="N69" s="2"/>
      <c r="O69" s="2"/>
      <c r="P69" s="2"/>
      <c r="Q69" s="2"/>
      <c r="R69" s="2"/>
      <c r="S69" s="2"/>
      <c r="T69" s="2"/>
      <c r="U69" s="2"/>
      <c r="V69" s="2"/>
      <c r="W69" s="2"/>
      <c r="X69" s="2"/>
      <c r="Y69" s="2"/>
      <c r="Z69" s="2"/>
    </row>
    <row r="70" customHeight="1" spans="1:26">
      <c r="A70" s="13" t="s">
        <v>317</v>
      </c>
      <c r="B70" s="13" t="s">
        <v>7114</v>
      </c>
      <c r="C70" s="13" t="s">
        <v>319</v>
      </c>
      <c r="D70" s="65">
        <v>400</v>
      </c>
      <c r="E70" s="13" t="s">
        <v>245</v>
      </c>
      <c r="F70" s="13" t="s">
        <v>7115</v>
      </c>
      <c r="G70" s="13" t="s">
        <v>7116</v>
      </c>
      <c r="H70" s="2"/>
      <c r="I70" s="2"/>
      <c r="J70" s="2"/>
      <c r="K70" s="2"/>
      <c r="L70" s="2"/>
      <c r="M70" s="2"/>
      <c r="N70" s="2"/>
      <c r="O70" s="2"/>
      <c r="P70" s="2"/>
      <c r="Q70" s="2"/>
      <c r="R70" s="2"/>
      <c r="S70" s="2"/>
      <c r="T70" s="2"/>
      <c r="U70" s="2"/>
      <c r="V70" s="2"/>
      <c r="W70" s="2"/>
      <c r="X70" s="2"/>
      <c r="Y70" s="2"/>
      <c r="Z70" s="2"/>
    </row>
    <row r="71" customHeight="1" spans="1:26">
      <c r="A71" s="64" t="s">
        <v>321</v>
      </c>
      <c r="B71" s="13" t="s">
        <v>7117</v>
      </c>
      <c r="C71" s="13" t="s">
        <v>7118</v>
      </c>
      <c r="D71" s="65">
        <v>13</v>
      </c>
      <c r="E71" s="13" t="s">
        <v>262</v>
      </c>
      <c r="F71" s="13" t="s">
        <v>7119</v>
      </c>
      <c r="G71" s="13" t="s">
        <v>7120</v>
      </c>
      <c r="H71" s="2"/>
      <c r="I71" s="2"/>
      <c r="J71" s="2"/>
      <c r="K71" s="2"/>
      <c r="L71" s="2"/>
      <c r="M71" s="2"/>
      <c r="N71" s="2"/>
      <c r="O71" s="2"/>
      <c r="P71" s="2"/>
      <c r="Q71" s="2"/>
      <c r="R71" s="2"/>
      <c r="S71" s="2"/>
      <c r="T71" s="2"/>
      <c r="U71" s="2"/>
      <c r="V71" s="2"/>
      <c r="W71" s="2"/>
      <c r="X71" s="2"/>
      <c r="Y71" s="2"/>
      <c r="Z71" s="2"/>
    </row>
    <row r="72" customHeight="1" spans="1:26">
      <c r="A72" s="13" t="s">
        <v>325</v>
      </c>
      <c r="B72" s="13" t="s">
        <v>7121</v>
      </c>
      <c r="C72" s="13" t="s">
        <v>327</v>
      </c>
      <c r="D72" s="14">
        <v>25</v>
      </c>
      <c r="E72" s="13" t="s">
        <v>310</v>
      </c>
      <c r="F72" s="13" t="s">
        <v>7122</v>
      </c>
      <c r="G72" s="13" t="s">
        <v>7122</v>
      </c>
      <c r="H72" s="2"/>
      <c r="I72" s="2"/>
      <c r="J72" s="2"/>
      <c r="K72" s="2"/>
      <c r="L72" s="2"/>
      <c r="M72" s="2"/>
      <c r="N72" s="2"/>
      <c r="O72" s="2"/>
      <c r="P72" s="2"/>
      <c r="Q72" s="2"/>
      <c r="R72" s="2"/>
      <c r="S72" s="2"/>
      <c r="T72" s="2"/>
      <c r="U72" s="2"/>
      <c r="V72" s="2"/>
      <c r="W72" s="2"/>
      <c r="X72" s="2"/>
      <c r="Y72" s="2"/>
      <c r="Z72" s="2"/>
    </row>
    <row r="73" customHeight="1" spans="1:26">
      <c r="A73" s="64" t="s">
        <v>330</v>
      </c>
      <c r="B73" s="13" t="s">
        <v>7123</v>
      </c>
      <c r="C73" s="13" t="s">
        <v>315</v>
      </c>
      <c r="D73" s="65">
        <v>50</v>
      </c>
      <c r="E73" s="13" t="s">
        <v>37</v>
      </c>
      <c r="F73" s="13" t="s">
        <v>7124</v>
      </c>
      <c r="G73" s="13" t="s">
        <v>7125</v>
      </c>
      <c r="H73" s="2"/>
      <c r="I73" s="2"/>
      <c r="J73" s="2"/>
      <c r="K73" s="2"/>
      <c r="L73" s="2"/>
      <c r="M73" s="2"/>
      <c r="N73" s="2"/>
      <c r="O73" s="2"/>
      <c r="P73" s="2"/>
      <c r="Q73" s="2"/>
      <c r="R73" s="2"/>
      <c r="S73" s="2"/>
      <c r="T73" s="2"/>
      <c r="U73" s="2"/>
      <c r="V73" s="2"/>
      <c r="W73" s="2"/>
      <c r="X73" s="2"/>
      <c r="Y73" s="2"/>
      <c r="Z73" s="2"/>
    </row>
    <row r="74" customHeight="1" spans="1:26">
      <c r="A74" s="64" t="s">
        <v>334</v>
      </c>
      <c r="B74" s="13" t="s">
        <v>7126</v>
      </c>
      <c r="C74" s="13" t="s">
        <v>315</v>
      </c>
      <c r="D74" s="65">
        <v>50</v>
      </c>
      <c r="E74" s="13" t="s">
        <v>37</v>
      </c>
      <c r="F74" s="13" t="s">
        <v>7127</v>
      </c>
      <c r="G74" s="101" t="s">
        <v>7128</v>
      </c>
      <c r="H74" s="2"/>
      <c r="I74" s="2"/>
      <c r="J74" s="2"/>
      <c r="K74" s="2"/>
      <c r="L74" s="2"/>
      <c r="M74" s="2"/>
      <c r="N74" s="2"/>
      <c r="O74" s="2"/>
      <c r="P74" s="2"/>
      <c r="Q74" s="2"/>
      <c r="R74" s="2"/>
      <c r="S74" s="2"/>
      <c r="T74" s="2"/>
      <c r="U74" s="2"/>
      <c r="V74" s="2"/>
      <c r="W74" s="2"/>
      <c r="X74" s="2"/>
      <c r="Y74" s="2"/>
      <c r="Z74" s="2"/>
    </row>
    <row r="75" customHeight="1" spans="1:26">
      <c r="A75" s="64" t="s">
        <v>338</v>
      </c>
      <c r="B75" s="13" t="s">
        <v>7129</v>
      </c>
      <c r="C75" s="13" t="s">
        <v>315</v>
      </c>
      <c r="D75" s="65">
        <v>125</v>
      </c>
      <c r="E75" s="13" t="s">
        <v>262</v>
      </c>
      <c r="F75" s="13" t="s">
        <v>7130</v>
      </c>
      <c r="G75" s="13" t="s">
        <v>7131</v>
      </c>
      <c r="H75" s="2"/>
      <c r="I75" s="2"/>
      <c r="J75" s="2"/>
      <c r="K75" s="2"/>
      <c r="L75" s="2"/>
      <c r="M75" s="2"/>
      <c r="N75" s="2"/>
      <c r="O75" s="2"/>
      <c r="P75" s="2"/>
      <c r="Q75" s="2"/>
      <c r="R75" s="2"/>
      <c r="S75" s="2"/>
      <c r="T75" s="2"/>
      <c r="U75" s="2"/>
      <c r="V75" s="2"/>
      <c r="W75" s="2"/>
      <c r="X75" s="2"/>
      <c r="Y75" s="2"/>
      <c r="Z75" s="2"/>
    </row>
    <row r="76" customHeight="1" spans="1:26">
      <c r="A76" s="64" t="s">
        <v>342</v>
      </c>
      <c r="B76" s="13" t="s">
        <v>3877</v>
      </c>
      <c r="C76" s="13" t="s">
        <v>315</v>
      </c>
      <c r="D76" s="65">
        <v>45</v>
      </c>
      <c r="E76" s="13" t="s">
        <v>262</v>
      </c>
      <c r="F76" s="13" t="s">
        <v>7132</v>
      </c>
      <c r="G76" s="13" t="s">
        <v>7133</v>
      </c>
      <c r="H76" s="2"/>
      <c r="I76" s="2"/>
      <c r="J76" s="2"/>
      <c r="K76" s="2"/>
      <c r="L76" s="2"/>
      <c r="M76" s="2"/>
      <c r="N76" s="2"/>
      <c r="O76" s="2"/>
      <c r="P76" s="2"/>
      <c r="Q76" s="2"/>
      <c r="R76" s="2"/>
      <c r="S76" s="2"/>
      <c r="T76" s="2"/>
      <c r="U76" s="2"/>
      <c r="V76" s="2"/>
      <c r="W76" s="2"/>
      <c r="X76" s="2"/>
      <c r="Y76" s="2"/>
      <c r="Z76" s="2"/>
    </row>
    <row r="77" customHeight="1" spans="1:26">
      <c r="A77" s="64" t="s">
        <v>346</v>
      </c>
      <c r="B77" s="13" t="s">
        <v>347</v>
      </c>
      <c r="C77" s="13" t="s">
        <v>315</v>
      </c>
      <c r="D77" s="65">
        <v>55</v>
      </c>
      <c r="E77" s="13" t="s">
        <v>37</v>
      </c>
      <c r="F77" s="13" t="s">
        <v>348</v>
      </c>
      <c r="G77" s="101" t="s">
        <v>7134</v>
      </c>
      <c r="H77" s="2"/>
      <c r="I77" s="2"/>
      <c r="J77" s="2"/>
      <c r="K77" s="2"/>
      <c r="L77" s="2"/>
      <c r="M77" s="2"/>
      <c r="N77" s="2"/>
      <c r="O77" s="2"/>
      <c r="P77" s="2"/>
      <c r="Q77" s="2"/>
      <c r="R77" s="2"/>
      <c r="S77" s="2"/>
      <c r="T77" s="2"/>
      <c r="U77" s="2"/>
      <c r="V77" s="2"/>
      <c r="W77" s="2"/>
      <c r="X77" s="2"/>
      <c r="Y77" s="2"/>
      <c r="Z77" s="2"/>
    </row>
    <row r="78" customHeight="1" spans="1:26">
      <c r="A78" s="64" t="s">
        <v>350</v>
      </c>
      <c r="B78" s="13" t="s">
        <v>7135</v>
      </c>
      <c r="C78" s="13" t="s">
        <v>315</v>
      </c>
      <c r="D78" s="65">
        <v>20</v>
      </c>
      <c r="E78" s="13" t="s">
        <v>262</v>
      </c>
      <c r="F78" s="13" t="s">
        <v>7136</v>
      </c>
      <c r="G78" s="13" t="s">
        <v>7137</v>
      </c>
      <c r="H78" s="2"/>
      <c r="I78" s="2"/>
      <c r="J78" s="2"/>
      <c r="K78" s="2"/>
      <c r="L78" s="2"/>
      <c r="M78" s="2"/>
      <c r="N78" s="2"/>
      <c r="O78" s="2"/>
      <c r="P78" s="2"/>
      <c r="Q78" s="2"/>
      <c r="R78" s="2"/>
      <c r="S78" s="2"/>
      <c r="T78" s="2"/>
      <c r="U78" s="2"/>
      <c r="V78" s="2"/>
      <c r="W78" s="2"/>
      <c r="X78" s="2"/>
      <c r="Y78" s="2"/>
      <c r="Z78" s="2"/>
    </row>
    <row r="79" customHeight="1" spans="1:26">
      <c r="A79" s="13" t="s">
        <v>354</v>
      </c>
      <c r="B79" s="13" t="s">
        <v>355</v>
      </c>
      <c r="C79" s="13" t="s">
        <v>356</v>
      </c>
      <c r="D79" s="65">
        <v>123</v>
      </c>
      <c r="E79" s="13" t="s">
        <v>310</v>
      </c>
      <c r="F79" s="13" t="s">
        <v>357</v>
      </c>
      <c r="G79" s="13" t="s">
        <v>7138</v>
      </c>
      <c r="H79" s="2"/>
      <c r="I79" s="2"/>
      <c r="J79" s="2"/>
      <c r="K79" s="2"/>
      <c r="L79" s="2"/>
      <c r="M79" s="2"/>
      <c r="N79" s="2"/>
      <c r="O79" s="2"/>
      <c r="P79" s="2"/>
      <c r="Q79" s="2"/>
      <c r="R79" s="2"/>
      <c r="S79" s="2"/>
      <c r="T79" s="2"/>
      <c r="U79" s="2"/>
      <c r="V79" s="2"/>
      <c r="W79" s="2"/>
      <c r="X79" s="2"/>
      <c r="Y79" s="2"/>
      <c r="Z79" s="2"/>
    </row>
    <row r="80" customHeight="1" spans="1:26">
      <c r="A80" s="13" t="s">
        <v>359</v>
      </c>
      <c r="B80" s="13" t="s">
        <v>7139</v>
      </c>
      <c r="C80" s="13" t="s">
        <v>361</v>
      </c>
      <c r="D80" s="65">
        <v>55</v>
      </c>
      <c r="E80" s="13" t="s">
        <v>310</v>
      </c>
      <c r="F80" s="13" t="s">
        <v>7140</v>
      </c>
      <c r="G80" s="13" t="s">
        <v>7141</v>
      </c>
      <c r="H80" s="2"/>
      <c r="I80" s="2"/>
      <c r="J80" s="2"/>
      <c r="K80" s="2"/>
      <c r="L80" s="2"/>
      <c r="M80" s="2"/>
      <c r="N80" s="2"/>
      <c r="O80" s="2"/>
      <c r="P80" s="2"/>
      <c r="Q80" s="2"/>
      <c r="R80" s="2"/>
      <c r="S80" s="2"/>
      <c r="T80" s="2"/>
      <c r="U80" s="2"/>
      <c r="V80" s="2"/>
      <c r="W80" s="2"/>
      <c r="X80" s="2"/>
      <c r="Y80" s="2"/>
      <c r="Z80" s="2"/>
    </row>
    <row r="81" customHeight="1" spans="1:26">
      <c r="A81" s="64" t="s">
        <v>364</v>
      </c>
      <c r="B81" s="13" t="s">
        <v>365</v>
      </c>
      <c r="C81" s="13" t="s">
        <v>366</v>
      </c>
      <c r="D81" s="65">
        <v>35</v>
      </c>
      <c r="E81" s="13" t="s">
        <v>262</v>
      </c>
      <c r="F81" s="13" t="s">
        <v>367</v>
      </c>
      <c r="G81" s="73" t="str">
        <f>HYPERLINK("http://www.ebay.com/","www.ebay.com")</f>
        <v>www.ebay.com</v>
      </c>
      <c r="H81" s="2"/>
      <c r="I81" s="2"/>
      <c r="J81" s="2"/>
      <c r="K81" s="2"/>
      <c r="L81" s="2"/>
      <c r="M81" s="2"/>
      <c r="N81" s="2"/>
      <c r="O81" s="2"/>
      <c r="P81" s="2"/>
      <c r="Q81" s="2"/>
      <c r="R81" s="2"/>
      <c r="S81" s="2"/>
      <c r="T81" s="2"/>
      <c r="U81" s="2"/>
      <c r="V81" s="2"/>
      <c r="W81" s="2"/>
      <c r="X81" s="2"/>
      <c r="Y81" s="2"/>
      <c r="Z81" s="2"/>
    </row>
    <row r="82" customHeight="1" spans="1:26">
      <c r="A82" s="64" t="s">
        <v>368</v>
      </c>
      <c r="B82" s="13" t="s">
        <v>369</v>
      </c>
      <c r="C82" s="13" t="s">
        <v>366</v>
      </c>
      <c r="D82" s="65">
        <v>30</v>
      </c>
      <c r="E82" s="13" t="s">
        <v>262</v>
      </c>
      <c r="F82" s="13" t="s">
        <v>370</v>
      </c>
      <c r="G82" s="13" t="s">
        <v>7142</v>
      </c>
      <c r="H82" s="2"/>
      <c r="I82" s="2"/>
      <c r="J82" s="2"/>
      <c r="K82" s="2"/>
      <c r="L82" s="2"/>
      <c r="M82" s="2"/>
      <c r="N82" s="2"/>
      <c r="O82" s="2"/>
      <c r="P82" s="2"/>
      <c r="Q82" s="2"/>
      <c r="R82" s="2"/>
      <c r="S82" s="2"/>
      <c r="T82" s="2"/>
      <c r="U82" s="2"/>
      <c r="V82" s="2"/>
      <c r="W82" s="2"/>
      <c r="X82" s="2"/>
      <c r="Y82" s="2"/>
      <c r="Z82" s="2"/>
    </row>
    <row r="83" customHeight="1" spans="1:26">
      <c r="A83" s="64" t="s">
        <v>371</v>
      </c>
      <c r="B83" s="13" t="s">
        <v>7143</v>
      </c>
      <c r="C83" s="13" t="s">
        <v>373</v>
      </c>
      <c r="D83" s="65">
        <v>35</v>
      </c>
      <c r="E83" s="13" t="s">
        <v>37</v>
      </c>
      <c r="F83" s="13" t="s">
        <v>7144</v>
      </c>
      <c r="G83" s="13" t="s">
        <v>7145</v>
      </c>
      <c r="H83" s="2"/>
      <c r="I83" s="2"/>
      <c r="J83" s="2"/>
      <c r="K83" s="2"/>
      <c r="L83" s="2"/>
      <c r="M83" s="2"/>
      <c r="N83" s="2"/>
      <c r="O83" s="2"/>
      <c r="P83" s="2"/>
      <c r="Q83" s="2"/>
      <c r="R83" s="2"/>
      <c r="S83" s="2"/>
      <c r="T83" s="2"/>
      <c r="U83" s="2"/>
      <c r="V83" s="2"/>
      <c r="W83" s="2"/>
      <c r="X83" s="2"/>
      <c r="Y83" s="2"/>
      <c r="Z83" s="2"/>
    </row>
    <row r="84" customHeight="1" spans="1:26">
      <c r="A84" s="64" t="s">
        <v>375</v>
      </c>
      <c r="B84" s="13" t="s">
        <v>7146</v>
      </c>
      <c r="C84" s="13" t="s">
        <v>7147</v>
      </c>
      <c r="D84" s="65">
        <v>90</v>
      </c>
      <c r="E84" s="13" t="s">
        <v>37</v>
      </c>
      <c r="F84" s="13" t="s">
        <v>7148</v>
      </c>
      <c r="G84" s="13" t="s">
        <v>7149</v>
      </c>
      <c r="H84" s="2"/>
      <c r="I84" s="2"/>
      <c r="J84" s="2"/>
      <c r="K84" s="2"/>
      <c r="L84" s="2"/>
      <c r="M84" s="2"/>
      <c r="N84" s="2"/>
      <c r="O84" s="2"/>
      <c r="P84" s="2"/>
      <c r="Q84" s="2"/>
      <c r="R84" s="2"/>
      <c r="S84" s="2"/>
      <c r="T84" s="2"/>
      <c r="U84" s="2"/>
      <c r="V84" s="2"/>
      <c r="W84" s="2"/>
      <c r="X84" s="2"/>
      <c r="Y84" s="2"/>
      <c r="Z84" s="2"/>
    </row>
    <row r="85" customHeight="1" spans="1:26">
      <c r="A85" s="64" t="s">
        <v>379</v>
      </c>
      <c r="B85" s="13" t="s">
        <v>7150</v>
      </c>
      <c r="C85" s="13" t="s">
        <v>7147</v>
      </c>
      <c r="D85" s="65">
        <v>66</v>
      </c>
      <c r="E85" s="13" t="s">
        <v>21</v>
      </c>
      <c r="F85" s="13" t="s">
        <v>7151</v>
      </c>
      <c r="G85" s="13" t="s">
        <v>7152</v>
      </c>
      <c r="H85" s="2"/>
      <c r="I85" s="2"/>
      <c r="J85" s="2"/>
      <c r="K85" s="2"/>
      <c r="L85" s="2"/>
      <c r="M85" s="2"/>
      <c r="N85" s="2"/>
      <c r="O85" s="2"/>
      <c r="P85" s="2"/>
      <c r="Q85" s="2"/>
      <c r="R85" s="2"/>
      <c r="S85" s="2"/>
      <c r="T85" s="2"/>
      <c r="U85" s="2"/>
      <c r="V85" s="2"/>
      <c r="W85" s="2"/>
      <c r="X85" s="2"/>
      <c r="Y85" s="2"/>
      <c r="Z85" s="2"/>
    </row>
    <row r="86" customHeight="1" spans="1:26">
      <c r="A86" s="13" t="s">
        <v>383</v>
      </c>
      <c r="B86" s="13" t="s">
        <v>7153</v>
      </c>
      <c r="C86" s="13" t="s">
        <v>7147</v>
      </c>
      <c r="D86" s="65">
        <v>150</v>
      </c>
      <c r="E86" s="13" t="s">
        <v>310</v>
      </c>
      <c r="F86" s="13" t="s">
        <v>7154</v>
      </c>
      <c r="G86" s="13" t="s">
        <v>7155</v>
      </c>
      <c r="H86" s="2"/>
      <c r="I86" s="2"/>
      <c r="J86" s="2"/>
      <c r="K86" s="2"/>
      <c r="L86" s="2"/>
      <c r="M86" s="2"/>
      <c r="N86" s="2"/>
      <c r="O86" s="2"/>
      <c r="P86" s="2"/>
      <c r="Q86" s="2"/>
      <c r="R86" s="2"/>
      <c r="S86" s="2"/>
      <c r="T86" s="2"/>
      <c r="U86" s="2"/>
      <c r="V86" s="2"/>
      <c r="W86" s="2"/>
      <c r="X86" s="2"/>
      <c r="Y86" s="2"/>
      <c r="Z86" s="2"/>
    </row>
    <row r="87" customHeight="1" spans="1:26">
      <c r="A87" s="13" t="s">
        <v>387</v>
      </c>
      <c r="B87" s="13" t="s">
        <v>7156</v>
      </c>
      <c r="C87" s="13" t="s">
        <v>373</v>
      </c>
      <c r="D87" s="65">
        <v>76</v>
      </c>
      <c r="E87" s="13" t="s">
        <v>37</v>
      </c>
      <c r="F87" s="13" t="s">
        <v>7157</v>
      </c>
      <c r="G87" s="13" t="s">
        <v>7158</v>
      </c>
      <c r="H87" s="2"/>
      <c r="I87" s="2"/>
      <c r="J87" s="2"/>
      <c r="K87" s="2"/>
      <c r="L87" s="2"/>
      <c r="M87" s="2"/>
      <c r="N87" s="2"/>
      <c r="O87" s="2"/>
      <c r="P87" s="2"/>
      <c r="Q87" s="2"/>
      <c r="R87" s="2"/>
      <c r="S87" s="2"/>
      <c r="T87" s="2"/>
      <c r="U87" s="2"/>
      <c r="V87" s="2"/>
      <c r="W87" s="2"/>
      <c r="X87" s="2"/>
      <c r="Y87" s="2"/>
      <c r="Z87" s="2"/>
    </row>
    <row r="88" customHeight="1" spans="1:26">
      <c r="A88" s="13" t="s">
        <v>391</v>
      </c>
      <c r="B88" s="13" t="s">
        <v>392</v>
      </c>
      <c r="C88" s="13" t="s">
        <v>393</v>
      </c>
      <c r="D88" s="14">
        <v>3500</v>
      </c>
      <c r="E88" s="13" t="s">
        <v>21</v>
      </c>
      <c r="F88" s="13" t="s">
        <v>394</v>
      </c>
      <c r="G88" s="13" t="s">
        <v>1842</v>
      </c>
      <c r="H88" s="2"/>
      <c r="I88" s="2"/>
      <c r="J88" s="2"/>
      <c r="K88" s="2"/>
      <c r="L88" s="2"/>
      <c r="M88" s="2"/>
      <c r="N88" s="2"/>
      <c r="O88" s="2"/>
      <c r="P88" s="2"/>
      <c r="Q88" s="2"/>
      <c r="R88" s="2"/>
      <c r="S88" s="2"/>
      <c r="T88" s="2"/>
      <c r="U88" s="2"/>
      <c r="V88" s="2"/>
      <c r="W88" s="2"/>
      <c r="X88" s="2"/>
      <c r="Y88" s="2"/>
      <c r="Z88" s="2"/>
    </row>
    <row r="89" customHeight="1" spans="1:26">
      <c r="A89" s="13" t="s">
        <v>395</v>
      </c>
      <c r="B89" s="13" t="s">
        <v>396</v>
      </c>
      <c r="C89" s="13" t="s">
        <v>393</v>
      </c>
      <c r="D89" s="14">
        <v>1230</v>
      </c>
      <c r="E89" s="13" t="s">
        <v>21</v>
      </c>
      <c r="F89" s="13" t="s">
        <v>397</v>
      </c>
      <c r="G89" s="13" t="s">
        <v>398</v>
      </c>
      <c r="H89" s="2"/>
      <c r="I89" s="2"/>
      <c r="J89" s="2"/>
      <c r="K89" s="2"/>
      <c r="L89" s="2"/>
      <c r="M89" s="2"/>
      <c r="N89" s="2"/>
      <c r="O89" s="2"/>
      <c r="P89" s="2"/>
      <c r="Q89" s="2"/>
      <c r="R89" s="2"/>
      <c r="S89" s="2"/>
      <c r="T89" s="2"/>
      <c r="U89" s="2"/>
      <c r="V89" s="2"/>
      <c r="W89" s="2"/>
      <c r="X89" s="2"/>
      <c r="Y89" s="2"/>
      <c r="Z89" s="2"/>
    </row>
    <row r="90" customHeight="1" spans="1:26">
      <c r="A90" s="13" t="s">
        <v>399</v>
      </c>
      <c r="B90" s="13" t="s">
        <v>7159</v>
      </c>
      <c r="C90" s="13" t="s">
        <v>224</v>
      </c>
      <c r="D90" s="65">
        <v>130</v>
      </c>
      <c r="E90" s="13" t="s">
        <v>262</v>
      </c>
      <c r="F90" s="13" t="s">
        <v>7160</v>
      </c>
      <c r="G90" s="13" t="s">
        <v>7161</v>
      </c>
      <c r="H90" s="2"/>
      <c r="I90" s="2"/>
      <c r="J90" s="2"/>
      <c r="K90" s="2"/>
      <c r="L90" s="2"/>
      <c r="M90" s="2"/>
      <c r="N90" s="2"/>
      <c r="O90" s="2"/>
      <c r="P90" s="2"/>
      <c r="Q90" s="2"/>
      <c r="R90" s="2"/>
      <c r="S90" s="2"/>
      <c r="T90" s="2"/>
      <c r="U90" s="2"/>
      <c r="V90" s="2"/>
      <c r="W90" s="2"/>
      <c r="X90" s="2"/>
      <c r="Y90" s="2"/>
      <c r="Z90" s="2"/>
    </row>
    <row r="91" customHeight="1" spans="1:26">
      <c r="A91" s="13" t="s">
        <v>403</v>
      </c>
      <c r="B91" s="13" t="s">
        <v>7162</v>
      </c>
      <c r="C91" s="13" t="s">
        <v>229</v>
      </c>
      <c r="D91" s="65">
        <v>500</v>
      </c>
      <c r="E91" s="13" t="s">
        <v>21</v>
      </c>
      <c r="F91" s="13" t="s">
        <v>7163</v>
      </c>
      <c r="G91" s="13" t="s">
        <v>7164</v>
      </c>
      <c r="H91" s="2"/>
      <c r="I91" s="2"/>
      <c r="J91" s="2"/>
      <c r="K91" s="2"/>
      <c r="L91" s="2"/>
      <c r="M91" s="2"/>
      <c r="N91" s="2"/>
      <c r="O91" s="2"/>
      <c r="P91" s="2"/>
      <c r="Q91" s="2"/>
      <c r="R91" s="2"/>
      <c r="S91" s="2"/>
      <c r="T91" s="2"/>
      <c r="U91" s="2"/>
      <c r="V91" s="2"/>
      <c r="W91" s="2"/>
      <c r="X91" s="2"/>
      <c r="Y91" s="2"/>
      <c r="Z91" s="2"/>
    </row>
    <row r="92" customHeight="1" spans="1:26">
      <c r="A92" s="13" t="s">
        <v>407</v>
      </c>
      <c r="B92" s="13" t="s">
        <v>7165</v>
      </c>
      <c r="C92" s="13" t="s">
        <v>229</v>
      </c>
      <c r="D92" s="65">
        <v>350</v>
      </c>
      <c r="E92" s="13" t="s">
        <v>21</v>
      </c>
      <c r="F92" s="13" t="s">
        <v>7166</v>
      </c>
      <c r="G92" s="13" t="s">
        <v>7167</v>
      </c>
      <c r="H92" s="2"/>
      <c r="I92" s="2"/>
      <c r="J92" s="2"/>
      <c r="K92" s="2"/>
      <c r="L92" s="2"/>
      <c r="M92" s="2"/>
      <c r="N92" s="2"/>
      <c r="O92" s="2"/>
      <c r="P92" s="2"/>
      <c r="Q92" s="2"/>
      <c r="R92" s="2"/>
      <c r="S92" s="2"/>
      <c r="T92" s="2"/>
      <c r="U92" s="2"/>
      <c r="V92" s="2"/>
      <c r="W92" s="2"/>
      <c r="X92" s="2"/>
      <c r="Y92" s="2"/>
      <c r="Z92" s="2"/>
    </row>
    <row r="93" customHeight="1" spans="1:26">
      <c r="A93" s="13" t="s">
        <v>411</v>
      </c>
      <c r="B93" s="13" t="s">
        <v>7168</v>
      </c>
      <c r="C93" s="13" t="s">
        <v>413</v>
      </c>
      <c r="D93" s="14">
        <v>50</v>
      </c>
      <c r="E93" s="13" t="s">
        <v>310</v>
      </c>
      <c r="F93" s="13" t="s">
        <v>7169</v>
      </c>
      <c r="G93" s="13" t="s">
        <v>7170</v>
      </c>
      <c r="H93" s="2"/>
      <c r="I93" s="2"/>
      <c r="J93" s="2"/>
      <c r="K93" s="2"/>
      <c r="L93" s="2"/>
      <c r="M93" s="2"/>
      <c r="N93" s="2"/>
      <c r="O93" s="2"/>
      <c r="P93" s="2"/>
      <c r="Q93" s="2"/>
      <c r="R93" s="2"/>
      <c r="S93" s="2"/>
      <c r="T93" s="2"/>
      <c r="U93" s="2"/>
      <c r="V93" s="2"/>
      <c r="W93" s="2"/>
      <c r="X93" s="2"/>
      <c r="Y93" s="2"/>
      <c r="Z93" s="2"/>
    </row>
    <row r="94" customHeight="1" spans="1:26">
      <c r="A94" s="13" t="s">
        <v>416</v>
      </c>
      <c r="B94" s="13" t="s">
        <v>4951</v>
      </c>
      <c r="C94" s="13" t="s">
        <v>418</v>
      </c>
      <c r="D94" s="14">
        <v>35</v>
      </c>
      <c r="E94" s="13" t="s">
        <v>310</v>
      </c>
      <c r="F94" s="13" t="s">
        <v>4952</v>
      </c>
      <c r="G94" s="13" t="s">
        <v>4953</v>
      </c>
      <c r="H94" s="2"/>
      <c r="I94" s="2"/>
      <c r="J94" s="2"/>
      <c r="K94" s="2"/>
      <c r="L94" s="2"/>
      <c r="M94" s="2"/>
      <c r="N94" s="2"/>
      <c r="O94" s="2"/>
      <c r="P94" s="2"/>
      <c r="Q94" s="2"/>
      <c r="R94" s="2"/>
      <c r="S94" s="2"/>
      <c r="T94" s="2"/>
      <c r="U94" s="2"/>
      <c r="V94" s="2"/>
      <c r="W94" s="2"/>
      <c r="X94" s="2"/>
      <c r="Y94" s="2"/>
      <c r="Z94" s="2"/>
    </row>
    <row r="95" customHeight="1" spans="1:26">
      <c r="A95" s="13" t="s">
        <v>421</v>
      </c>
      <c r="B95" s="13" t="s">
        <v>7171</v>
      </c>
      <c r="C95" s="13" t="s">
        <v>423</v>
      </c>
      <c r="D95" s="14">
        <v>67</v>
      </c>
      <c r="E95" s="13" t="s">
        <v>310</v>
      </c>
      <c r="F95" s="13" t="s">
        <v>7172</v>
      </c>
      <c r="G95" s="13" t="s">
        <v>7173</v>
      </c>
      <c r="H95" s="2"/>
      <c r="I95" s="2"/>
      <c r="J95" s="2"/>
      <c r="K95" s="2"/>
      <c r="L95" s="2"/>
      <c r="M95" s="2"/>
      <c r="N95" s="2"/>
      <c r="O95" s="2"/>
      <c r="P95" s="2"/>
      <c r="Q95" s="2"/>
      <c r="R95" s="2"/>
      <c r="S95" s="2"/>
      <c r="T95" s="2"/>
      <c r="U95" s="2"/>
      <c r="V95" s="2"/>
      <c r="W95" s="2"/>
      <c r="X95" s="2"/>
      <c r="Y95" s="2"/>
      <c r="Z95" s="2"/>
    </row>
    <row r="96" customHeight="1" spans="1:26">
      <c r="A96" s="13" t="s">
        <v>426</v>
      </c>
      <c r="B96" s="13" t="s">
        <v>7174</v>
      </c>
      <c r="C96" s="13" t="s">
        <v>428</v>
      </c>
      <c r="D96" s="65">
        <v>13</v>
      </c>
      <c r="E96" s="13" t="s">
        <v>262</v>
      </c>
      <c r="F96" s="13" t="s">
        <v>7175</v>
      </c>
      <c r="G96" s="13" t="s">
        <v>3329</v>
      </c>
      <c r="H96" s="2"/>
      <c r="I96" s="2"/>
      <c r="J96" s="2"/>
      <c r="K96" s="2"/>
      <c r="L96" s="2"/>
      <c r="M96" s="2"/>
      <c r="N96" s="2"/>
      <c r="O96" s="2"/>
      <c r="P96" s="2"/>
      <c r="Q96" s="2"/>
      <c r="R96" s="2"/>
      <c r="S96" s="2"/>
      <c r="T96" s="2"/>
      <c r="U96" s="2"/>
      <c r="V96" s="2"/>
      <c r="W96" s="2"/>
      <c r="X96" s="2"/>
      <c r="Y96" s="2"/>
      <c r="Z96" s="2"/>
    </row>
    <row r="97" customHeight="1" spans="1:26">
      <c r="A97" s="13" t="s">
        <v>431</v>
      </c>
      <c r="B97" s="13" t="s">
        <v>7176</v>
      </c>
      <c r="C97" s="13" t="s">
        <v>428</v>
      </c>
      <c r="D97" s="65">
        <v>879</v>
      </c>
      <c r="E97" s="13" t="s">
        <v>21</v>
      </c>
      <c r="F97" s="13" t="s">
        <v>437</v>
      </c>
      <c r="G97" s="13" t="s">
        <v>7177</v>
      </c>
      <c r="H97" s="2"/>
      <c r="I97" s="2"/>
      <c r="J97" s="2"/>
      <c r="K97" s="2"/>
      <c r="L97" s="2"/>
      <c r="M97" s="2"/>
      <c r="N97" s="2"/>
      <c r="O97" s="2"/>
      <c r="P97" s="2"/>
      <c r="Q97" s="2"/>
      <c r="R97" s="2"/>
      <c r="S97" s="2"/>
      <c r="T97" s="2"/>
      <c r="U97" s="2"/>
      <c r="V97" s="2"/>
      <c r="W97" s="2"/>
      <c r="X97" s="2"/>
      <c r="Y97" s="2"/>
      <c r="Z97" s="2"/>
    </row>
    <row r="98" customHeight="1" spans="1:26">
      <c r="A98" s="13" t="s">
        <v>435</v>
      </c>
      <c r="B98" s="13" t="s">
        <v>7178</v>
      </c>
      <c r="C98" s="13" t="s">
        <v>428</v>
      </c>
      <c r="D98" s="14">
        <v>1000</v>
      </c>
      <c r="E98" s="13" t="s">
        <v>21</v>
      </c>
      <c r="F98" s="13" t="s">
        <v>7179</v>
      </c>
      <c r="G98" s="13" t="s">
        <v>7180</v>
      </c>
      <c r="H98" s="2"/>
      <c r="I98" s="2"/>
      <c r="J98" s="2"/>
      <c r="K98" s="2"/>
      <c r="L98" s="2"/>
      <c r="M98" s="2"/>
      <c r="N98" s="2"/>
      <c r="O98" s="2"/>
      <c r="P98" s="2"/>
      <c r="Q98" s="2"/>
      <c r="R98" s="2"/>
      <c r="S98" s="2"/>
      <c r="T98" s="2"/>
      <c r="U98" s="2"/>
      <c r="V98" s="2"/>
      <c r="W98" s="2"/>
      <c r="X98" s="2"/>
      <c r="Y98" s="2"/>
      <c r="Z98" s="2"/>
    </row>
    <row r="99" customHeight="1" spans="1:26">
      <c r="A99" s="64" t="s">
        <v>439</v>
      </c>
      <c r="B99" s="13" t="s">
        <v>1123</v>
      </c>
      <c r="C99" s="13" t="s">
        <v>315</v>
      </c>
      <c r="D99" s="65">
        <v>15</v>
      </c>
      <c r="E99" s="13" t="s">
        <v>37</v>
      </c>
      <c r="F99" s="13" t="s">
        <v>7181</v>
      </c>
      <c r="G99" s="13" t="s">
        <v>7182</v>
      </c>
      <c r="H99" s="2"/>
      <c r="I99" s="2"/>
      <c r="J99" s="2"/>
      <c r="K99" s="2"/>
      <c r="L99" s="2"/>
      <c r="M99" s="2"/>
      <c r="N99" s="2"/>
      <c r="O99" s="2"/>
      <c r="P99" s="2"/>
      <c r="Q99" s="2"/>
      <c r="R99" s="2"/>
      <c r="S99" s="2"/>
      <c r="T99" s="2"/>
      <c r="U99" s="2"/>
      <c r="V99" s="2"/>
      <c r="W99" s="2"/>
      <c r="X99" s="2"/>
      <c r="Y99" s="2"/>
      <c r="Z99" s="2"/>
    </row>
    <row r="100" customHeight="1" spans="1:26">
      <c r="A100" s="13" t="s">
        <v>443</v>
      </c>
      <c r="B100" s="13" t="s">
        <v>1871</v>
      </c>
      <c r="C100" s="13" t="s">
        <v>7183</v>
      </c>
      <c r="D100" s="14">
        <v>188</v>
      </c>
      <c r="E100" s="13" t="s">
        <v>310</v>
      </c>
      <c r="F100" s="13" t="s">
        <v>7184</v>
      </c>
      <c r="G100" s="13" t="s">
        <v>7185</v>
      </c>
      <c r="H100" s="2"/>
      <c r="I100" s="2"/>
      <c r="J100" s="2"/>
      <c r="K100" s="2"/>
      <c r="L100" s="2"/>
      <c r="M100" s="2"/>
      <c r="N100" s="2"/>
      <c r="O100" s="2"/>
      <c r="P100" s="2"/>
      <c r="Q100" s="2"/>
      <c r="R100" s="2"/>
      <c r="S100" s="2"/>
      <c r="T100" s="2"/>
      <c r="U100" s="2"/>
      <c r="V100" s="2"/>
      <c r="W100" s="2"/>
      <c r="X100" s="2"/>
      <c r="Y100" s="2"/>
      <c r="Z100" s="2"/>
    </row>
    <row r="101" customHeight="1" spans="1:26">
      <c r="A101" s="13" t="s">
        <v>448</v>
      </c>
      <c r="B101" s="13" t="s">
        <v>7186</v>
      </c>
      <c r="C101" s="13" t="s">
        <v>450</v>
      </c>
      <c r="D101" s="65">
        <v>95</v>
      </c>
      <c r="E101" s="13" t="s">
        <v>310</v>
      </c>
      <c r="F101" s="13" t="s">
        <v>7187</v>
      </c>
      <c r="G101" s="13" t="s">
        <v>7188</v>
      </c>
      <c r="H101" s="2"/>
      <c r="I101" s="2"/>
      <c r="J101" s="2"/>
      <c r="K101" s="2"/>
      <c r="L101" s="2"/>
      <c r="M101" s="2"/>
      <c r="N101" s="2"/>
      <c r="O101" s="2"/>
      <c r="P101" s="2"/>
      <c r="Q101" s="2"/>
      <c r="R101" s="2"/>
      <c r="S101" s="2"/>
      <c r="T101" s="2"/>
      <c r="U101" s="2"/>
      <c r="V101" s="2"/>
      <c r="W101" s="2"/>
      <c r="X101" s="2"/>
      <c r="Y101" s="2"/>
      <c r="Z101" s="2"/>
    </row>
    <row r="102" customHeight="1" spans="1:26">
      <c r="A102" s="13" t="s">
        <v>452</v>
      </c>
      <c r="B102" s="13" t="s">
        <v>7189</v>
      </c>
      <c r="C102" s="13" t="s">
        <v>450</v>
      </c>
      <c r="D102" s="65">
        <v>89</v>
      </c>
      <c r="E102" s="13" t="s">
        <v>310</v>
      </c>
      <c r="F102" s="13" t="s">
        <v>7190</v>
      </c>
      <c r="G102" s="13" t="s">
        <v>7191</v>
      </c>
      <c r="H102" s="2"/>
      <c r="I102" s="2"/>
      <c r="J102" s="2"/>
      <c r="K102" s="2"/>
      <c r="L102" s="2"/>
      <c r="M102" s="2"/>
      <c r="N102" s="2"/>
      <c r="O102" s="2"/>
      <c r="P102" s="2"/>
      <c r="Q102" s="2"/>
      <c r="R102" s="2"/>
      <c r="S102" s="2"/>
      <c r="T102" s="2"/>
      <c r="U102" s="2"/>
      <c r="V102" s="2"/>
      <c r="W102" s="2"/>
      <c r="X102" s="2"/>
      <c r="Y102" s="2"/>
      <c r="Z102" s="2"/>
    </row>
    <row r="103" customHeight="1" spans="1:26">
      <c r="A103" s="13" t="s">
        <v>455</v>
      </c>
      <c r="B103" s="13" t="s">
        <v>7192</v>
      </c>
      <c r="C103" s="13" t="s">
        <v>457</v>
      </c>
      <c r="D103" s="14">
        <v>400</v>
      </c>
      <c r="E103" s="13" t="s">
        <v>21</v>
      </c>
      <c r="F103" s="13" t="s">
        <v>7193</v>
      </c>
      <c r="G103" s="13" t="s">
        <v>7194</v>
      </c>
      <c r="H103" s="2"/>
      <c r="I103" s="2"/>
      <c r="J103" s="2"/>
      <c r="K103" s="2"/>
      <c r="L103" s="2"/>
      <c r="M103" s="2"/>
      <c r="N103" s="2"/>
      <c r="O103" s="2"/>
      <c r="P103" s="2"/>
      <c r="Q103" s="2"/>
      <c r="R103" s="2"/>
      <c r="S103" s="2"/>
      <c r="T103" s="2"/>
      <c r="U103" s="2"/>
      <c r="V103" s="2"/>
      <c r="W103" s="2"/>
      <c r="X103" s="2"/>
      <c r="Y103" s="2"/>
      <c r="Z103" s="2"/>
    </row>
    <row r="104" customHeight="1" spans="1:26">
      <c r="A104" s="13" t="s">
        <v>460</v>
      </c>
      <c r="B104" s="13" t="s">
        <v>7195</v>
      </c>
      <c r="C104" s="13" t="s">
        <v>462</v>
      </c>
      <c r="D104" s="14">
        <v>8</v>
      </c>
      <c r="E104" s="13" t="s">
        <v>37</v>
      </c>
      <c r="F104" s="13" t="s">
        <v>7196</v>
      </c>
      <c r="G104" s="13" t="s">
        <v>7197</v>
      </c>
      <c r="H104" s="2"/>
      <c r="I104" s="2"/>
      <c r="J104" s="2"/>
      <c r="K104" s="2"/>
      <c r="L104" s="2"/>
      <c r="M104" s="2"/>
      <c r="N104" s="2"/>
      <c r="O104" s="2"/>
      <c r="P104" s="2"/>
      <c r="Q104" s="2"/>
      <c r="R104" s="2"/>
      <c r="S104" s="2"/>
      <c r="T104" s="2"/>
      <c r="U104" s="2"/>
      <c r="V104" s="2"/>
      <c r="W104" s="2"/>
      <c r="X104" s="2"/>
      <c r="Y104" s="2"/>
      <c r="Z104" s="2"/>
    </row>
    <row r="105" customHeight="1" spans="1:26">
      <c r="A105" s="64" t="s">
        <v>465</v>
      </c>
      <c r="B105" s="13" t="s">
        <v>7198</v>
      </c>
      <c r="C105" s="13" t="s">
        <v>315</v>
      </c>
      <c r="D105" s="65">
        <v>30</v>
      </c>
      <c r="E105" s="13" t="s">
        <v>21</v>
      </c>
      <c r="F105" s="13" t="s">
        <v>7199</v>
      </c>
      <c r="G105" s="13" t="s">
        <v>7200</v>
      </c>
      <c r="H105" s="2"/>
      <c r="I105" s="2"/>
      <c r="J105" s="2"/>
      <c r="K105" s="2"/>
      <c r="L105" s="2"/>
      <c r="M105" s="2"/>
      <c r="N105" s="2"/>
      <c r="O105" s="2"/>
      <c r="P105" s="2"/>
      <c r="Q105" s="2"/>
      <c r="R105" s="2"/>
      <c r="S105" s="2"/>
      <c r="T105" s="2"/>
      <c r="U105" s="2"/>
      <c r="V105" s="2"/>
      <c r="W105" s="2"/>
      <c r="X105" s="2"/>
      <c r="Y105" s="2"/>
      <c r="Z105" s="2"/>
    </row>
    <row r="106" customHeight="1" spans="1:26">
      <c r="A106" s="13" t="s">
        <v>469</v>
      </c>
      <c r="B106" s="13" t="s">
        <v>466</v>
      </c>
      <c r="C106" s="13" t="s">
        <v>471</v>
      </c>
      <c r="D106" s="14">
        <v>43</v>
      </c>
      <c r="E106" s="13" t="s">
        <v>310</v>
      </c>
      <c r="F106" s="13" t="s">
        <v>7201</v>
      </c>
      <c r="G106" s="13" t="s">
        <v>7202</v>
      </c>
      <c r="H106" s="2"/>
      <c r="I106" s="2"/>
      <c r="J106" s="2"/>
      <c r="K106" s="2"/>
      <c r="L106" s="2"/>
      <c r="M106" s="2"/>
      <c r="N106" s="2"/>
      <c r="O106" s="2"/>
      <c r="P106" s="2"/>
      <c r="Q106" s="2"/>
      <c r="R106" s="2"/>
      <c r="S106" s="2"/>
      <c r="T106" s="2"/>
      <c r="U106" s="2"/>
      <c r="V106" s="2"/>
      <c r="W106" s="2"/>
      <c r="X106" s="2"/>
      <c r="Y106" s="2"/>
      <c r="Z106" s="2"/>
    </row>
    <row r="107" customHeight="1" spans="1:26">
      <c r="A107" s="13" t="s">
        <v>474</v>
      </c>
      <c r="B107" s="13" t="s">
        <v>7203</v>
      </c>
      <c r="C107" s="13" t="s">
        <v>476</v>
      </c>
      <c r="D107" s="65">
        <v>123</v>
      </c>
      <c r="E107" s="13" t="s">
        <v>310</v>
      </c>
      <c r="F107" s="13" t="s">
        <v>7204</v>
      </c>
      <c r="G107" s="13" t="s">
        <v>7205</v>
      </c>
      <c r="H107" s="2"/>
      <c r="I107" s="2"/>
      <c r="J107" s="2"/>
      <c r="K107" s="2"/>
      <c r="L107" s="2"/>
      <c r="M107" s="2"/>
      <c r="N107" s="2"/>
      <c r="O107" s="2"/>
      <c r="P107" s="2"/>
      <c r="Q107" s="2"/>
      <c r="R107" s="2"/>
      <c r="S107" s="2"/>
      <c r="T107" s="2"/>
      <c r="U107" s="2"/>
      <c r="V107" s="2"/>
      <c r="W107" s="2"/>
      <c r="X107" s="2"/>
      <c r="Y107" s="2"/>
      <c r="Z107" s="2"/>
    </row>
    <row r="108" customHeight="1" spans="1:26">
      <c r="A108" s="13" t="s">
        <v>479</v>
      </c>
      <c r="B108" s="13" t="s">
        <v>7206</v>
      </c>
      <c r="C108" s="13" t="s">
        <v>476</v>
      </c>
      <c r="D108" s="65">
        <v>76</v>
      </c>
      <c r="E108" s="13" t="s">
        <v>310</v>
      </c>
      <c r="F108" s="13" t="s">
        <v>7207</v>
      </c>
      <c r="G108" s="13" t="s">
        <v>7208</v>
      </c>
      <c r="H108" s="2"/>
      <c r="I108" s="2"/>
      <c r="J108" s="2"/>
      <c r="K108" s="2"/>
      <c r="L108" s="2"/>
      <c r="M108" s="2"/>
      <c r="N108" s="2"/>
      <c r="O108" s="2"/>
      <c r="P108" s="2"/>
      <c r="Q108" s="2"/>
      <c r="R108" s="2"/>
      <c r="S108" s="2"/>
      <c r="T108" s="2"/>
      <c r="U108" s="2"/>
      <c r="V108" s="2"/>
      <c r="W108" s="2"/>
      <c r="X108" s="2"/>
      <c r="Y108" s="2"/>
      <c r="Z108" s="2"/>
    </row>
    <row r="109" customHeight="1" spans="1:26">
      <c r="A109" s="121" t="s">
        <v>483</v>
      </c>
      <c r="B109" s="122" t="s">
        <v>7209</v>
      </c>
      <c r="C109" s="122" t="s">
        <v>485</v>
      </c>
      <c r="D109" s="123">
        <v>77</v>
      </c>
      <c r="E109" s="122" t="s">
        <v>37</v>
      </c>
      <c r="F109" s="122" t="s">
        <v>7210</v>
      </c>
      <c r="G109" s="122" t="s">
        <v>7211</v>
      </c>
      <c r="H109" s="124"/>
      <c r="I109" s="124"/>
      <c r="J109" s="124"/>
      <c r="K109" s="124"/>
      <c r="L109" s="124"/>
      <c r="M109" s="124"/>
      <c r="N109" s="124"/>
      <c r="O109" s="124"/>
      <c r="P109" s="124"/>
      <c r="Q109" s="124"/>
      <c r="R109" s="2"/>
      <c r="S109" s="2"/>
      <c r="T109" s="2"/>
      <c r="U109" s="2"/>
      <c r="V109" s="2"/>
      <c r="W109" s="2"/>
      <c r="X109" s="2"/>
      <c r="Y109" s="2"/>
      <c r="Z109" s="2"/>
    </row>
    <row r="110" customHeight="1" spans="1:26">
      <c r="A110" s="13" t="s">
        <v>488</v>
      </c>
      <c r="B110" s="13" t="s">
        <v>7212</v>
      </c>
      <c r="C110" s="13" t="s">
        <v>490</v>
      </c>
      <c r="D110" s="14">
        <v>50</v>
      </c>
      <c r="E110" s="13" t="s">
        <v>37</v>
      </c>
      <c r="F110" s="13" t="s">
        <v>7213</v>
      </c>
      <c r="G110" s="13" t="s">
        <v>7214</v>
      </c>
      <c r="H110" s="2"/>
      <c r="I110" s="2"/>
      <c r="J110" s="2"/>
      <c r="K110" s="2"/>
      <c r="L110" s="2"/>
      <c r="M110" s="2"/>
      <c r="N110" s="2"/>
      <c r="O110" s="2"/>
      <c r="P110" s="2"/>
      <c r="Q110" s="2"/>
      <c r="R110" s="2"/>
      <c r="S110" s="2"/>
      <c r="T110" s="2"/>
      <c r="U110" s="2"/>
      <c r="V110" s="2"/>
      <c r="W110" s="2"/>
      <c r="X110" s="2"/>
      <c r="Y110" s="2"/>
      <c r="Z110" s="2"/>
    </row>
    <row r="111" customHeight="1" spans="1:26">
      <c r="A111" s="13" t="s">
        <v>493</v>
      </c>
      <c r="B111" s="13" t="s">
        <v>7215</v>
      </c>
      <c r="C111" s="13" t="s">
        <v>4989</v>
      </c>
      <c r="D111" s="65"/>
      <c r="E111" s="65"/>
      <c r="F111" s="13" t="s">
        <v>7216</v>
      </c>
      <c r="G111" s="13" t="s">
        <v>7217</v>
      </c>
      <c r="H111" s="2"/>
      <c r="I111" s="2"/>
      <c r="J111" s="2"/>
      <c r="K111" s="2"/>
      <c r="L111" s="2"/>
      <c r="M111" s="2"/>
      <c r="N111" s="2"/>
      <c r="O111" s="2"/>
      <c r="P111" s="2"/>
      <c r="Q111" s="2"/>
      <c r="R111" s="2"/>
      <c r="S111" s="2"/>
      <c r="T111" s="2"/>
      <c r="U111" s="2"/>
      <c r="V111" s="2"/>
      <c r="W111" s="2"/>
      <c r="X111" s="2"/>
      <c r="Y111" s="2"/>
      <c r="Z111" s="2"/>
    </row>
    <row r="112" customHeight="1" spans="1:26">
      <c r="A112" s="13" t="s">
        <v>498</v>
      </c>
      <c r="B112" s="13" t="s">
        <v>7218</v>
      </c>
      <c r="C112" s="13" t="s">
        <v>500</v>
      </c>
      <c r="D112" s="65"/>
      <c r="E112" s="65"/>
      <c r="F112" s="13" t="s">
        <v>7219</v>
      </c>
      <c r="G112" s="13" t="s">
        <v>7220</v>
      </c>
      <c r="H112" s="2"/>
      <c r="I112" s="2"/>
      <c r="J112" s="2"/>
      <c r="K112" s="2"/>
      <c r="L112" s="2"/>
      <c r="M112" s="2"/>
      <c r="N112" s="2"/>
      <c r="O112" s="2"/>
      <c r="P112" s="2"/>
      <c r="Q112" s="2"/>
      <c r="R112" s="2"/>
      <c r="S112" s="2"/>
      <c r="T112" s="2"/>
      <c r="U112" s="2"/>
      <c r="V112" s="2"/>
      <c r="W112" s="2"/>
      <c r="X112" s="2"/>
      <c r="Y112" s="2"/>
      <c r="Z112" s="2"/>
    </row>
    <row r="113" customHeight="1" spans="1:26">
      <c r="A113" s="64" t="s">
        <v>503</v>
      </c>
      <c r="B113" s="13" t="s">
        <v>504</v>
      </c>
      <c r="C113" s="13" t="s">
        <v>505</v>
      </c>
      <c r="D113" s="65">
        <v>38</v>
      </c>
      <c r="E113" s="13" t="s">
        <v>37</v>
      </c>
      <c r="F113" s="13" t="s">
        <v>506</v>
      </c>
      <c r="G113" s="13" t="s">
        <v>7095</v>
      </c>
      <c r="H113" s="2"/>
      <c r="I113" s="2"/>
      <c r="J113" s="2"/>
      <c r="K113" s="2"/>
      <c r="L113" s="2"/>
      <c r="M113" s="2"/>
      <c r="N113" s="2"/>
      <c r="O113" s="2"/>
      <c r="P113" s="2"/>
      <c r="Q113" s="2"/>
      <c r="R113" s="2"/>
      <c r="S113" s="2"/>
      <c r="T113" s="2"/>
      <c r="U113" s="2"/>
      <c r="V113" s="2"/>
      <c r="W113" s="2"/>
      <c r="X113" s="2"/>
      <c r="Y113" s="2"/>
      <c r="Z113" s="2"/>
    </row>
    <row r="114" customHeight="1" spans="1:26">
      <c r="A114" s="13" t="s">
        <v>508</v>
      </c>
      <c r="B114" s="13" t="s">
        <v>7221</v>
      </c>
      <c r="C114" s="13" t="s">
        <v>510</v>
      </c>
      <c r="D114" s="14">
        <v>40</v>
      </c>
      <c r="E114" s="13" t="s">
        <v>37</v>
      </c>
      <c r="F114" s="13" t="s">
        <v>7222</v>
      </c>
      <c r="G114" s="13" t="s">
        <v>7223</v>
      </c>
      <c r="H114" s="2"/>
      <c r="I114" s="2"/>
      <c r="J114" s="2"/>
      <c r="K114" s="2"/>
      <c r="L114" s="2"/>
      <c r="M114" s="2"/>
      <c r="N114" s="2"/>
      <c r="O114" s="2"/>
      <c r="P114" s="2"/>
      <c r="Q114" s="2"/>
      <c r="R114" s="2"/>
      <c r="S114" s="2"/>
      <c r="T114" s="2"/>
      <c r="U114" s="2"/>
      <c r="V114" s="2"/>
      <c r="W114" s="2"/>
      <c r="X114" s="2"/>
      <c r="Y114" s="2"/>
      <c r="Z114" s="2"/>
    </row>
    <row r="115" customHeight="1" spans="1:26">
      <c r="A115" s="13" t="s">
        <v>513</v>
      </c>
      <c r="B115" s="13" t="s">
        <v>7224</v>
      </c>
      <c r="C115" s="13" t="s">
        <v>515</v>
      </c>
      <c r="D115" s="14">
        <v>40</v>
      </c>
      <c r="E115" s="13" t="s">
        <v>37</v>
      </c>
      <c r="F115" s="13" t="s">
        <v>7225</v>
      </c>
      <c r="G115" s="13" t="s">
        <v>7226</v>
      </c>
      <c r="H115" s="2"/>
      <c r="I115" s="2"/>
      <c r="J115" s="2"/>
      <c r="K115" s="2"/>
      <c r="L115" s="2"/>
      <c r="M115" s="2"/>
      <c r="N115" s="2"/>
      <c r="O115" s="2"/>
      <c r="P115" s="2"/>
      <c r="Q115" s="2"/>
      <c r="R115" s="2"/>
      <c r="S115" s="2"/>
      <c r="T115" s="2"/>
      <c r="U115" s="2"/>
      <c r="V115" s="2"/>
      <c r="W115" s="2"/>
      <c r="X115" s="2"/>
      <c r="Y115" s="2"/>
      <c r="Z115" s="2"/>
    </row>
    <row r="116" customHeight="1" spans="1:26">
      <c r="A116" s="13" t="s">
        <v>518</v>
      </c>
      <c r="B116" s="13" t="s">
        <v>7047</v>
      </c>
      <c r="C116" s="13" t="s">
        <v>519</v>
      </c>
      <c r="D116" s="14">
        <v>45</v>
      </c>
      <c r="E116" s="13" t="s">
        <v>37</v>
      </c>
      <c r="F116" s="13" t="s">
        <v>7227</v>
      </c>
      <c r="G116" s="13" t="s">
        <v>7228</v>
      </c>
      <c r="H116" s="2"/>
      <c r="I116" s="2"/>
      <c r="J116" s="2"/>
      <c r="K116" s="2"/>
      <c r="L116" s="2"/>
      <c r="M116" s="2"/>
      <c r="N116" s="2"/>
      <c r="O116" s="2"/>
      <c r="P116" s="2"/>
      <c r="Q116" s="2"/>
      <c r="R116" s="2"/>
      <c r="S116" s="2"/>
      <c r="T116" s="2"/>
      <c r="U116" s="2"/>
      <c r="V116" s="2"/>
      <c r="W116" s="2"/>
      <c r="X116" s="2"/>
      <c r="Y116" s="2"/>
      <c r="Z116" s="2"/>
    </row>
    <row r="117" customHeight="1" spans="1:26">
      <c r="A117" s="13" t="s">
        <v>520</v>
      </c>
      <c r="B117" s="13" t="s">
        <v>824</v>
      </c>
      <c r="C117" s="13" t="s">
        <v>515</v>
      </c>
      <c r="D117" s="14">
        <v>50</v>
      </c>
      <c r="E117" s="13" t="s">
        <v>37</v>
      </c>
      <c r="F117" s="13" t="s">
        <v>1733</v>
      </c>
      <c r="G117" s="13" t="s">
        <v>7046</v>
      </c>
      <c r="H117" s="2"/>
      <c r="I117" s="2"/>
      <c r="J117" s="2"/>
      <c r="K117" s="2"/>
      <c r="L117" s="2"/>
      <c r="M117" s="2"/>
      <c r="N117" s="2"/>
      <c r="O117" s="2"/>
      <c r="P117" s="2"/>
      <c r="Q117" s="2"/>
      <c r="R117" s="2"/>
      <c r="S117" s="2"/>
      <c r="T117" s="2"/>
      <c r="U117" s="2"/>
      <c r="V117" s="2"/>
      <c r="W117" s="2"/>
      <c r="X117" s="2"/>
      <c r="Y117" s="2"/>
      <c r="Z117" s="2"/>
    </row>
    <row r="118" customHeight="1" spans="1:26">
      <c r="A118" s="64" t="s">
        <v>522</v>
      </c>
      <c r="B118" s="13" t="s">
        <v>7229</v>
      </c>
      <c r="C118" s="13" t="s">
        <v>524</v>
      </c>
      <c r="D118" s="65">
        <v>90</v>
      </c>
      <c r="E118" s="13" t="s">
        <v>21</v>
      </c>
      <c r="F118" s="13" t="s">
        <v>7230</v>
      </c>
      <c r="G118" s="101" t="s">
        <v>7231</v>
      </c>
      <c r="H118" s="2"/>
      <c r="I118" s="2"/>
      <c r="J118" s="2"/>
      <c r="K118" s="2"/>
      <c r="L118" s="2"/>
      <c r="M118" s="2"/>
      <c r="N118" s="2"/>
      <c r="O118" s="2"/>
      <c r="P118" s="2"/>
      <c r="Q118" s="2"/>
      <c r="R118" s="2"/>
      <c r="S118" s="2"/>
      <c r="T118" s="2"/>
      <c r="U118" s="2"/>
      <c r="V118" s="2"/>
      <c r="W118" s="2"/>
      <c r="X118" s="2"/>
      <c r="Y118" s="2"/>
      <c r="Z118" s="2"/>
    </row>
    <row r="119" customHeight="1" spans="1:26">
      <c r="A119" s="13" t="s">
        <v>527</v>
      </c>
      <c r="B119" s="13" t="s">
        <v>7232</v>
      </c>
      <c r="C119" s="13" t="s">
        <v>529</v>
      </c>
      <c r="D119" s="65"/>
      <c r="E119" s="65"/>
      <c r="F119" s="13" t="s">
        <v>7233</v>
      </c>
      <c r="G119" s="13" t="s">
        <v>7234</v>
      </c>
      <c r="H119" s="2"/>
      <c r="I119" s="2"/>
      <c r="J119" s="2"/>
      <c r="K119" s="2"/>
      <c r="L119" s="2"/>
      <c r="M119" s="2"/>
      <c r="N119" s="2"/>
      <c r="O119" s="2"/>
      <c r="P119" s="2"/>
      <c r="Q119" s="2"/>
      <c r="R119" s="2"/>
      <c r="S119" s="2"/>
      <c r="T119" s="2"/>
      <c r="U119" s="2"/>
      <c r="V119" s="2"/>
      <c r="W119" s="2"/>
      <c r="X119" s="2"/>
      <c r="Y119" s="2"/>
      <c r="Z119" s="2"/>
    </row>
    <row r="120" customHeight="1" spans="1:26">
      <c r="A120" s="13" t="s">
        <v>532</v>
      </c>
      <c r="B120" s="13" t="s">
        <v>7235</v>
      </c>
      <c r="C120" s="13" t="s">
        <v>534</v>
      </c>
      <c r="D120" s="14">
        <v>120</v>
      </c>
      <c r="E120" s="13" t="s">
        <v>37</v>
      </c>
      <c r="F120" s="13" t="s">
        <v>7236</v>
      </c>
      <c r="G120" s="13" t="s">
        <v>7237</v>
      </c>
      <c r="H120" s="2"/>
      <c r="I120" s="2"/>
      <c r="J120" s="2"/>
      <c r="K120" s="2"/>
      <c r="L120" s="2"/>
      <c r="M120" s="2"/>
      <c r="N120" s="2"/>
      <c r="O120" s="2"/>
      <c r="P120" s="2"/>
      <c r="Q120" s="2"/>
      <c r="R120" s="2"/>
      <c r="S120" s="2"/>
      <c r="T120" s="2"/>
      <c r="U120" s="2"/>
      <c r="V120" s="2"/>
      <c r="W120" s="2"/>
      <c r="X120" s="2"/>
      <c r="Y120" s="2"/>
      <c r="Z120" s="2"/>
    </row>
    <row r="121" customHeight="1" spans="1:26">
      <c r="A121" s="64" t="s">
        <v>537</v>
      </c>
      <c r="B121" s="13" t="s">
        <v>7238</v>
      </c>
      <c r="C121" s="13" t="s">
        <v>539</v>
      </c>
      <c r="D121" s="65">
        <v>60</v>
      </c>
      <c r="E121" s="13" t="s">
        <v>37</v>
      </c>
      <c r="F121" s="13" t="s">
        <v>7239</v>
      </c>
      <c r="G121" s="13" t="s">
        <v>7240</v>
      </c>
      <c r="H121" s="2"/>
      <c r="I121" s="2"/>
      <c r="J121" s="2"/>
      <c r="K121" s="2"/>
      <c r="L121" s="2"/>
      <c r="M121" s="2"/>
      <c r="N121" s="2"/>
      <c r="O121" s="2"/>
      <c r="P121" s="2"/>
      <c r="Q121" s="2"/>
      <c r="R121" s="2"/>
      <c r="S121" s="2"/>
      <c r="T121" s="2"/>
      <c r="U121" s="2"/>
      <c r="V121" s="2"/>
      <c r="W121" s="2"/>
      <c r="X121" s="2"/>
      <c r="Y121" s="2"/>
      <c r="Z121" s="2"/>
    </row>
    <row r="122" customHeight="1" spans="1:26">
      <c r="A122" s="64" t="s">
        <v>542</v>
      </c>
      <c r="B122" s="13" t="s">
        <v>7241</v>
      </c>
      <c r="C122" s="13" t="s">
        <v>539</v>
      </c>
      <c r="D122" s="65">
        <v>50</v>
      </c>
      <c r="E122" s="13" t="s">
        <v>37</v>
      </c>
      <c r="F122" s="13" t="s">
        <v>7242</v>
      </c>
      <c r="G122" s="13" t="s">
        <v>7243</v>
      </c>
      <c r="H122" s="2"/>
      <c r="I122" s="2"/>
      <c r="J122" s="2"/>
      <c r="K122" s="2"/>
      <c r="L122" s="2"/>
      <c r="M122" s="2"/>
      <c r="N122" s="2"/>
      <c r="O122" s="2"/>
      <c r="P122" s="2"/>
      <c r="Q122" s="2"/>
      <c r="R122" s="2"/>
      <c r="S122" s="2"/>
      <c r="T122" s="2"/>
      <c r="U122" s="2"/>
      <c r="V122" s="2"/>
      <c r="W122" s="2"/>
      <c r="X122" s="2"/>
      <c r="Y122" s="2"/>
      <c r="Z122" s="2"/>
    </row>
    <row r="123" customHeight="1" spans="1:26">
      <c r="A123" s="13" t="s">
        <v>546</v>
      </c>
      <c r="B123" s="13" t="s">
        <v>7244</v>
      </c>
      <c r="C123" s="13" t="s">
        <v>548</v>
      </c>
      <c r="D123" s="14">
        <v>100</v>
      </c>
      <c r="E123" s="13" t="s">
        <v>37</v>
      </c>
      <c r="F123" s="13" t="s">
        <v>7245</v>
      </c>
      <c r="G123" s="13" t="s">
        <v>7246</v>
      </c>
      <c r="H123" s="2"/>
      <c r="I123" s="2"/>
      <c r="J123" s="2"/>
      <c r="K123" s="2"/>
      <c r="L123" s="2"/>
      <c r="M123" s="2"/>
      <c r="N123" s="2"/>
      <c r="O123" s="2"/>
      <c r="P123" s="2"/>
      <c r="Q123" s="2"/>
      <c r="R123" s="2"/>
      <c r="S123" s="2"/>
      <c r="T123" s="2"/>
      <c r="U123" s="2"/>
      <c r="V123" s="2"/>
      <c r="W123" s="2"/>
      <c r="X123" s="2"/>
      <c r="Y123" s="2"/>
      <c r="Z123" s="2"/>
    </row>
    <row r="124" customHeight="1" spans="1:26">
      <c r="A124" s="64" t="s">
        <v>551</v>
      </c>
      <c r="B124" s="13" t="s">
        <v>7247</v>
      </c>
      <c r="C124" s="13" t="s">
        <v>553</v>
      </c>
      <c r="D124" s="65">
        <v>30</v>
      </c>
      <c r="E124" s="13" t="s">
        <v>37</v>
      </c>
      <c r="F124" s="13" t="s">
        <v>7248</v>
      </c>
      <c r="G124" s="13" t="s">
        <v>7249</v>
      </c>
      <c r="H124" s="2"/>
      <c r="I124" s="2"/>
      <c r="J124" s="2"/>
      <c r="K124" s="2"/>
      <c r="L124" s="2"/>
      <c r="M124" s="2"/>
      <c r="N124" s="2"/>
      <c r="O124" s="2"/>
      <c r="P124" s="2"/>
      <c r="Q124" s="2"/>
      <c r="R124" s="2"/>
      <c r="S124" s="2"/>
      <c r="T124" s="2"/>
      <c r="U124" s="2"/>
      <c r="V124" s="2"/>
      <c r="W124" s="2"/>
      <c r="X124" s="2"/>
      <c r="Y124" s="2"/>
      <c r="Z124" s="2"/>
    </row>
    <row r="125" customHeight="1" spans="1:26">
      <c r="A125" s="13" t="s">
        <v>556</v>
      </c>
      <c r="B125" s="13" t="s">
        <v>7250</v>
      </c>
      <c r="C125" s="13" t="s">
        <v>557</v>
      </c>
      <c r="D125" s="14">
        <v>30</v>
      </c>
      <c r="E125" s="13" t="s">
        <v>37</v>
      </c>
      <c r="F125" s="13" t="s">
        <v>7251</v>
      </c>
      <c r="G125" s="13" t="s">
        <v>7252</v>
      </c>
      <c r="H125" s="2"/>
      <c r="I125" s="2"/>
      <c r="J125" s="2"/>
      <c r="K125" s="2"/>
      <c r="L125" s="2"/>
      <c r="M125" s="2"/>
      <c r="N125" s="2"/>
      <c r="O125" s="2"/>
      <c r="P125" s="2"/>
      <c r="Q125" s="2"/>
      <c r="R125" s="2"/>
      <c r="S125" s="2"/>
      <c r="T125" s="2"/>
      <c r="U125" s="2"/>
      <c r="V125" s="2"/>
      <c r="W125" s="2"/>
      <c r="X125" s="2"/>
      <c r="Y125" s="2"/>
      <c r="Z125" s="2"/>
    </row>
    <row r="126" customHeight="1" spans="1:26">
      <c r="A126" s="13" t="s">
        <v>558</v>
      </c>
      <c r="B126" s="13" t="s">
        <v>7253</v>
      </c>
      <c r="C126" s="13" t="s">
        <v>560</v>
      </c>
      <c r="D126" s="14">
        <v>40</v>
      </c>
      <c r="E126" s="13" t="s">
        <v>37</v>
      </c>
      <c r="F126" s="13" t="s">
        <v>7254</v>
      </c>
      <c r="G126" s="13" t="s">
        <v>7255</v>
      </c>
      <c r="H126" s="2"/>
      <c r="I126" s="2"/>
      <c r="J126" s="2"/>
      <c r="K126" s="2"/>
      <c r="L126" s="2"/>
      <c r="M126" s="2"/>
      <c r="N126" s="2"/>
      <c r="O126" s="2"/>
      <c r="P126" s="2"/>
      <c r="Q126" s="2"/>
      <c r="R126" s="2"/>
      <c r="S126" s="2"/>
      <c r="T126" s="2"/>
      <c r="U126" s="2"/>
      <c r="V126" s="2"/>
      <c r="W126" s="2"/>
      <c r="X126" s="2"/>
      <c r="Y126" s="2"/>
      <c r="Z126" s="2"/>
    </row>
    <row r="127" customHeight="1" spans="1:26">
      <c r="A127" s="13" t="s">
        <v>563</v>
      </c>
      <c r="B127" s="13" t="s">
        <v>7256</v>
      </c>
      <c r="C127" s="13" t="s">
        <v>565</v>
      </c>
      <c r="D127" s="14">
        <v>80</v>
      </c>
      <c r="E127" s="13" t="s">
        <v>37</v>
      </c>
      <c r="F127" s="13" t="s">
        <v>7257</v>
      </c>
      <c r="G127" s="13" t="s">
        <v>7258</v>
      </c>
      <c r="H127" s="2"/>
      <c r="I127" s="2"/>
      <c r="J127" s="2"/>
      <c r="K127" s="2"/>
      <c r="L127" s="2"/>
      <c r="M127" s="2"/>
      <c r="N127" s="2"/>
      <c r="O127" s="2"/>
      <c r="P127" s="2"/>
      <c r="Q127" s="2"/>
      <c r="R127" s="2"/>
      <c r="S127" s="2"/>
      <c r="T127" s="2"/>
      <c r="U127" s="2"/>
      <c r="V127" s="2"/>
      <c r="W127" s="2"/>
      <c r="X127" s="2"/>
      <c r="Y127" s="2"/>
      <c r="Z127" s="2"/>
    </row>
    <row r="128" customHeight="1" spans="1:26">
      <c r="A128" s="13" t="s">
        <v>313</v>
      </c>
      <c r="B128" s="13" t="s">
        <v>7259</v>
      </c>
      <c r="C128" s="13" t="s">
        <v>309</v>
      </c>
      <c r="D128" s="65">
        <v>90</v>
      </c>
      <c r="E128" s="13" t="s">
        <v>32</v>
      </c>
      <c r="F128" s="13" t="s">
        <v>7260</v>
      </c>
      <c r="G128" s="13" t="s">
        <v>7261</v>
      </c>
      <c r="H128" s="2"/>
      <c r="I128" s="2"/>
      <c r="J128" s="2"/>
      <c r="K128" s="2"/>
      <c r="L128" s="2"/>
      <c r="M128" s="2"/>
      <c r="N128" s="2"/>
      <c r="O128" s="2"/>
      <c r="P128" s="2"/>
      <c r="Q128" s="2"/>
      <c r="R128" s="2"/>
      <c r="S128" s="2"/>
      <c r="T128" s="2"/>
      <c r="U128" s="2"/>
      <c r="V128" s="2"/>
      <c r="W128" s="2"/>
      <c r="X128" s="2"/>
      <c r="Y128" s="2"/>
      <c r="Z128" s="2"/>
    </row>
    <row r="129" customHeight="1" spans="1:26">
      <c r="A129" s="65"/>
      <c r="B129" s="57"/>
      <c r="C129" s="57"/>
      <c r="D129" s="57"/>
      <c r="E129" s="57"/>
      <c r="F129" s="57"/>
      <c r="G129" s="57"/>
      <c r="H129" s="2"/>
      <c r="I129" s="2"/>
      <c r="J129" s="2"/>
      <c r="K129" s="2"/>
      <c r="L129" s="2"/>
      <c r="M129" s="2"/>
      <c r="N129" s="2"/>
      <c r="O129" s="2"/>
      <c r="P129" s="2"/>
      <c r="Q129" s="2"/>
      <c r="R129" s="2"/>
      <c r="S129" s="2"/>
      <c r="T129" s="2"/>
      <c r="U129" s="2"/>
      <c r="V129" s="2"/>
      <c r="W129" s="2"/>
      <c r="X129" s="2"/>
      <c r="Y129" s="2"/>
      <c r="Z129" s="2"/>
    </row>
    <row r="130" customHeight="1" spans="1:26">
      <c r="A130" s="65"/>
      <c r="B130" s="57"/>
      <c r="C130" s="57"/>
      <c r="D130" s="57"/>
      <c r="E130" s="57"/>
      <c r="F130" s="57"/>
      <c r="G130" s="57"/>
      <c r="H130" s="2"/>
      <c r="I130" s="2"/>
      <c r="J130" s="2"/>
      <c r="K130" s="2"/>
      <c r="L130" s="2"/>
      <c r="M130" s="2"/>
      <c r="N130" s="2"/>
      <c r="O130" s="2"/>
      <c r="P130" s="2"/>
      <c r="Q130" s="2"/>
      <c r="R130" s="2"/>
      <c r="S130" s="2"/>
      <c r="T130" s="2"/>
      <c r="U130" s="2"/>
      <c r="V130" s="2"/>
      <c r="W130" s="2"/>
      <c r="X130" s="2"/>
      <c r="Y130" s="2"/>
      <c r="Z130" s="2"/>
    </row>
    <row r="131" customHeight="1" spans="1:26">
      <c r="A131" s="65"/>
      <c r="B131" s="57"/>
      <c r="C131" s="57"/>
      <c r="D131" s="57"/>
      <c r="E131" s="57"/>
      <c r="F131" s="57"/>
      <c r="G131" s="57"/>
      <c r="H131" s="2"/>
      <c r="I131" s="2"/>
      <c r="J131" s="2"/>
      <c r="K131" s="2"/>
      <c r="L131" s="2"/>
      <c r="M131" s="2"/>
      <c r="N131" s="2"/>
      <c r="O131" s="2"/>
      <c r="P131" s="2"/>
      <c r="Q131" s="2"/>
      <c r="R131" s="2"/>
      <c r="S131" s="2"/>
      <c r="T131" s="2"/>
      <c r="U131" s="2"/>
      <c r="V131" s="2"/>
      <c r="W131" s="2"/>
      <c r="X131" s="2"/>
      <c r="Y131" s="2"/>
      <c r="Z131" s="2"/>
    </row>
    <row r="132" customHeight="1" spans="1:26">
      <c r="A132" s="65"/>
      <c r="B132" s="57"/>
      <c r="C132" s="57"/>
      <c r="D132" s="57"/>
      <c r="E132" s="57"/>
      <c r="F132" s="57"/>
      <c r="G132" s="57"/>
      <c r="H132" s="2"/>
      <c r="I132" s="2"/>
      <c r="J132" s="2"/>
      <c r="K132" s="2"/>
      <c r="L132" s="2"/>
      <c r="M132" s="2"/>
      <c r="N132" s="2"/>
      <c r="O132" s="2"/>
      <c r="P132" s="2"/>
      <c r="Q132" s="2"/>
      <c r="R132" s="2"/>
      <c r="S132" s="2"/>
      <c r="T132" s="2"/>
      <c r="U132" s="2"/>
      <c r="V132" s="2"/>
      <c r="W132" s="2"/>
      <c r="X132" s="2"/>
      <c r="Y132" s="2"/>
      <c r="Z132" s="2"/>
    </row>
    <row r="133" customHeight="1" spans="1:26">
      <c r="A133" s="65"/>
      <c r="B133" s="57"/>
      <c r="C133" s="57"/>
      <c r="D133" s="57"/>
      <c r="E133" s="57"/>
      <c r="F133" s="57"/>
      <c r="G133" s="57"/>
      <c r="H133" s="2"/>
      <c r="I133" s="2"/>
      <c r="J133" s="2"/>
      <c r="K133" s="2"/>
      <c r="L133" s="2"/>
      <c r="M133" s="2"/>
      <c r="N133" s="2"/>
      <c r="O133" s="2"/>
      <c r="P133" s="2"/>
      <c r="Q133" s="2"/>
      <c r="R133" s="2"/>
      <c r="S133" s="2"/>
      <c r="T133" s="2"/>
      <c r="U133" s="2"/>
      <c r="V133" s="2"/>
      <c r="W133" s="2"/>
      <c r="X133" s="2"/>
      <c r="Y133" s="2"/>
      <c r="Z133" s="2"/>
    </row>
    <row r="134" customHeight="1" spans="1:26">
      <c r="A134" s="65"/>
      <c r="B134" s="65"/>
      <c r="C134" s="57"/>
      <c r="D134" s="57"/>
      <c r="E134" s="57"/>
      <c r="F134" s="57"/>
      <c r="G134" s="57"/>
      <c r="H134" s="2"/>
      <c r="I134" s="2"/>
      <c r="J134" s="2"/>
      <c r="K134" s="2"/>
      <c r="L134" s="2"/>
      <c r="M134" s="2"/>
      <c r="N134" s="2"/>
      <c r="O134" s="2"/>
      <c r="P134" s="2"/>
      <c r="Q134" s="2"/>
      <c r="R134" s="2"/>
      <c r="S134" s="2"/>
      <c r="T134" s="2"/>
      <c r="U134" s="2"/>
      <c r="V134" s="2"/>
      <c r="W134" s="2"/>
      <c r="X134" s="2"/>
      <c r="Y134" s="2"/>
      <c r="Z134" s="2"/>
    </row>
    <row r="135" customHeight="1" spans="1:26">
      <c r="A135" s="65"/>
      <c r="B135" s="57"/>
      <c r="C135" s="57"/>
      <c r="D135" s="57"/>
      <c r="E135" s="57"/>
      <c r="F135" s="57"/>
      <c r="G135" s="57"/>
      <c r="H135" s="2"/>
      <c r="I135" s="2"/>
      <c r="J135" s="2"/>
      <c r="K135" s="2"/>
      <c r="L135" s="2"/>
      <c r="M135" s="2"/>
      <c r="N135" s="2"/>
      <c r="O135" s="2"/>
      <c r="P135" s="2"/>
      <c r="Q135" s="2"/>
      <c r="R135" s="2"/>
      <c r="S135" s="2"/>
      <c r="T135" s="2"/>
      <c r="U135" s="2"/>
      <c r="V135" s="2"/>
      <c r="W135" s="2"/>
      <c r="X135" s="2"/>
      <c r="Y135" s="2"/>
      <c r="Z135" s="2"/>
    </row>
    <row r="136" ht="13.5" customHeight="1"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43 B145:B148 B155:B156">
      <formula1>ValidLondonCounterpartyNames</formula1>
    </dataValidation>
  </dataValidations>
  <pageMargins left="0.75" right="0.75" top="1" bottom="1" header="0.5" footer="0.5"/>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workbookViewId="0">
      <selection activeCell="A1" sqref="A1"/>
    </sheetView>
  </sheetViews>
  <sheetFormatPr defaultColWidth="12.6607142857143" defaultRowHeight="15" customHeight="1"/>
  <cols>
    <col min="1" max="1" width="20.1607142857143" customWidth="1"/>
    <col min="2" max="2" width="26.3303571428571" customWidth="1"/>
    <col min="3" max="3" width="14.6607142857143" customWidth="1"/>
    <col min="4" max="5" width="8.16071428571429" customWidth="1"/>
    <col min="6" max="6" width="18.1607142857143" customWidth="1"/>
    <col min="7" max="7" width="31.5" customWidth="1"/>
    <col min="8" max="18" width="8.16071428571429" customWidth="1"/>
    <col min="19" max="26" width="11.1607142857143" customWidth="1"/>
  </cols>
  <sheetData>
    <row r="1" ht="13.5" customHeight="1" spans="1:26">
      <c r="A1" s="56" t="s">
        <v>0</v>
      </c>
      <c r="B1" s="103"/>
      <c r="C1" s="103"/>
      <c r="D1" s="103"/>
      <c r="E1" s="103"/>
      <c r="F1" s="103"/>
      <c r="G1" s="103"/>
      <c r="H1" s="2"/>
      <c r="I1" s="2"/>
      <c r="J1" s="2"/>
      <c r="K1" s="2"/>
      <c r="L1" s="2"/>
      <c r="M1" s="2"/>
      <c r="N1" s="2"/>
      <c r="O1" s="2"/>
      <c r="P1" s="2"/>
      <c r="Q1" s="2"/>
      <c r="R1" s="2"/>
      <c r="S1" s="2"/>
      <c r="T1" s="2"/>
      <c r="U1" s="2"/>
      <c r="V1" s="2"/>
      <c r="W1" s="2"/>
      <c r="X1" s="2"/>
      <c r="Y1" s="2"/>
      <c r="Z1" s="2"/>
    </row>
    <row r="2" ht="13.5" customHeight="1" spans="1:26">
      <c r="A2" s="104" t="s">
        <v>7262</v>
      </c>
      <c r="B2" s="105"/>
      <c r="C2" s="105"/>
      <c r="D2" s="106" t="s">
        <v>2</v>
      </c>
      <c r="E2" s="105"/>
      <c r="F2" s="105"/>
      <c r="G2" s="105"/>
      <c r="H2" s="2"/>
      <c r="I2" s="2"/>
      <c r="J2" s="2"/>
      <c r="K2" s="2"/>
      <c r="L2" s="2"/>
      <c r="M2" s="2"/>
      <c r="N2" s="2"/>
      <c r="O2" s="2"/>
      <c r="P2" s="2"/>
      <c r="Q2" s="2"/>
      <c r="R2" s="2"/>
      <c r="S2" s="2"/>
      <c r="T2" s="2"/>
      <c r="U2" s="2"/>
      <c r="V2" s="2"/>
      <c r="W2" s="2"/>
      <c r="X2" s="2"/>
      <c r="Y2" s="2"/>
      <c r="Z2" s="2"/>
    </row>
    <row r="3" ht="13.5" customHeight="1" spans="1:26">
      <c r="A3" s="107" t="s">
        <v>3</v>
      </c>
      <c r="B3" s="108" t="s">
        <v>4</v>
      </c>
      <c r="C3" s="108" t="s">
        <v>5</v>
      </c>
      <c r="D3" s="108" t="s">
        <v>6</v>
      </c>
      <c r="E3" s="108" t="s">
        <v>7</v>
      </c>
      <c r="F3" s="108" t="s">
        <v>8</v>
      </c>
      <c r="G3" s="108" t="s">
        <v>9</v>
      </c>
      <c r="H3" s="2"/>
      <c r="I3" s="2"/>
      <c r="J3" s="2"/>
      <c r="K3" s="2"/>
      <c r="L3" s="2"/>
      <c r="M3" s="2"/>
      <c r="N3" s="2"/>
      <c r="O3" s="2"/>
      <c r="P3" s="2"/>
      <c r="Q3" s="2"/>
      <c r="R3" s="2"/>
      <c r="S3" s="2"/>
      <c r="T3" s="2"/>
      <c r="U3" s="2"/>
      <c r="V3" s="2"/>
      <c r="W3" s="2"/>
      <c r="X3" s="2"/>
      <c r="Y3" s="2"/>
      <c r="Z3" s="2"/>
    </row>
    <row r="4" ht="13.5" customHeight="1" spans="1:26">
      <c r="A4" s="109" t="s">
        <v>10</v>
      </c>
      <c r="B4" s="110" t="s">
        <v>7263</v>
      </c>
      <c r="C4" s="110" t="s">
        <v>12</v>
      </c>
      <c r="D4" s="111"/>
      <c r="E4" s="111"/>
      <c r="F4" s="110" t="s">
        <v>7264</v>
      </c>
      <c r="G4" s="110" t="s">
        <v>7265</v>
      </c>
      <c r="H4" s="2"/>
      <c r="I4" s="2"/>
      <c r="J4" s="2"/>
      <c r="K4" s="2"/>
      <c r="L4" s="2"/>
      <c r="M4" s="2"/>
      <c r="N4" s="2"/>
      <c r="O4" s="2"/>
      <c r="P4" s="2"/>
      <c r="Q4" s="2"/>
      <c r="R4" s="2"/>
      <c r="S4" s="2"/>
      <c r="T4" s="2"/>
      <c r="U4" s="2"/>
      <c r="V4" s="2"/>
      <c r="W4" s="2"/>
      <c r="X4" s="2"/>
      <c r="Y4" s="2"/>
      <c r="Z4" s="2"/>
    </row>
    <row r="5" ht="13.5" customHeight="1" spans="1:26">
      <c r="A5" s="83" t="s">
        <v>15</v>
      </c>
      <c r="B5" s="110" t="s">
        <v>6958</v>
      </c>
      <c r="C5" s="110" t="s">
        <v>12</v>
      </c>
      <c r="D5" s="111"/>
      <c r="E5" s="111"/>
      <c r="F5" s="110" t="s">
        <v>6959</v>
      </c>
      <c r="G5" s="110" t="s">
        <v>6960</v>
      </c>
      <c r="H5" s="2"/>
      <c r="I5" s="2"/>
      <c r="J5" s="2"/>
      <c r="K5" s="2"/>
      <c r="L5" s="2"/>
      <c r="M5" s="2"/>
      <c r="N5" s="2"/>
      <c r="O5" s="2"/>
      <c r="P5" s="2"/>
      <c r="Q5" s="2"/>
      <c r="R5" s="2"/>
      <c r="S5" s="2"/>
      <c r="T5" s="2"/>
      <c r="U5" s="2"/>
      <c r="V5" s="2"/>
      <c r="W5" s="2"/>
      <c r="X5" s="2"/>
      <c r="Y5" s="2"/>
      <c r="Z5" s="2"/>
    </row>
    <row r="6" ht="13.5" customHeight="1" spans="1:26">
      <c r="A6" s="112" t="s">
        <v>18</v>
      </c>
      <c r="B6" s="110" t="s">
        <v>7266</v>
      </c>
      <c r="C6" s="110" t="s">
        <v>20</v>
      </c>
      <c r="D6" s="113">
        <v>340</v>
      </c>
      <c r="E6" s="110" t="s">
        <v>21</v>
      </c>
      <c r="F6" s="110" t="s">
        <v>7267</v>
      </c>
      <c r="G6" s="110" t="s">
        <v>7268</v>
      </c>
      <c r="H6" s="2"/>
      <c r="I6" s="2"/>
      <c r="J6" s="2"/>
      <c r="K6" s="2"/>
      <c r="L6" s="2"/>
      <c r="M6" s="2"/>
      <c r="N6" s="2"/>
      <c r="O6" s="2"/>
      <c r="P6" s="2"/>
      <c r="Q6" s="2"/>
      <c r="R6" s="2"/>
      <c r="S6" s="2"/>
      <c r="T6" s="2"/>
      <c r="U6" s="2"/>
      <c r="V6" s="2"/>
      <c r="W6" s="2"/>
      <c r="X6" s="2"/>
      <c r="Y6" s="2"/>
      <c r="Z6" s="2"/>
    </row>
    <row r="7" ht="13.5" customHeight="1" spans="1:26">
      <c r="A7" s="112" t="s">
        <v>24</v>
      </c>
      <c r="B7" s="110" t="s">
        <v>7269</v>
      </c>
      <c r="C7" s="110" t="s">
        <v>6965</v>
      </c>
      <c r="D7" s="113">
        <v>85</v>
      </c>
      <c r="E7" s="110" t="s">
        <v>21</v>
      </c>
      <c r="F7" s="110" t="s">
        <v>7270</v>
      </c>
      <c r="G7" s="2" t="s">
        <v>7271</v>
      </c>
      <c r="H7" s="2" t="s">
        <v>7271</v>
      </c>
      <c r="I7" s="2"/>
      <c r="J7" s="2"/>
      <c r="K7" s="2"/>
      <c r="L7" s="2"/>
      <c r="M7" s="2"/>
      <c r="N7" s="2"/>
      <c r="O7" s="2"/>
      <c r="P7" s="2"/>
      <c r="Q7" s="2"/>
      <c r="R7" s="2"/>
      <c r="S7" s="2"/>
      <c r="T7" s="2"/>
      <c r="U7" s="2"/>
      <c r="V7" s="2"/>
      <c r="W7" s="2"/>
      <c r="X7" s="2"/>
      <c r="Y7" s="2"/>
      <c r="Z7" s="2"/>
    </row>
    <row r="8" ht="13.5" customHeight="1" spans="1:26">
      <c r="A8" s="77" t="s">
        <v>29</v>
      </c>
      <c r="B8" s="110" t="s">
        <v>7272</v>
      </c>
      <c r="C8" s="110" t="s">
        <v>31</v>
      </c>
      <c r="D8" s="26">
        <v>30</v>
      </c>
      <c r="E8" s="110" t="s">
        <v>32</v>
      </c>
      <c r="F8" s="110" t="s">
        <v>7273</v>
      </c>
      <c r="G8" s="110" t="s">
        <v>7274</v>
      </c>
      <c r="H8" s="2"/>
      <c r="I8" s="2"/>
      <c r="J8" s="2"/>
      <c r="K8" s="2"/>
      <c r="L8" s="2"/>
      <c r="M8" s="2"/>
      <c r="N8" s="2"/>
      <c r="O8" s="2"/>
      <c r="P8" s="2"/>
      <c r="Q8" s="2"/>
      <c r="R8" s="2"/>
      <c r="S8" s="2"/>
      <c r="T8" s="2"/>
      <c r="U8" s="2"/>
      <c r="V8" s="2"/>
      <c r="W8" s="2"/>
      <c r="X8" s="2"/>
      <c r="Y8" s="2"/>
      <c r="Z8" s="2"/>
    </row>
    <row r="9" ht="13.5" customHeight="1" spans="1:26">
      <c r="A9" s="77" t="s">
        <v>35</v>
      </c>
      <c r="B9" s="110" t="s">
        <v>7275</v>
      </c>
      <c r="C9" s="110" t="s">
        <v>31</v>
      </c>
      <c r="D9" s="26">
        <v>30</v>
      </c>
      <c r="E9" s="110" t="s">
        <v>37</v>
      </c>
      <c r="F9" s="110" t="s">
        <v>7276</v>
      </c>
      <c r="G9" s="110" t="s">
        <v>7277</v>
      </c>
      <c r="H9" s="2"/>
      <c r="I9" s="2"/>
      <c r="J9" s="2"/>
      <c r="K9" s="2"/>
      <c r="L9" s="2"/>
      <c r="M9" s="2"/>
      <c r="N9" s="2"/>
      <c r="O9" s="2"/>
      <c r="P9" s="2"/>
      <c r="Q9" s="2"/>
      <c r="R9" s="2"/>
      <c r="S9" s="2"/>
      <c r="T9" s="2"/>
      <c r="U9" s="2"/>
      <c r="V9" s="2"/>
      <c r="W9" s="2"/>
      <c r="X9" s="2"/>
      <c r="Y9" s="2"/>
      <c r="Z9" s="2"/>
    </row>
    <row r="10" ht="13.5" customHeight="1" spans="1:26">
      <c r="A10" s="77" t="s">
        <v>40</v>
      </c>
      <c r="B10" s="110" t="s">
        <v>41</v>
      </c>
      <c r="C10" s="110" t="s">
        <v>4167</v>
      </c>
      <c r="D10" s="26">
        <v>106</v>
      </c>
      <c r="E10" s="110" t="s">
        <v>21</v>
      </c>
      <c r="F10" s="110" t="s">
        <v>6974</v>
      </c>
      <c r="G10" s="110" t="s">
        <v>6975</v>
      </c>
      <c r="H10" s="2"/>
      <c r="I10" s="2"/>
      <c r="J10" s="2"/>
      <c r="K10" s="2"/>
      <c r="L10" s="2"/>
      <c r="M10" s="2"/>
      <c r="N10" s="2"/>
      <c r="O10" s="2"/>
      <c r="P10" s="2"/>
      <c r="Q10" s="2"/>
      <c r="R10" s="2"/>
      <c r="S10" s="2"/>
      <c r="T10" s="2"/>
      <c r="U10" s="2"/>
      <c r="V10" s="2"/>
      <c r="W10" s="2"/>
      <c r="X10" s="2"/>
      <c r="Y10" s="2"/>
      <c r="Z10" s="2"/>
    </row>
    <row r="11" ht="13.5" customHeight="1" spans="1:26">
      <c r="A11" s="112" t="s">
        <v>44</v>
      </c>
      <c r="B11" s="110" t="s">
        <v>893</v>
      </c>
      <c r="C11" s="110" t="s">
        <v>46</v>
      </c>
      <c r="D11" s="111"/>
      <c r="E11" s="111"/>
      <c r="F11" s="110" t="s">
        <v>47</v>
      </c>
      <c r="G11" s="110" t="s">
        <v>7278</v>
      </c>
      <c r="H11" s="2"/>
      <c r="I11" s="2"/>
      <c r="J11" s="2"/>
      <c r="K11" s="2"/>
      <c r="L11" s="2"/>
      <c r="M11" s="2"/>
      <c r="N11" s="2"/>
      <c r="O11" s="2"/>
      <c r="P11" s="2"/>
      <c r="Q11" s="2"/>
      <c r="R11" s="2"/>
      <c r="S11" s="2"/>
      <c r="T11" s="2"/>
      <c r="U11" s="2"/>
      <c r="V11" s="2"/>
      <c r="W11" s="2"/>
      <c r="X11" s="2"/>
      <c r="Y11" s="2"/>
      <c r="Z11" s="2"/>
    </row>
    <row r="12" ht="13.5" customHeight="1" spans="1:26">
      <c r="A12" s="112" t="s">
        <v>49</v>
      </c>
      <c r="B12" s="110" t="s">
        <v>6977</v>
      </c>
      <c r="C12" s="110" t="s">
        <v>3483</v>
      </c>
      <c r="D12" s="111"/>
      <c r="E12" s="111"/>
      <c r="F12" s="110" t="s">
        <v>7279</v>
      </c>
      <c r="G12" s="110" t="s">
        <v>7280</v>
      </c>
      <c r="H12" s="2"/>
      <c r="I12" s="2"/>
      <c r="J12" s="2"/>
      <c r="K12" s="2"/>
      <c r="L12" s="2"/>
      <c r="M12" s="2"/>
      <c r="N12" s="2"/>
      <c r="O12" s="2"/>
      <c r="P12" s="2"/>
      <c r="Q12" s="2"/>
      <c r="R12" s="2"/>
      <c r="S12" s="2"/>
      <c r="T12" s="2"/>
      <c r="U12" s="2"/>
      <c r="V12" s="2"/>
      <c r="W12" s="2"/>
      <c r="X12" s="2"/>
      <c r="Y12" s="2"/>
      <c r="Z12" s="2"/>
    </row>
    <row r="13" ht="13.5" customHeight="1" spans="1:26">
      <c r="A13" s="112" t="s">
        <v>54</v>
      </c>
      <c r="B13" s="110" t="s">
        <v>4747</v>
      </c>
      <c r="C13" s="110" t="s">
        <v>56</v>
      </c>
      <c r="D13" s="111"/>
      <c r="E13" s="111"/>
      <c r="F13" s="110" t="s">
        <v>4748</v>
      </c>
      <c r="G13" s="110" t="s">
        <v>7281</v>
      </c>
      <c r="H13" s="2"/>
      <c r="I13" s="2"/>
      <c r="J13" s="2"/>
      <c r="K13" s="2"/>
      <c r="L13" s="2"/>
      <c r="M13" s="2"/>
      <c r="N13" s="2"/>
      <c r="O13" s="2"/>
      <c r="P13" s="2"/>
      <c r="Q13" s="2"/>
      <c r="R13" s="2"/>
      <c r="S13" s="2"/>
      <c r="T13" s="2"/>
      <c r="U13" s="2"/>
      <c r="V13" s="2"/>
      <c r="W13" s="2"/>
      <c r="X13" s="2"/>
      <c r="Y13" s="2"/>
      <c r="Z13" s="2"/>
    </row>
    <row r="14" ht="13.5" customHeight="1" spans="1:26">
      <c r="A14" s="77" t="s">
        <v>59</v>
      </c>
      <c r="B14" s="110" t="s">
        <v>1670</v>
      </c>
      <c r="C14" s="110" t="s">
        <v>61</v>
      </c>
      <c r="D14" s="26">
        <v>13</v>
      </c>
      <c r="E14" s="110" t="s">
        <v>37</v>
      </c>
      <c r="F14" s="110" t="s">
        <v>7282</v>
      </c>
      <c r="G14" s="110" t="s">
        <v>7283</v>
      </c>
      <c r="H14" s="2"/>
      <c r="I14" s="2"/>
      <c r="J14" s="2"/>
      <c r="K14" s="2"/>
      <c r="L14" s="2"/>
      <c r="M14" s="2"/>
      <c r="N14" s="2"/>
      <c r="O14" s="2"/>
      <c r="P14" s="2"/>
      <c r="Q14" s="2"/>
      <c r="R14" s="2"/>
      <c r="S14" s="2"/>
      <c r="T14" s="2"/>
      <c r="U14" s="2"/>
      <c r="V14" s="2"/>
      <c r="W14" s="2"/>
      <c r="X14" s="2"/>
      <c r="Y14" s="2"/>
      <c r="Z14" s="2"/>
    </row>
    <row r="15" ht="13.5" customHeight="1" spans="1:26">
      <c r="A15" s="77" t="s">
        <v>64</v>
      </c>
      <c r="B15" s="110" t="s">
        <v>7284</v>
      </c>
      <c r="C15" s="110" t="s">
        <v>66</v>
      </c>
      <c r="D15" s="26">
        <v>13</v>
      </c>
      <c r="E15" s="110" t="s">
        <v>32</v>
      </c>
      <c r="F15" s="110" t="s">
        <v>7285</v>
      </c>
      <c r="G15" s="110" t="s">
        <v>7286</v>
      </c>
      <c r="H15" s="2"/>
      <c r="I15" s="2"/>
      <c r="J15" s="2"/>
      <c r="K15" s="2"/>
      <c r="L15" s="2"/>
      <c r="M15" s="2"/>
      <c r="N15" s="2"/>
      <c r="O15" s="2"/>
      <c r="P15" s="2"/>
      <c r="Q15" s="2"/>
      <c r="R15" s="2"/>
      <c r="S15" s="2"/>
      <c r="T15" s="2"/>
      <c r="U15" s="2"/>
      <c r="V15" s="2"/>
      <c r="W15" s="2"/>
      <c r="X15" s="2"/>
      <c r="Y15" s="2"/>
      <c r="Z15" s="2"/>
    </row>
    <row r="16" ht="13.5" customHeight="1" spans="1:26">
      <c r="A16" s="77" t="s">
        <v>69</v>
      </c>
      <c r="B16" s="110" t="s">
        <v>7287</v>
      </c>
      <c r="C16" s="110" t="s">
        <v>66</v>
      </c>
      <c r="D16" s="26">
        <v>12</v>
      </c>
      <c r="E16" s="110" t="s">
        <v>71</v>
      </c>
      <c r="F16" s="110" t="s">
        <v>7288</v>
      </c>
      <c r="G16" s="110" t="s">
        <v>7289</v>
      </c>
      <c r="H16" s="2"/>
      <c r="I16" s="2"/>
      <c r="J16" s="2"/>
      <c r="K16" s="2"/>
      <c r="L16" s="2"/>
      <c r="M16" s="2"/>
      <c r="N16" s="2"/>
      <c r="O16" s="2"/>
      <c r="P16" s="2"/>
      <c r="Q16" s="2"/>
      <c r="R16" s="2"/>
      <c r="S16" s="2"/>
      <c r="T16" s="2"/>
      <c r="U16" s="2"/>
      <c r="V16" s="2"/>
      <c r="W16" s="2"/>
      <c r="X16" s="2"/>
      <c r="Y16" s="2"/>
      <c r="Z16" s="2"/>
    </row>
    <row r="17" ht="13.5" customHeight="1" spans="1:26">
      <c r="A17" s="112" t="s">
        <v>74</v>
      </c>
      <c r="B17" s="110" t="s">
        <v>6989</v>
      </c>
      <c r="C17" s="110" t="s">
        <v>76</v>
      </c>
      <c r="D17" s="111"/>
      <c r="E17" s="111"/>
      <c r="F17" s="110" t="s">
        <v>6990</v>
      </c>
      <c r="G17" s="110" t="s">
        <v>6991</v>
      </c>
      <c r="H17" s="2"/>
      <c r="I17" s="2"/>
      <c r="J17" s="2"/>
      <c r="K17" s="2"/>
      <c r="L17" s="2"/>
      <c r="M17" s="2"/>
      <c r="N17" s="2"/>
      <c r="O17" s="2"/>
      <c r="P17" s="2"/>
      <c r="Q17" s="2"/>
      <c r="R17" s="2"/>
      <c r="S17" s="2"/>
      <c r="T17" s="2"/>
      <c r="U17" s="2"/>
      <c r="V17" s="2"/>
      <c r="W17" s="2"/>
      <c r="X17" s="2"/>
      <c r="Y17" s="2"/>
      <c r="Z17" s="2"/>
    </row>
    <row r="18" ht="13.5" customHeight="1" spans="1:26">
      <c r="A18" s="77" t="s">
        <v>79</v>
      </c>
      <c r="B18" s="110" t="s">
        <v>7290</v>
      </c>
      <c r="C18" s="110" t="s">
        <v>81</v>
      </c>
      <c r="D18" s="26">
        <v>30</v>
      </c>
      <c r="E18" s="110" t="s">
        <v>37</v>
      </c>
      <c r="F18" s="110" t="s">
        <v>7291</v>
      </c>
      <c r="G18" s="110" t="s">
        <v>7292</v>
      </c>
      <c r="H18" s="2"/>
      <c r="I18" s="2"/>
      <c r="J18" s="2"/>
      <c r="K18" s="2"/>
      <c r="L18" s="2"/>
      <c r="M18" s="2"/>
      <c r="N18" s="2"/>
      <c r="O18" s="2"/>
      <c r="P18" s="2"/>
      <c r="Q18" s="2"/>
      <c r="R18" s="2"/>
      <c r="S18" s="2"/>
      <c r="T18" s="2"/>
      <c r="U18" s="2"/>
      <c r="V18" s="2"/>
      <c r="W18" s="2"/>
      <c r="X18" s="2"/>
      <c r="Y18" s="2"/>
      <c r="Z18" s="2"/>
    </row>
    <row r="19" ht="13.5" customHeight="1" spans="1:26">
      <c r="A19" s="112" t="s">
        <v>84</v>
      </c>
      <c r="B19" s="110" t="s">
        <v>7293</v>
      </c>
      <c r="C19" s="110" t="s">
        <v>86</v>
      </c>
      <c r="D19" s="113">
        <v>134</v>
      </c>
      <c r="E19" s="110" t="s">
        <v>21</v>
      </c>
      <c r="F19" s="110" t="s">
        <v>7294</v>
      </c>
      <c r="G19" s="110" t="s">
        <v>7295</v>
      </c>
      <c r="H19" s="2"/>
      <c r="I19" s="2"/>
      <c r="J19" s="2"/>
      <c r="K19" s="2"/>
      <c r="L19" s="2"/>
      <c r="M19" s="2"/>
      <c r="N19" s="2"/>
      <c r="O19" s="2"/>
      <c r="P19" s="2"/>
      <c r="Q19" s="2"/>
      <c r="R19" s="2"/>
      <c r="S19" s="2"/>
      <c r="T19" s="2"/>
      <c r="U19" s="2"/>
      <c r="V19" s="2"/>
      <c r="W19" s="2"/>
      <c r="X19" s="2"/>
      <c r="Y19" s="2"/>
      <c r="Z19" s="2"/>
    </row>
    <row r="20" ht="13.5" customHeight="1" spans="1:26">
      <c r="A20" s="112" t="s">
        <v>89</v>
      </c>
      <c r="B20" s="110" t="s">
        <v>7296</v>
      </c>
      <c r="C20" s="110" t="s">
        <v>91</v>
      </c>
      <c r="D20" s="111"/>
      <c r="E20" s="111"/>
      <c r="F20" s="110" t="s">
        <v>7297</v>
      </c>
      <c r="G20" s="110" t="s">
        <v>7298</v>
      </c>
      <c r="H20" s="2"/>
      <c r="I20" s="2"/>
      <c r="J20" s="2"/>
      <c r="K20" s="2"/>
      <c r="L20" s="2"/>
      <c r="M20" s="2"/>
      <c r="N20" s="2"/>
      <c r="O20" s="2"/>
      <c r="P20" s="2"/>
      <c r="Q20" s="2"/>
      <c r="R20" s="2"/>
      <c r="S20" s="2"/>
      <c r="T20" s="2"/>
      <c r="U20" s="2"/>
      <c r="V20" s="2"/>
      <c r="W20" s="2"/>
      <c r="X20" s="2"/>
      <c r="Y20" s="2"/>
      <c r="Z20" s="2"/>
    </row>
    <row r="21" ht="13.5" customHeight="1" spans="1:26">
      <c r="A21" s="77" t="s">
        <v>94</v>
      </c>
      <c r="B21" s="110" t="s">
        <v>7001</v>
      </c>
      <c r="C21" s="110" t="s">
        <v>925</v>
      </c>
      <c r="D21" s="26">
        <v>60</v>
      </c>
      <c r="E21" s="110" t="s">
        <v>71</v>
      </c>
      <c r="F21" s="110" t="s">
        <v>7002</v>
      </c>
      <c r="G21" s="110" t="s">
        <v>7299</v>
      </c>
      <c r="H21" s="2"/>
      <c r="I21" s="2"/>
      <c r="J21" s="2"/>
      <c r="K21" s="2"/>
      <c r="L21" s="2"/>
      <c r="M21" s="2"/>
      <c r="N21" s="2"/>
      <c r="O21" s="2"/>
      <c r="P21" s="2"/>
      <c r="Q21" s="2"/>
      <c r="R21" s="2"/>
      <c r="S21" s="2"/>
      <c r="T21" s="2"/>
      <c r="U21" s="2"/>
      <c r="V21" s="2"/>
      <c r="W21" s="2"/>
      <c r="X21" s="2"/>
      <c r="Y21" s="2"/>
      <c r="Z21" s="2"/>
    </row>
    <row r="22" ht="13.5" customHeight="1" spans="1:26">
      <c r="A22" s="77" t="s">
        <v>99</v>
      </c>
      <c r="B22" s="110" t="s">
        <v>3507</v>
      </c>
      <c r="C22" s="110" t="s">
        <v>925</v>
      </c>
      <c r="D22" s="26">
        <v>70</v>
      </c>
      <c r="E22" s="110" t="s">
        <v>32</v>
      </c>
      <c r="F22" s="110" t="s">
        <v>7300</v>
      </c>
      <c r="G22" s="110" t="s">
        <v>7301</v>
      </c>
      <c r="H22" s="2"/>
      <c r="I22" s="2"/>
      <c r="J22" s="2"/>
      <c r="K22" s="2"/>
      <c r="L22" s="2"/>
      <c r="M22" s="2"/>
      <c r="N22" s="2"/>
      <c r="O22" s="2"/>
      <c r="P22" s="2"/>
      <c r="Q22" s="2"/>
      <c r="R22" s="2"/>
      <c r="S22" s="2"/>
      <c r="T22" s="2"/>
      <c r="U22" s="2"/>
      <c r="V22" s="2"/>
      <c r="W22" s="2"/>
      <c r="X22" s="2"/>
      <c r="Y22" s="2"/>
      <c r="Z22" s="2"/>
    </row>
    <row r="23" ht="13.5" customHeight="1" spans="1:26">
      <c r="A23" s="77" t="s">
        <v>102</v>
      </c>
      <c r="B23" s="110" t="s">
        <v>7302</v>
      </c>
      <c r="C23" s="110" t="s">
        <v>108</v>
      </c>
      <c r="D23" s="26">
        <v>123</v>
      </c>
      <c r="E23" s="110" t="s">
        <v>21</v>
      </c>
      <c r="F23" s="2" t="s">
        <v>7303</v>
      </c>
      <c r="G23" s="114" t="str">
        <f>HYPERLINK("http://www.kayak.com/","http://www.kayak.com")</f>
        <v>http://www.kayak.com</v>
      </c>
      <c r="H23" s="2"/>
      <c r="I23" s="2"/>
      <c r="J23" s="2"/>
      <c r="K23" s="2"/>
      <c r="L23" s="2"/>
      <c r="M23" s="2"/>
      <c r="N23" s="2"/>
      <c r="O23" s="2"/>
      <c r="P23" s="2"/>
      <c r="Q23" s="2"/>
      <c r="R23" s="2"/>
      <c r="S23" s="2"/>
      <c r="T23" s="2"/>
      <c r="U23" s="2"/>
      <c r="V23" s="2"/>
      <c r="W23" s="2"/>
      <c r="X23" s="2"/>
      <c r="Y23" s="2"/>
      <c r="Z23" s="2"/>
    </row>
    <row r="24" ht="13.5" customHeight="1" spans="1:26">
      <c r="A24" s="112" t="s">
        <v>107</v>
      </c>
      <c r="B24" s="110" t="s">
        <v>931</v>
      </c>
      <c r="C24" s="110" t="s">
        <v>104</v>
      </c>
      <c r="D24" s="111"/>
      <c r="E24" s="111"/>
      <c r="F24" s="110" t="s">
        <v>7304</v>
      </c>
      <c r="G24" s="110" t="s">
        <v>7305</v>
      </c>
      <c r="H24" s="2"/>
      <c r="I24" s="2"/>
      <c r="J24" s="2"/>
      <c r="K24" s="2"/>
      <c r="L24" s="2"/>
      <c r="M24" s="2"/>
      <c r="N24" s="2"/>
      <c r="O24" s="2"/>
      <c r="P24" s="2"/>
      <c r="Q24" s="2"/>
      <c r="R24" s="2"/>
      <c r="S24" s="2"/>
      <c r="T24" s="2"/>
      <c r="U24" s="2"/>
      <c r="V24" s="2"/>
      <c r="W24" s="2"/>
      <c r="X24" s="2"/>
      <c r="Y24" s="2"/>
      <c r="Z24" s="2"/>
    </row>
    <row r="25" ht="13.5" customHeight="1" spans="1:26">
      <c r="A25" s="112" t="s">
        <v>110</v>
      </c>
      <c r="B25" s="110" t="s">
        <v>7306</v>
      </c>
      <c r="C25" s="110" t="s">
        <v>112</v>
      </c>
      <c r="D25" s="111"/>
      <c r="E25" s="111"/>
      <c r="F25" s="110" t="s">
        <v>7307</v>
      </c>
      <c r="G25" s="110" t="s">
        <v>7308</v>
      </c>
      <c r="H25" s="2"/>
      <c r="I25" s="2"/>
      <c r="J25" s="2"/>
      <c r="K25" s="2"/>
      <c r="L25" s="2"/>
      <c r="M25" s="2"/>
      <c r="N25" s="2"/>
      <c r="O25" s="2"/>
      <c r="P25" s="2"/>
      <c r="Q25" s="2"/>
      <c r="R25" s="2"/>
      <c r="S25" s="2"/>
      <c r="T25" s="2"/>
      <c r="U25" s="2"/>
      <c r="V25" s="2"/>
      <c r="W25" s="2"/>
      <c r="X25" s="2"/>
      <c r="Y25" s="2"/>
      <c r="Z25" s="2"/>
    </row>
    <row r="26" ht="13.5" customHeight="1" spans="1:26">
      <c r="A26" s="112" t="s">
        <v>115</v>
      </c>
      <c r="B26" s="110" t="s">
        <v>7309</v>
      </c>
      <c r="C26" s="110" t="s">
        <v>117</v>
      </c>
      <c r="D26" s="26">
        <v>90</v>
      </c>
      <c r="E26" s="110" t="s">
        <v>32</v>
      </c>
      <c r="F26" s="110" t="s">
        <v>7310</v>
      </c>
      <c r="G26" s="110" t="s">
        <v>7311</v>
      </c>
      <c r="H26" s="2"/>
      <c r="I26" s="2"/>
      <c r="J26" s="2"/>
      <c r="K26" s="2"/>
      <c r="L26" s="2"/>
      <c r="M26" s="2"/>
      <c r="N26" s="2"/>
      <c r="O26" s="2"/>
      <c r="P26" s="2"/>
      <c r="Q26" s="2"/>
      <c r="R26" s="2"/>
      <c r="S26" s="2"/>
      <c r="T26" s="2"/>
      <c r="U26" s="2"/>
      <c r="V26" s="2"/>
      <c r="W26" s="2"/>
      <c r="X26" s="2"/>
      <c r="Y26" s="2"/>
      <c r="Z26" s="2"/>
    </row>
    <row r="27" ht="13.5" customHeight="1" spans="1:26">
      <c r="A27" s="77" t="s">
        <v>120</v>
      </c>
      <c r="B27" s="110" t="s">
        <v>1700</v>
      </c>
      <c r="C27" s="110" t="s">
        <v>117</v>
      </c>
      <c r="D27" s="26">
        <v>60</v>
      </c>
      <c r="E27" s="110" t="s">
        <v>37</v>
      </c>
      <c r="F27" s="110" t="s">
        <v>7312</v>
      </c>
      <c r="G27" s="110" t="s">
        <v>7313</v>
      </c>
      <c r="H27" s="2"/>
      <c r="I27" s="2"/>
      <c r="J27" s="2"/>
      <c r="K27" s="2"/>
      <c r="L27" s="2"/>
      <c r="M27" s="2"/>
      <c r="N27" s="2"/>
      <c r="O27" s="2"/>
      <c r="P27" s="2"/>
      <c r="Q27" s="2"/>
      <c r="R27" s="2"/>
      <c r="S27" s="2"/>
      <c r="T27" s="2"/>
      <c r="U27" s="2"/>
      <c r="V27" s="2"/>
      <c r="W27" s="2"/>
      <c r="X27" s="2"/>
      <c r="Y27" s="2"/>
      <c r="Z27" s="2"/>
    </row>
    <row r="28" ht="13.5" customHeight="1" spans="1:26">
      <c r="A28" s="112" t="s">
        <v>123</v>
      </c>
      <c r="B28" s="110" t="s">
        <v>7314</v>
      </c>
      <c r="C28" s="110" t="s">
        <v>117</v>
      </c>
      <c r="D28" s="26">
        <v>80</v>
      </c>
      <c r="E28" s="110" t="s">
        <v>245</v>
      </c>
      <c r="F28" s="110" t="s">
        <v>7315</v>
      </c>
      <c r="G28" s="110" t="s">
        <v>7316</v>
      </c>
      <c r="H28" s="2"/>
      <c r="I28" s="2"/>
      <c r="J28" s="2"/>
      <c r="K28" s="2"/>
      <c r="L28" s="2"/>
      <c r="M28" s="2"/>
      <c r="N28" s="2"/>
      <c r="O28" s="2"/>
      <c r="P28" s="2"/>
      <c r="Q28" s="2"/>
      <c r="R28" s="2"/>
      <c r="S28" s="2"/>
      <c r="T28" s="2"/>
      <c r="U28" s="2"/>
      <c r="V28" s="2"/>
      <c r="W28" s="2"/>
      <c r="X28" s="2"/>
      <c r="Y28" s="2"/>
      <c r="Z28" s="2"/>
    </row>
    <row r="29" ht="13.5" customHeight="1" spans="1:26">
      <c r="A29" s="77" t="s">
        <v>127</v>
      </c>
      <c r="B29" s="110" t="s">
        <v>7317</v>
      </c>
      <c r="C29" s="110" t="s">
        <v>117</v>
      </c>
      <c r="D29" s="26">
        <v>50</v>
      </c>
      <c r="E29" s="110" t="s">
        <v>37</v>
      </c>
      <c r="F29" s="110" t="s">
        <v>7318</v>
      </c>
      <c r="G29" s="110" t="s">
        <v>7319</v>
      </c>
      <c r="H29" s="2"/>
      <c r="I29" s="2"/>
      <c r="J29" s="2"/>
      <c r="K29" s="2"/>
      <c r="L29" s="2"/>
      <c r="M29" s="2"/>
      <c r="N29" s="2"/>
      <c r="O29" s="2"/>
      <c r="P29" s="2"/>
      <c r="Q29" s="2"/>
      <c r="R29" s="2"/>
      <c r="S29" s="2"/>
      <c r="T29" s="2"/>
      <c r="U29" s="2"/>
      <c r="V29" s="2"/>
      <c r="W29" s="2"/>
      <c r="X29" s="2"/>
      <c r="Y29" s="2"/>
      <c r="Z29" s="2"/>
    </row>
    <row r="30" ht="13.5" customHeight="1" spans="1:26">
      <c r="A30" s="77" t="s">
        <v>131</v>
      </c>
      <c r="B30" s="110" t="s">
        <v>7320</v>
      </c>
      <c r="C30" s="110" t="s">
        <v>117</v>
      </c>
      <c r="D30" s="26">
        <v>50</v>
      </c>
      <c r="E30" s="110" t="s">
        <v>32</v>
      </c>
      <c r="F30" s="110" t="s">
        <v>7321</v>
      </c>
      <c r="G30" s="110" t="s">
        <v>7322</v>
      </c>
      <c r="H30" s="2"/>
      <c r="I30" s="2"/>
      <c r="J30" s="2"/>
      <c r="K30" s="2"/>
      <c r="L30" s="2"/>
      <c r="M30" s="2"/>
      <c r="N30" s="2"/>
      <c r="O30" s="2"/>
      <c r="P30" s="2"/>
      <c r="Q30" s="2"/>
      <c r="R30" s="2"/>
      <c r="S30" s="2"/>
      <c r="T30" s="2"/>
      <c r="U30" s="2"/>
      <c r="V30" s="2"/>
      <c r="W30" s="2"/>
      <c r="X30" s="2"/>
      <c r="Y30" s="2"/>
      <c r="Z30" s="2"/>
    </row>
    <row r="31" ht="13.5" customHeight="1" spans="1:26">
      <c r="A31" s="77" t="s">
        <v>135</v>
      </c>
      <c r="B31" s="110" t="s">
        <v>3797</v>
      </c>
      <c r="C31" s="110" t="s">
        <v>117</v>
      </c>
      <c r="D31" s="26">
        <v>30</v>
      </c>
      <c r="E31" s="110" t="s">
        <v>32</v>
      </c>
      <c r="F31" s="110" t="s">
        <v>7323</v>
      </c>
      <c r="G31" s="110" t="s">
        <v>7324</v>
      </c>
      <c r="H31" s="2"/>
      <c r="I31" s="2"/>
      <c r="J31" s="2"/>
      <c r="K31" s="2"/>
      <c r="L31" s="2"/>
      <c r="M31" s="2"/>
      <c r="N31" s="2"/>
      <c r="O31" s="2"/>
      <c r="P31" s="2"/>
      <c r="Q31" s="2"/>
      <c r="R31" s="2"/>
      <c r="S31" s="2"/>
      <c r="T31" s="2"/>
      <c r="U31" s="2"/>
      <c r="V31" s="2"/>
      <c r="W31" s="2"/>
      <c r="X31" s="2"/>
      <c r="Y31" s="2"/>
      <c r="Z31" s="2"/>
    </row>
    <row r="32" ht="13.5" customHeight="1" spans="1:26">
      <c r="A32" s="112" t="s">
        <v>139</v>
      </c>
      <c r="B32" s="110" t="s">
        <v>7325</v>
      </c>
      <c r="C32" s="110" t="s">
        <v>141</v>
      </c>
      <c r="D32" s="113">
        <v>55</v>
      </c>
      <c r="E32" s="110" t="s">
        <v>37</v>
      </c>
      <c r="F32" s="110" t="s">
        <v>7326</v>
      </c>
      <c r="G32" s="110" t="s">
        <v>7327</v>
      </c>
      <c r="H32" s="2"/>
      <c r="I32" s="2"/>
      <c r="J32" s="2"/>
      <c r="K32" s="2"/>
      <c r="L32" s="2"/>
      <c r="M32" s="2"/>
      <c r="N32" s="2"/>
      <c r="O32" s="2"/>
      <c r="P32" s="2"/>
      <c r="Q32" s="2"/>
      <c r="R32" s="2"/>
      <c r="S32" s="2"/>
      <c r="T32" s="2"/>
      <c r="U32" s="2"/>
      <c r="V32" s="2"/>
      <c r="W32" s="2"/>
      <c r="X32" s="2"/>
      <c r="Y32" s="2"/>
      <c r="Z32" s="2"/>
    </row>
    <row r="33" ht="13.5" customHeight="1" spans="1:26">
      <c r="A33" s="112" t="s">
        <v>144</v>
      </c>
      <c r="B33" s="110" t="s">
        <v>7328</v>
      </c>
      <c r="C33" s="110" t="s">
        <v>146</v>
      </c>
      <c r="D33" s="111"/>
      <c r="E33" s="111"/>
      <c r="F33" s="110" t="s">
        <v>7329</v>
      </c>
      <c r="G33" s="110" t="s">
        <v>7330</v>
      </c>
      <c r="H33" s="2"/>
      <c r="I33" s="2"/>
      <c r="J33" s="2"/>
      <c r="K33" s="2"/>
      <c r="L33" s="2"/>
      <c r="M33" s="2"/>
      <c r="N33" s="2"/>
      <c r="O33" s="2"/>
      <c r="P33" s="2"/>
      <c r="Q33" s="2"/>
      <c r="R33" s="2"/>
      <c r="S33" s="2"/>
      <c r="T33" s="2"/>
      <c r="U33" s="2"/>
      <c r="V33" s="2"/>
      <c r="W33" s="2"/>
      <c r="X33" s="2"/>
      <c r="Y33" s="2"/>
      <c r="Z33" s="2"/>
    </row>
    <row r="34" ht="13.5" customHeight="1" spans="1:26">
      <c r="A34" s="112" t="s">
        <v>149</v>
      </c>
      <c r="B34" s="110" t="s">
        <v>7034</v>
      </c>
      <c r="C34" s="110" t="s">
        <v>151</v>
      </c>
      <c r="D34" s="111"/>
      <c r="E34" s="111"/>
      <c r="F34" s="110" t="s">
        <v>3536</v>
      </c>
      <c r="G34" s="110" t="s">
        <v>7331</v>
      </c>
      <c r="H34" s="2"/>
      <c r="I34" s="2"/>
      <c r="J34" s="2"/>
      <c r="K34" s="2"/>
      <c r="L34" s="2"/>
      <c r="M34" s="2"/>
      <c r="N34" s="2"/>
      <c r="O34" s="2"/>
      <c r="P34" s="2"/>
      <c r="Q34" s="2"/>
      <c r="R34" s="2"/>
      <c r="S34" s="2"/>
      <c r="T34" s="2"/>
      <c r="U34" s="2"/>
      <c r="V34" s="2"/>
      <c r="W34" s="2"/>
      <c r="X34" s="2"/>
      <c r="Y34" s="2"/>
      <c r="Z34" s="2"/>
    </row>
    <row r="35" ht="13.5" customHeight="1" spans="1:26">
      <c r="A35" s="77" t="s">
        <v>154</v>
      </c>
      <c r="B35" s="110" t="s">
        <v>3538</v>
      </c>
      <c r="C35" s="110" t="s">
        <v>156</v>
      </c>
      <c r="D35" s="26">
        <v>30</v>
      </c>
      <c r="E35" s="110" t="s">
        <v>37</v>
      </c>
      <c r="F35" s="110" t="s">
        <v>7332</v>
      </c>
      <c r="G35" s="110" t="s">
        <v>7333</v>
      </c>
      <c r="H35" s="2"/>
      <c r="I35" s="2"/>
      <c r="J35" s="2"/>
      <c r="K35" s="2"/>
      <c r="L35" s="2"/>
      <c r="M35" s="2"/>
      <c r="N35" s="2"/>
      <c r="O35" s="2"/>
      <c r="P35" s="2"/>
      <c r="Q35" s="2"/>
      <c r="R35" s="2"/>
      <c r="S35" s="2"/>
      <c r="T35" s="2"/>
      <c r="U35" s="2"/>
      <c r="V35" s="2"/>
      <c r="W35" s="2"/>
      <c r="X35" s="2"/>
      <c r="Y35" s="2"/>
      <c r="Z35" s="2"/>
    </row>
    <row r="36" ht="13.5" customHeight="1" spans="1:26">
      <c r="A36" s="112" t="s">
        <v>159</v>
      </c>
      <c r="B36" s="110" t="s">
        <v>7334</v>
      </c>
      <c r="C36" s="110" t="s">
        <v>161</v>
      </c>
      <c r="D36" s="111"/>
      <c r="E36" s="111"/>
      <c r="F36" s="110" t="s">
        <v>7335</v>
      </c>
      <c r="G36" s="110" t="s">
        <v>7336</v>
      </c>
      <c r="H36" s="2"/>
      <c r="I36" s="2"/>
      <c r="J36" s="2"/>
      <c r="K36" s="2"/>
      <c r="L36" s="2"/>
      <c r="M36" s="2"/>
      <c r="N36" s="2"/>
      <c r="O36" s="2"/>
      <c r="P36" s="2"/>
      <c r="Q36" s="2"/>
      <c r="R36" s="2"/>
      <c r="S36" s="2"/>
      <c r="T36" s="2"/>
      <c r="U36" s="2"/>
      <c r="V36" s="2"/>
      <c r="W36" s="2"/>
      <c r="X36" s="2"/>
      <c r="Y36" s="2"/>
      <c r="Z36" s="2"/>
    </row>
    <row r="37" ht="13.5" customHeight="1" spans="1:26">
      <c r="A37" s="112" t="s">
        <v>164</v>
      </c>
      <c r="B37" s="110" t="s">
        <v>7337</v>
      </c>
      <c r="C37" s="110" t="s">
        <v>166</v>
      </c>
      <c r="D37" s="111"/>
      <c r="E37" s="111"/>
      <c r="F37" s="110" t="s">
        <v>7338</v>
      </c>
      <c r="G37" s="110" t="s">
        <v>7339</v>
      </c>
      <c r="H37" s="2"/>
      <c r="I37" s="2"/>
      <c r="J37" s="2"/>
      <c r="K37" s="2"/>
      <c r="L37" s="2"/>
      <c r="M37" s="2"/>
      <c r="N37" s="2"/>
      <c r="O37" s="2"/>
      <c r="P37" s="2"/>
      <c r="Q37" s="2"/>
      <c r="R37" s="2"/>
      <c r="S37" s="2"/>
      <c r="T37" s="2"/>
      <c r="U37" s="2"/>
      <c r="V37" s="2"/>
      <c r="W37" s="2"/>
      <c r="X37" s="2"/>
      <c r="Y37" s="2"/>
      <c r="Z37" s="2"/>
    </row>
    <row r="38" ht="13.5" customHeight="1" spans="1:26">
      <c r="A38" s="77" t="s">
        <v>169</v>
      </c>
      <c r="B38" s="110" t="s">
        <v>824</v>
      </c>
      <c r="C38" s="110" t="s">
        <v>171</v>
      </c>
      <c r="D38" s="26">
        <v>46</v>
      </c>
      <c r="E38" s="110" t="s">
        <v>37</v>
      </c>
      <c r="F38" s="110" t="s">
        <v>1733</v>
      </c>
      <c r="G38" s="110" t="s">
        <v>7340</v>
      </c>
      <c r="H38" s="2"/>
      <c r="I38" s="2"/>
      <c r="J38" s="2"/>
      <c r="K38" s="2"/>
      <c r="L38" s="2"/>
      <c r="M38" s="2"/>
      <c r="N38" s="2"/>
      <c r="O38" s="2"/>
      <c r="P38" s="2"/>
      <c r="Q38" s="2"/>
      <c r="R38" s="2"/>
      <c r="S38" s="2"/>
      <c r="T38" s="2"/>
      <c r="U38" s="2"/>
      <c r="V38" s="2"/>
      <c r="W38" s="2"/>
      <c r="X38" s="2"/>
      <c r="Y38" s="2"/>
      <c r="Z38" s="2"/>
    </row>
    <row r="39" ht="13.5" customHeight="1" spans="1:26">
      <c r="A39" s="77" t="s">
        <v>174</v>
      </c>
      <c r="B39" s="110" t="s">
        <v>4312</v>
      </c>
      <c r="C39" s="110" t="s">
        <v>171</v>
      </c>
      <c r="D39" s="26">
        <v>30</v>
      </c>
      <c r="E39" s="110" t="s">
        <v>37</v>
      </c>
      <c r="F39" s="110" t="s">
        <v>7341</v>
      </c>
      <c r="G39" s="110" t="s">
        <v>7342</v>
      </c>
      <c r="H39" s="2"/>
      <c r="I39" s="2"/>
      <c r="J39" s="2"/>
      <c r="K39" s="2"/>
      <c r="L39" s="2"/>
      <c r="M39" s="2"/>
      <c r="N39" s="2"/>
      <c r="O39" s="2"/>
      <c r="P39" s="2"/>
      <c r="Q39" s="2"/>
      <c r="R39" s="2"/>
      <c r="S39" s="2"/>
      <c r="T39" s="2"/>
      <c r="U39" s="2"/>
      <c r="V39" s="2"/>
      <c r="W39" s="2"/>
      <c r="X39" s="2"/>
      <c r="Y39" s="2"/>
      <c r="Z39" s="2"/>
    </row>
    <row r="40" ht="13.5" customHeight="1" spans="1:26">
      <c r="A40" s="77" t="s">
        <v>178</v>
      </c>
      <c r="B40" s="110" t="s">
        <v>7343</v>
      </c>
      <c r="C40" s="110" t="s">
        <v>180</v>
      </c>
      <c r="D40" s="26">
        <v>45</v>
      </c>
      <c r="E40" s="110" t="s">
        <v>37</v>
      </c>
      <c r="F40" s="110" t="s">
        <v>7344</v>
      </c>
      <c r="G40" s="110" t="s">
        <v>7345</v>
      </c>
      <c r="H40" s="2"/>
      <c r="I40" s="2"/>
      <c r="J40" s="2"/>
      <c r="K40" s="2"/>
      <c r="L40" s="2"/>
      <c r="M40" s="2"/>
      <c r="N40" s="2"/>
      <c r="O40" s="2"/>
      <c r="P40" s="2"/>
      <c r="Q40" s="2"/>
      <c r="R40" s="2"/>
      <c r="S40" s="2"/>
      <c r="T40" s="2"/>
      <c r="U40" s="2"/>
      <c r="V40" s="2"/>
      <c r="W40" s="2"/>
      <c r="X40" s="2"/>
      <c r="Y40" s="2"/>
      <c r="Z40" s="2"/>
    </row>
    <row r="41" ht="13.5" customHeight="1" spans="1:26">
      <c r="A41" s="77" t="s">
        <v>183</v>
      </c>
      <c r="B41" s="110" t="s">
        <v>184</v>
      </c>
      <c r="C41" s="110" t="s">
        <v>185</v>
      </c>
      <c r="D41" s="26">
        <v>7</v>
      </c>
      <c r="E41" s="110" t="s">
        <v>37</v>
      </c>
      <c r="F41" s="110" t="s">
        <v>186</v>
      </c>
      <c r="G41" s="110" t="s">
        <v>187</v>
      </c>
      <c r="H41" s="2"/>
      <c r="I41" s="2"/>
      <c r="J41" s="2"/>
      <c r="K41" s="2"/>
      <c r="L41" s="2"/>
      <c r="M41" s="2"/>
      <c r="N41" s="2"/>
      <c r="O41" s="2"/>
      <c r="P41" s="2"/>
      <c r="Q41" s="2"/>
      <c r="R41" s="2"/>
      <c r="S41" s="2"/>
      <c r="T41" s="2"/>
      <c r="U41" s="2"/>
      <c r="V41" s="2"/>
      <c r="W41" s="2"/>
      <c r="X41" s="2"/>
      <c r="Y41" s="2"/>
      <c r="Z41" s="2"/>
    </row>
    <row r="42" ht="13.5" customHeight="1" spans="1:26">
      <c r="A42" s="77" t="s">
        <v>188</v>
      </c>
      <c r="B42" s="110" t="s">
        <v>4315</v>
      </c>
      <c r="C42" s="110" t="s">
        <v>190</v>
      </c>
      <c r="D42" s="26">
        <v>650</v>
      </c>
      <c r="E42" s="110" t="s">
        <v>37</v>
      </c>
      <c r="F42" s="110" t="s">
        <v>7346</v>
      </c>
      <c r="G42" s="110" t="s">
        <v>7347</v>
      </c>
      <c r="H42" s="2"/>
      <c r="I42" s="2"/>
      <c r="J42" s="2"/>
      <c r="K42" s="2"/>
      <c r="L42" s="2"/>
      <c r="M42" s="2"/>
      <c r="N42" s="2"/>
      <c r="O42" s="2"/>
      <c r="P42" s="2"/>
      <c r="Q42" s="2"/>
      <c r="R42" s="2"/>
      <c r="S42" s="2"/>
      <c r="T42" s="2"/>
      <c r="U42" s="2"/>
      <c r="V42" s="2"/>
      <c r="W42" s="2"/>
      <c r="X42" s="2"/>
      <c r="Y42" s="2"/>
      <c r="Z42" s="2"/>
    </row>
    <row r="43" ht="13.5" customHeight="1" spans="1:26">
      <c r="A43" s="112" t="s">
        <v>193</v>
      </c>
      <c r="B43" s="110" t="s">
        <v>7348</v>
      </c>
      <c r="C43" s="110" t="s">
        <v>195</v>
      </c>
      <c r="D43" s="111"/>
      <c r="E43" s="111"/>
      <c r="F43" s="110" t="s">
        <v>7349</v>
      </c>
      <c r="G43" s="110" t="s">
        <v>7350</v>
      </c>
      <c r="H43" s="2"/>
      <c r="I43" s="2"/>
      <c r="J43" s="2"/>
      <c r="K43" s="2"/>
      <c r="L43" s="2"/>
      <c r="M43" s="2"/>
      <c r="N43" s="2"/>
      <c r="O43" s="2"/>
      <c r="P43" s="2"/>
      <c r="Q43" s="2"/>
      <c r="R43" s="2"/>
      <c r="S43" s="2"/>
      <c r="T43" s="2"/>
      <c r="U43" s="2"/>
      <c r="V43" s="2"/>
      <c r="W43" s="2"/>
      <c r="X43" s="2"/>
      <c r="Y43" s="2"/>
      <c r="Z43" s="2"/>
    </row>
    <row r="44" ht="13.5" customHeight="1" spans="1:26">
      <c r="A44" s="77" t="s">
        <v>198</v>
      </c>
      <c r="B44" s="110" t="s">
        <v>7351</v>
      </c>
      <c r="C44" s="110" t="s">
        <v>200</v>
      </c>
      <c r="D44" s="26">
        <v>30</v>
      </c>
      <c r="E44" s="110" t="s">
        <v>21</v>
      </c>
      <c r="F44" s="110" t="s">
        <v>7352</v>
      </c>
      <c r="G44" s="110" t="s">
        <v>7353</v>
      </c>
      <c r="H44" s="2"/>
      <c r="I44" s="2"/>
      <c r="J44" s="2"/>
      <c r="K44" s="2"/>
      <c r="L44" s="2"/>
      <c r="M44" s="2"/>
      <c r="N44" s="2"/>
      <c r="O44" s="2"/>
      <c r="P44" s="2"/>
      <c r="Q44" s="2"/>
      <c r="R44" s="2"/>
      <c r="S44" s="2"/>
      <c r="T44" s="2"/>
      <c r="U44" s="2"/>
      <c r="V44" s="2"/>
      <c r="W44" s="2"/>
      <c r="X44" s="2"/>
      <c r="Y44" s="2"/>
      <c r="Z44" s="2"/>
    </row>
    <row r="45" ht="13.5" customHeight="1" spans="1:26">
      <c r="A45" s="112" t="s">
        <v>203</v>
      </c>
      <c r="B45" s="110" t="s">
        <v>4257</v>
      </c>
      <c r="C45" s="110" t="s">
        <v>200</v>
      </c>
      <c r="D45" s="113">
        <v>80</v>
      </c>
      <c r="E45" s="110" t="s">
        <v>21</v>
      </c>
      <c r="F45" s="110" t="s">
        <v>7354</v>
      </c>
      <c r="G45" s="110" t="s">
        <v>7355</v>
      </c>
      <c r="H45" s="2"/>
      <c r="I45" s="2"/>
      <c r="J45" s="2"/>
      <c r="K45" s="2"/>
      <c r="L45" s="2"/>
      <c r="M45" s="2"/>
      <c r="N45" s="2"/>
      <c r="O45" s="2"/>
      <c r="P45" s="2"/>
      <c r="Q45" s="2"/>
      <c r="R45" s="2"/>
      <c r="S45" s="2"/>
      <c r="T45" s="2"/>
      <c r="U45" s="2"/>
      <c r="V45" s="2"/>
      <c r="W45" s="2"/>
      <c r="X45" s="2"/>
      <c r="Y45" s="2"/>
      <c r="Z45" s="2"/>
    </row>
    <row r="46" ht="13.5" customHeight="1" spans="1:26">
      <c r="A46" s="77" t="s">
        <v>207</v>
      </c>
      <c r="B46" s="110" t="s">
        <v>4838</v>
      </c>
      <c r="C46" s="110" t="s">
        <v>209</v>
      </c>
      <c r="D46" s="26">
        <v>5</v>
      </c>
      <c r="E46" s="110" t="s">
        <v>37</v>
      </c>
      <c r="F46" s="110" t="s">
        <v>7356</v>
      </c>
      <c r="G46" s="110" t="s">
        <v>7357</v>
      </c>
      <c r="H46" s="2"/>
      <c r="I46" s="2"/>
      <c r="J46" s="2"/>
      <c r="K46" s="2"/>
      <c r="L46" s="2"/>
      <c r="M46" s="2"/>
      <c r="N46" s="2"/>
      <c r="O46" s="2"/>
      <c r="P46" s="2"/>
      <c r="Q46" s="2"/>
      <c r="R46" s="2"/>
      <c r="S46" s="2"/>
      <c r="T46" s="2"/>
      <c r="U46" s="2"/>
      <c r="V46" s="2"/>
      <c r="W46" s="2"/>
      <c r="X46" s="2"/>
      <c r="Y46" s="2"/>
      <c r="Z46" s="2"/>
    </row>
    <row r="47" ht="13.5" customHeight="1" spans="1:26">
      <c r="A47" s="112" t="s">
        <v>212</v>
      </c>
      <c r="B47" s="110" t="s">
        <v>7358</v>
      </c>
      <c r="C47" s="110" t="s">
        <v>214</v>
      </c>
      <c r="D47" s="113">
        <v>20</v>
      </c>
      <c r="E47" s="110" t="s">
        <v>37</v>
      </c>
      <c r="F47" s="110" t="s">
        <v>7359</v>
      </c>
      <c r="G47" s="110" t="s">
        <v>7360</v>
      </c>
      <c r="H47" s="2"/>
      <c r="I47" s="2"/>
      <c r="J47" s="2"/>
      <c r="K47" s="2"/>
      <c r="L47" s="2"/>
      <c r="M47" s="2"/>
      <c r="N47" s="2"/>
      <c r="O47" s="2"/>
      <c r="P47" s="2"/>
      <c r="Q47" s="2"/>
      <c r="R47" s="2"/>
      <c r="S47" s="2"/>
      <c r="T47" s="2"/>
      <c r="U47" s="2"/>
      <c r="V47" s="2"/>
      <c r="W47" s="2"/>
      <c r="X47" s="2"/>
      <c r="Y47" s="2"/>
      <c r="Z47" s="2"/>
    </row>
    <row r="48" ht="13.5" customHeight="1" spans="1:26">
      <c r="A48" s="112" t="s">
        <v>217</v>
      </c>
      <c r="B48" s="110" t="s">
        <v>7361</v>
      </c>
      <c r="C48" s="110" t="s">
        <v>219</v>
      </c>
      <c r="D48" s="111"/>
      <c r="E48" s="111"/>
      <c r="F48" s="110" t="s">
        <v>7362</v>
      </c>
      <c r="G48" s="110" t="s">
        <v>7363</v>
      </c>
      <c r="H48" s="2"/>
      <c r="I48" s="2"/>
      <c r="J48" s="2"/>
      <c r="K48" s="2"/>
      <c r="L48" s="2"/>
      <c r="M48" s="2"/>
      <c r="N48" s="2"/>
      <c r="O48" s="2"/>
      <c r="P48" s="2"/>
      <c r="Q48" s="2"/>
      <c r="R48" s="2"/>
      <c r="S48" s="2"/>
      <c r="T48" s="2"/>
      <c r="U48" s="2"/>
      <c r="V48" s="2"/>
      <c r="W48" s="2"/>
      <c r="X48" s="2"/>
      <c r="Y48" s="2"/>
      <c r="Z48" s="2"/>
    </row>
    <row r="49" ht="13.5" customHeight="1" spans="1:26">
      <c r="A49" s="112" t="s">
        <v>222</v>
      </c>
      <c r="B49" s="110" t="s">
        <v>7364</v>
      </c>
      <c r="C49" s="110" t="s">
        <v>224</v>
      </c>
      <c r="D49" s="113">
        <v>96</v>
      </c>
      <c r="E49" s="110" t="s">
        <v>21</v>
      </c>
      <c r="F49" s="110" t="s">
        <v>7365</v>
      </c>
      <c r="G49" s="110" t="s">
        <v>7366</v>
      </c>
      <c r="H49" s="2"/>
      <c r="I49" s="2"/>
      <c r="J49" s="2"/>
      <c r="K49" s="2"/>
      <c r="L49" s="2"/>
      <c r="M49" s="2"/>
      <c r="N49" s="2"/>
      <c r="O49" s="2"/>
      <c r="P49" s="2"/>
      <c r="Q49" s="2"/>
      <c r="R49" s="2"/>
      <c r="S49" s="2"/>
      <c r="T49" s="2"/>
      <c r="U49" s="2"/>
      <c r="V49" s="2"/>
      <c r="W49" s="2"/>
      <c r="X49" s="2"/>
      <c r="Y49" s="2"/>
      <c r="Z49" s="2"/>
    </row>
    <row r="50" ht="13.5" customHeight="1" spans="1:26">
      <c r="A50" s="112" t="s">
        <v>227</v>
      </c>
      <c r="B50" s="110" t="s">
        <v>7367</v>
      </c>
      <c r="C50" s="110" t="s">
        <v>229</v>
      </c>
      <c r="D50" s="113">
        <v>66</v>
      </c>
      <c r="E50" s="110" t="s">
        <v>21</v>
      </c>
      <c r="F50" s="110" t="s">
        <v>7368</v>
      </c>
      <c r="G50" s="110" t="s">
        <v>7369</v>
      </c>
      <c r="H50" s="2"/>
      <c r="I50" s="2"/>
      <c r="J50" s="2"/>
      <c r="K50" s="2"/>
      <c r="L50" s="2"/>
      <c r="M50" s="2"/>
      <c r="N50" s="2"/>
      <c r="O50" s="2"/>
      <c r="P50" s="2"/>
      <c r="Q50" s="2"/>
      <c r="R50" s="2"/>
      <c r="S50" s="2"/>
      <c r="T50" s="2"/>
      <c r="U50" s="2"/>
      <c r="V50" s="2"/>
      <c r="W50" s="2"/>
      <c r="X50" s="2"/>
      <c r="Y50" s="2"/>
      <c r="Z50" s="2"/>
    </row>
    <row r="51" ht="13.5" customHeight="1" spans="1:26">
      <c r="A51" s="112" t="s">
        <v>231</v>
      </c>
      <c r="B51" s="110" t="s">
        <v>7370</v>
      </c>
      <c r="C51" s="110" t="s">
        <v>224</v>
      </c>
      <c r="D51" s="113">
        <v>156</v>
      </c>
      <c r="E51" s="110" t="s">
        <v>21</v>
      </c>
      <c r="F51" s="110" t="s">
        <v>7371</v>
      </c>
      <c r="G51" s="110" t="s">
        <v>7372</v>
      </c>
      <c r="H51" s="2"/>
      <c r="I51" s="2"/>
      <c r="J51" s="2"/>
      <c r="K51" s="2"/>
      <c r="L51" s="2"/>
      <c r="M51" s="2"/>
      <c r="N51" s="2"/>
      <c r="O51" s="2"/>
      <c r="P51" s="2"/>
      <c r="Q51" s="2"/>
      <c r="R51" s="2"/>
      <c r="S51" s="2"/>
      <c r="T51" s="2"/>
      <c r="U51" s="2"/>
      <c r="V51" s="2"/>
      <c r="W51" s="2"/>
      <c r="X51" s="2"/>
      <c r="Y51" s="2"/>
      <c r="Z51" s="2"/>
    </row>
    <row r="52" ht="13.5" customHeight="1" spans="1:26">
      <c r="A52" s="77" t="s">
        <v>234</v>
      </c>
      <c r="B52" s="110" t="s">
        <v>7373</v>
      </c>
      <c r="C52" s="110" t="s">
        <v>236</v>
      </c>
      <c r="D52" s="26">
        <v>30</v>
      </c>
      <c r="E52" s="110" t="s">
        <v>37</v>
      </c>
      <c r="F52" s="110" t="s">
        <v>7069</v>
      </c>
      <c r="G52" s="110" t="s">
        <v>7374</v>
      </c>
      <c r="H52" s="2"/>
      <c r="I52" s="2"/>
      <c r="J52" s="2"/>
      <c r="K52" s="2"/>
      <c r="L52" s="2"/>
      <c r="M52" s="2"/>
      <c r="N52" s="2"/>
      <c r="O52" s="2"/>
      <c r="P52" s="2"/>
      <c r="Q52" s="2"/>
      <c r="R52" s="2"/>
      <c r="S52" s="2"/>
      <c r="T52" s="2"/>
      <c r="U52" s="2"/>
      <c r="V52" s="2"/>
      <c r="W52" s="2"/>
      <c r="X52" s="2"/>
      <c r="Y52" s="2"/>
      <c r="Z52" s="2"/>
    </row>
    <row r="53" ht="13.5" customHeight="1" spans="1:26">
      <c r="A53" s="112" t="s">
        <v>239</v>
      </c>
      <c r="B53" s="110" t="s">
        <v>7375</v>
      </c>
      <c r="C53" s="110" t="s">
        <v>236</v>
      </c>
      <c r="D53" s="113">
        <v>230</v>
      </c>
      <c r="E53" s="110" t="s">
        <v>21</v>
      </c>
      <c r="F53" s="110" t="s">
        <v>7376</v>
      </c>
      <c r="G53" s="110" t="s">
        <v>7377</v>
      </c>
      <c r="H53" s="2"/>
      <c r="I53" s="2"/>
      <c r="J53" s="2"/>
      <c r="K53" s="2"/>
      <c r="L53" s="2"/>
      <c r="M53" s="2"/>
      <c r="N53" s="2"/>
      <c r="O53" s="2"/>
      <c r="P53" s="2"/>
      <c r="Q53" s="2"/>
      <c r="R53" s="2"/>
      <c r="S53" s="2"/>
      <c r="T53" s="2"/>
      <c r="U53" s="2"/>
      <c r="V53" s="2"/>
      <c r="W53" s="2"/>
      <c r="X53" s="2"/>
      <c r="Y53" s="2"/>
      <c r="Z53" s="2"/>
    </row>
    <row r="54" ht="13.5" customHeight="1" spans="1:26">
      <c r="A54" s="112" t="s">
        <v>243</v>
      </c>
      <c r="B54" s="110" t="s">
        <v>7378</v>
      </c>
      <c r="C54" s="110" t="s">
        <v>236</v>
      </c>
      <c r="D54" s="113">
        <v>100</v>
      </c>
      <c r="E54" s="110" t="s">
        <v>245</v>
      </c>
      <c r="F54" s="110" t="s">
        <v>7379</v>
      </c>
      <c r="G54" s="110" t="s">
        <v>7380</v>
      </c>
      <c r="H54" s="2"/>
      <c r="I54" s="2"/>
      <c r="J54" s="2"/>
      <c r="K54" s="2"/>
      <c r="L54" s="2"/>
      <c r="M54" s="2"/>
      <c r="N54" s="2"/>
      <c r="O54" s="2"/>
      <c r="P54" s="2"/>
      <c r="Q54" s="2"/>
      <c r="R54" s="2"/>
      <c r="S54" s="2"/>
      <c r="T54" s="2"/>
      <c r="U54" s="2"/>
      <c r="V54" s="2"/>
      <c r="W54" s="2"/>
      <c r="X54" s="2"/>
      <c r="Y54" s="2"/>
      <c r="Z54" s="2"/>
    </row>
    <row r="55" ht="13.5" customHeight="1" spans="1:26">
      <c r="A55" s="112" t="s">
        <v>248</v>
      </c>
      <c r="B55" s="110" t="s">
        <v>7381</v>
      </c>
      <c r="C55" s="110" t="s">
        <v>236</v>
      </c>
      <c r="D55" s="113">
        <v>100</v>
      </c>
      <c r="E55" s="110" t="s">
        <v>245</v>
      </c>
      <c r="F55" s="110" t="s">
        <v>7382</v>
      </c>
      <c r="G55" s="110" t="s">
        <v>7383</v>
      </c>
      <c r="H55" s="2"/>
      <c r="I55" s="2"/>
      <c r="J55" s="2"/>
      <c r="K55" s="2"/>
      <c r="L55" s="2"/>
      <c r="M55" s="2"/>
      <c r="N55" s="2"/>
      <c r="O55" s="2"/>
      <c r="P55" s="2"/>
      <c r="Q55" s="2"/>
      <c r="R55" s="2"/>
      <c r="S55" s="2"/>
      <c r="T55" s="2"/>
      <c r="U55" s="2"/>
      <c r="V55" s="2"/>
      <c r="W55" s="2"/>
      <c r="X55" s="2"/>
      <c r="Y55" s="2"/>
      <c r="Z55" s="2"/>
    </row>
    <row r="56" ht="13.5" customHeight="1" spans="1:26">
      <c r="A56" s="77" t="s">
        <v>252</v>
      </c>
      <c r="B56" s="110" t="s">
        <v>7384</v>
      </c>
      <c r="C56" s="110" t="s">
        <v>236</v>
      </c>
      <c r="D56" s="26">
        <v>35</v>
      </c>
      <c r="E56" s="110" t="s">
        <v>37</v>
      </c>
      <c r="F56" s="110" t="s">
        <v>7385</v>
      </c>
      <c r="G56" s="110" t="s">
        <v>7386</v>
      </c>
      <c r="H56" s="2"/>
      <c r="I56" s="2"/>
      <c r="J56" s="2"/>
      <c r="K56" s="2"/>
      <c r="L56" s="2"/>
      <c r="M56" s="2"/>
      <c r="N56" s="2"/>
      <c r="O56" s="2"/>
      <c r="P56" s="2"/>
      <c r="Q56" s="2"/>
      <c r="R56" s="2"/>
      <c r="S56" s="2"/>
      <c r="T56" s="2"/>
      <c r="U56" s="2"/>
      <c r="V56" s="2"/>
      <c r="W56" s="2"/>
      <c r="X56" s="2"/>
      <c r="Y56" s="2"/>
      <c r="Z56" s="2"/>
    </row>
    <row r="57" ht="13.5" customHeight="1" spans="1:26">
      <c r="A57" s="77" t="s">
        <v>256</v>
      </c>
      <c r="B57" s="110" t="s">
        <v>7387</v>
      </c>
      <c r="C57" s="110" t="s">
        <v>236</v>
      </c>
      <c r="D57" s="26">
        <v>40</v>
      </c>
      <c r="E57" s="110" t="s">
        <v>37</v>
      </c>
      <c r="F57" s="110" t="s">
        <v>7388</v>
      </c>
      <c r="G57" s="110" t="s">
        <v>7389</v>
      </c>
      <c r="H57" s="2"/>
      <c r="I57" s="2"/>
      <c r="J57" s="2"/>
      <c r="K57" s="2"/>
      <c r="L57" s="2"/>
      <c r="M57" s="2"/>
      <c r="N57" s="2"/>
      <c r="O57" s="2"/>
      <c r="P57" s="2"/>
      <c r="Q57" s="2"/>
      <c r="R57" s="2"/>
      <c r="S57" s="2"/>
      <c r="T57" s="2"/>
      <c r="U57" s="2"/>
      <c r="V57" s="2"/>
      <c r="W57" s="2"/>
      <c r="X57" s="2"/>
      <c r="Y57" s="2"/>
      <c r="Z57" s="2"/>
    </row>
    <row r="58" ht="13.5" customHeight="1" spans="1:26">
      <c r="A58" s="77" t="s">
        <v>260</v>
      </c>
      <c r="B58" s="110" t="s">
        <v>7390</v>
      </c>
      <c r="C58" s="110" t="s">
        <v>236</v>
      </c>
      <c r="D58" s="26">
        <v>8</v>
      </c>
      <c r="E58" s="110" t="s">
        <v>262</v>
      </c>
      <c r="F58" s="110" t="s">
        <v>7391</v>
      </c>
      <c r="G58" s="110" t="s">
        <v>7392</v>
      </c>
      <c r="H58" s="2"/>
      <c r="I58" s="2"/>
      <c r="J58" s="2"/>
      <c r="K58" s="2"/>
      <c r="L58" s="2"/>
      <c r="M58" s="2"/>
      <c r="N58" s="2"/>
      <c r="O58" s="2"/>
      <c r="P58" s="2"/>
      <c r="Q58" s="2"/>
      <c r="R58" s="2"/>
      <c r="S58" s="2"/>
      <c r="T58" s="2"/>
      <c r="U58" s="2"/>
      <c r="V58" s="2"/>
      <c r="W58" s="2"/>
      <c r="X58" s="2"/>
      <c r="Y58" s="2"/>
      <c r="Z58" s="2"/>
    </row>
    <row r="59" ht="13.5" customHeight="1" spans="1:26">
      <c r="A59" s="77" t="s">
        <v>265</v>
      </c>
      <c r="B59" s="110" t="s">
        <v>7393</v>
      </c>
      <c r="C59" s="110" t="s">
        <v>236</v>
      </c>
      <c r="D59" s="26">
        <v>30</v>
      </c>
      <c r="E59" s="110" t="s">
        <v>37</v>
      </c>
      <c r="F59" s="110" t="s">
        <v>7394</v>
      </c>
      <c r="G59" s="110" t="s">
        <v>7395</v>
      </c>
      <c r="H59" s="2"/>
      <c r="I59" s="2"/>
      <c r="J59" s="2"/>
      <c r="K59" s="2"/>
      <c r="L59" s="2"/>
      <c r="M59" s="2"/>
      <c r="N59" s="2"/>
      <c r="O59" s="2"/>
      <c r="P59" s="2"/>
      <c r="Q59" s="2"/>
      <c r="R59" s="2"/>
      <c r="S59" s="2"/>
      <c r="T59" s="2"/>
      <c r="U59" s="2"/>
      <c r="V59" s="2"/>
      <c r="W59" s="2"/>
      <c r="X59" s="2"/>
      <c r="Y59" s="2"/>
      <c r="Z59" s="2"/>
    </row>
    <row r="60" ht="13.5" customHeight="1" spans="1:26">
      <c r="A60" s="77" t="s">
        <v>269</v>
      </c>
      <c r="B60" s="110" t="s">
        <v>270</v>
      </c>
      <c r="C60" s="110" t="s">
        <v>236</v>
      </c>
      <c r="D60" s="26">
        <v>35</v>
      </c>
      <c r="E60" s="110" t="s">
        <v>37</v>
      </c>
      <c r="F60" s="110" t="s">
        <v>271</v>
      </c>
      <c r="G60" s="110" t="s">
        <v>7396</v>
      </c>
      <c r="H60" s="2"/>
      <c r="I60" s="2"/>
      <c r="J60" s="2"/>
      <c r="K60" s="2"/>
      <c r="L60" s="2"/>
      <c r="M60" s="2"/>
      <c r="N60" s="2"/>
      <c r="O60" s="2"/>
      <c r="P60" s="2"/>
      <c r="Q60" s="2"/>
      <c r="R60" s="2"/>
      <c r="S60" s="2"/>
      <c r="T60" s="2"/>
      <c r="U60" s="2"/>
      <c r="V60" s="2"/>
      <c r="W60" s="2"/>
      <c r="X60" s="2"/>
      <c r="Y60" s="2"/>
      <c r="Z60" s="2"/>
    </row>
    <row r="61" ht="13.5" customHeight="1" spans="1:26">
      <c r="A61" s="77" t="s">
        <v>273</v>
      </c>
      <c r="B61" s="110" t="s">
        <v>274</v>
      </c>
      <c r="C61" s="110" t="s">
        <v>236</v>
      </c>
      <c r="D61" s="26">
        <v>30</v>
      </c>
      <c r="E61" s="110" t="s">
        <v>32</v>
      </c>
      <c r="F61" s="110" t="s">
        <v>275</v>
      </c>
      <c r="G61" s="110" t="s">
        <v>7397</v>
      </c>
      <c r="H61" s="2"/>
      <c r="I61" s="2"/>
      <c r="J61" s="2"/>
      <c r="K61" s="2"/>
      <c r="L61" s="2"/>
      <c r="M61" s="2"/>
      <c r="N61" s="2"/>
      <c r="O61" s="2"/>
      <c r="P61" s="2"/>
      <c r="Q61" s="2"/>
      <c r="R61" s="2"/>
      <c r="S61" s="2"/>
      <c r="T61" s="2"/>
      <c r="U61" s="2"/>
      <c r="V61" s="2"/>
      <c r="W61" s="2"/>
      <c r="X61" s="2"/>
      <c r="Y61" s="2"/>
      <c r="Z61" s="2"/>
    </row>
    <row r="62" ht="13.5" customHeight="1" spans="1:26">
      <c r="A62" s="77" t="s">
        <v>277</v>
      </c>
      <c r="B62" s="110" t="s">
        <v>7398</v>
      </c>
      <c r="C62" s="110" t="s">
        <v>236</v>
      </c>
      <c r="D62" s="26">
        <v>37</v>
      </c>
      <c r="E62" s="110" t="s">
        <v>37</v>
      </c>
      <c r="F62" s="110" t="s">
        <v>7399</v>
      </c>
      <c r="G62" s="110" t="s">
        <v>7400</v>
      </c>
      <c r="H62" s="2"/>
      <c r="I62" s="2"/>
      <c r="J62" s="2"/>
      <c r="K62" s="2"/>
      <c r="L62" s="2"/>
      <c r="M62" s="2"/>
      <c r="N62" s="2"/>
      <c r="O62" s="2"/>
      <c r="P62" s="2"/>
      <c r="Q62" s="2"/>
      <c r="R62" s="2"/>
      <c r="S62" s="2"/>
      <c r="T62" s="2"/>
      <c r="U62" s="2"/>
      <c r="V62" s="2"/>
      <c r="W62" s="2"/>
      <c r="X62" s="2"/>
      <c r="Y62" s="2"/>
      <c r="Z62" s="2"/>
    </row>
    <row r="63" ht="13.5" customHeight="1" spans="1:26">
      <c r="A63" s="77" t="s">
        <v>281</v>
      </c>
      <c r="B63" s="110" t="s">
        <v>7401</v>
      </c>
      <c r="C63" s="110" t="s">
        <v>236</v>
      </c>
      <c r="D63" s="26">
        <v>40</v>
      </c>
      <c r="E63" s="110" t="s">
        <v>37</v>
      </c>
      <c r="F63" s="110" t="s">
        <v>7402</v>
      </c>
      <c r="G63" s="110" t="s">
        <v>7403</v>
      </c>
      <c r="H63" s="2"/>
      <c r="I63" s="2"/>
      <c r="J63" s="2"/>
      <c r="K63" s="2"/>
      <c r="L63" s="2"/>
      <c r="M63" s="2"/>
      <c r="N63" s="2"/>
      <c r="O63" s="2"/>
      <c r="P63" s="2"/>
      <c r="Q63" s="2"/>
      <c r="R63" s="2"/>
      <c r="S63" s="2"/>
      <c r="T63" s="2"/>
      <c r="U63" s="2"/>
      <c r="V63" s="2"/>
      <c r="W63" s="2"/>
      <c r="X63" s="2"/>
      <c r="Y63" s="2"/>
      <c r="Z63" s="2"/>
    </row>
    <row r="64" ht="13.5" customHeight="1" spans="1:26">
      <c r="A64" s="112" t="s">
        <v>285</v>
      </c>
      <c r="B64" s="110" t="s">
        <v>7290</v>
      </c>
      <c r="C64" s="110" t="s">
        <v>286</v>
      </c>
      <c r="D64" s="113">
        <v>35</v>
      </c>
      <c r="E64" s="110" t="s">
        <v>37</v>
      </c>
      <c r="F64" s="110" t="s">
        <v>7291</v>
      </c>
      <c r="G64" s="110" t="s">
        <v>7404</v>
      </c>
      <c r="H64" s="2"/>
      <c r="I64" s="2"/>
      <c r="J64" s="2"/>
      <c r="K64" s="2"/>
      <c r="L64" s="2"/>
      <c r="M64" s="2"/>
      <c r="N64" s="2"/>
      <c r="O64" s="2"/>
      <c r="P64" s="2"/>
      <c r="Q64" s="2"/>
      <c r="R64" s="2"/>
      <c r="S64" s="2"/>
      <c r="T64" s="2"/>
      <c r="U64" s="2"/>
      <c r="V64" s="2"/>
      <c r="W64" s="2"/>
      <c r="X64" s="2"/>
      <c r="Y64" s="2"/>
      <c r="Z64" s="2"/>
    </row>
    <row r="65" ht="13.5" customHeight="1" spans="1:26">
      <c r="A65" s="77" t="s">
        <v>288</v>
      </c>
      <c r="B65" s="110" t="s">
        <v>7405</v>
      </c>
      <c r="C65" s="110" t="s">
        <v>290</v>
      </c>
      <c r="D65" s="26">
        <v>300</v>
      </c>
      <c r="E65" s="110" t="s">
        <v>37</v>
      </c>
      <c r="F65" s="110" t="s">
        <v>7406</v>
      </c>
      <c r="G65" s="110" t="s">
        <v>7407</v>
      </c>
      <c r="H65" s="2"/>
      <c r="I65" s="2"/>
      <c r="J65" s="2"/>
      <c r="K65" s="2"/>
      <c r="L65" s="2"/>
      <c r="M65" s="2"/>
      <c r="N65" s="2"/>
      <c r="O65" s="2"/>
      <c r="P65" s="2"/>
      <c r="Q65" s="2"/>
      <c r="R65" s="2"/>
      <c r="S65" s="2"/>
      <c r="T65" s="2"/>
      <c r="U65" s="2"/>
      <c r="V65" s="2"/>
      <c r="W65" s="2"/>
      <c r="X65" s="2"/>
      <c r="Y65" s="2"/>
      <c r="Z65" s="2"/>
    </row>
    <row r="66" ht="13.5" customHeight="1" spans="1:26">
      <c r="A66" s="77" t="s">
        <v>293</v>
      </c>
      <c r="B66" s="110" t="s">
        <v>7408</v>
      </c>
      <c r="C66" s="110" t="s">
        <v>290</v>
      </c>
      <c r="D66" s="26">
        <v>35</v>
      </c>
      <c r="E66" s="110" t="s">
        <v>37</v>
      </c>
      <c r="F66" s="110" t="s">
        <v>7409</v>
      </c>
      <c r="G66" s="110" t="s">
        <v>7410</v>
      </c>
      <c r="H66" s="2"/>
      <c r="I66" s="2"/>
      <c r="J66" s="2"/>
      <c r="K66" s="2"/>
      <c r="L66" s="2"/>
      <c r="M66" s="2"/>
      <c r="N66" s="2"/>
      <c r="O66" s="2"/>
      <c r="P66" s="2"/>
      <c r="Q66" s="2"/>
      <c r="R66" s="2"/>
      <c r="S66" s="2"/>
      <c r="T66" s="2"/>
      <c r="U66" s="2"/>
      <c r="V66" s="2"/>
      <c r="W66" s="2"/>
      <c r="X66" s="2"/>
      <c r="Y66" s="2"/>
      <c r="Z66" s="2"/>
    </row>
    <row r="67" ht="13.5" customHeight="1" spans="1:26">
      <c r="A67" s="112" t="s">
        <v>297</v>
      </c>
      <c r="B67" s="110" t="s">
        <v>7411</v>
      </c>
      <c r="C67" s="110" t="s">
        <v>1807</v>
      </c>
      <c r="D67" s="113">
        <v>1000</v>
      </c>
      <c r="E67" s="110" t="s">
        <v>37</v>
      </c>
      <c r="F67" s="110" t="s">
        <v>7412</v>
      </c>
      <c r="G67" s="110" t="s">
        <v>7413</v>
      </c>
      <c r="H67" s="2"/>
      <c r="I67" s="2"/>
      <c r="J67" s="2"/>
      <c r="K67" s="2"/>
      <c r="L67" s="2"/>
      <c r="M67" s="2"/>
      <c r="N67" s="2"/>
      <c r="O67" s="2"/>
      <c r="P67" s="2"/>
      <c r="Q67" s="2"/>
      <c r="R67" s="2"/>
      <c r="S67" s="2"/>
      <c r="T67" s="2"/>
      <c r="U67" s="2"/>
      <c r="V67" s="2"/>
      <c r="W67" s="2"/>
      <c r="X67" s="2"/>
      <c r="Y67" s="2"/>
      <c r="Z67" s="2"/>
    </row>
    <row r="68" ht="13.5" customHeight="1" spans="1:26">
      <c r="A68" s="112" t="s">
        <v>302</v>
      </c>
      <c r="B68" s="110" t="s">
        <v>7414</v>
      </c>
      <c r="C68" s="110" t="s">
        <v>304</v>
      </c>
      <c r="D68" s="111"/>
      <c r="E68" s="111"/>
      <c r="F68" s="110" t="s">
        <v>7415</v>
      </c>
      <c r="G68" s="110" t="s">
        <v>7416</v>
      </c>
      <c r="H68" s="2"/>
      <c r="I68" s="2"/>
      <c r="J68" s="2"/>
      <c r="K68" s="2"/>
      <c r="L68" s="2"/>
      <c r="M68" s="2"/>
      <c r="N68" s="2"/>
      <c r="O68" s="2"/>
      <c r="P68" s="2"/>
      <c r="Q68" s="2"/>
      <c r="R68" s="2"/>
      <c r="S68" s="2"/>
      <c r="T68" s="2"/>
      <c r="U68" s="2"/>
      <c r="V68" s="2"/>
      <c r="W68" s="2"/>
      <c r="X68" s="2"/>
      <c r="Y68" s="2"/>
      <c r="Z68" s="2"/>
    </row>
    <row r="69" ht="13.5" customHeight="1" spans="1:26">
      <c r="A69" s="112" t="s">
        <v>307</v>
      </c>
      <c r="B69" s="110" t="s">
        <v>7417</v>
      </c>
      <c r="C69" s="110" t="s">
        <v>309</v>
      </c>
      <c r="D69" s="113">
        <v>45</v>
      </c>
      <c r="E69" s="110" t="s">
        <v>310</v>
      </c>
      <c r="F69" s="110" t="s">
        <v>7418</v>
      </c>
      <c r="G69" s="110" t="s">
        <v>7419</v>
      </c>
      <c r="H69" s="2"/>
      <c r="I69" s="2"/>
      <c r="J69" s="2"/>
      <c r="K69" s="2"/>
      <c r="L69" s="2"/>
      <c r="M69" s="2"/>
      <c r="N69" s="2"/>
      <c r="O69" s="2"/>
      <c r="P69" s="2"/>
      <c r="Q69" s="2"/>
      <c r="R69" s="2"/>
      <c r="S69" s="2"/>
      <c r="T69" s="2"/>
      <c r="U69" s="2"/>
      <c r="V69" s="2"/>
      <c r="W69" s="2"/>
      <c r="X69" s="2"/>
      <c r="Y69" s="2"/>
      <c r="Z69" s="2"/>
    </row>
    <row r="70" ht="13.5" customHeight="1" spans="1:26">
      <c r="A70" s="112" t="s">
        <v>317</v>
      </c>
      <c r="B70" s="110" t="s">
        <v>7420</v>
      </c>
      <c r="C70" s="110" t="s">
        <v>319</v>
      </c>
      <c r="D70" s="26">
        <v>400</v>
      </c>
      <c r="E70" s="110" t="s">
        <v>245</v>
      </c>
      <c r="F70" s="110" t="s">
        <v>7421</v>
      </c>
      <c r="G70" s="110" t="s">
        <v>7422</v>
      </c>
      <c r="H70" s="2"/>
      <c r="I70" s="2"/>
      <c r="J70" s="2"/>
      <c r="K70" s="2"/>
      <c r="L70" s="2"/>
      <c r="M70" s="2"/>
      <c r="N70" s="2"/>
      <c r="O70" s="2"/>
      <c r="P70" s="2"/>
      <c r="Q70" s="2"/>
      <c r="R70" s="2"/>
      <c r="S70" s="2"/>
      <c r="T70" s="2"/>
      <c r="U70" s="2"/>
      <c r="V70" s="2"/>
      <c r="W70" s="2"/>
      <c r="X70" s="2"/>
      <c r="Y70" s="2"/>
      <c r="Z70" s="2"/>
    </row>
    <row r="71" ht="13.5" customHeight="1" spans="1:26">
      <c r="A71" s="77" t="s">
        <v>321</v>
      </c>
      <c r="B71" s="110" t="s">
        <v>7423</v>
      </c>
      <c r="C71" s="110" t="s">
        <v>7118</v>
      </c>
      <c r="D71" s="26">
        <v>13</v>
      </c>
      <c r="E71" s="110" t="s">
        <v>262</v>
      </c>
      <c r="F71" s="110" t="s">
        <v>7424</v>
      </c>
      <c r="G71" s="110" t="s">
        <v>7425</v>
      </c>
      <c r="H71" s="2"/>
      <c r="I71" s="2"/>
      <c r="J71" s="2"/>
      <c r="K71" s="2"/>
      <c r="L71" s="2"/>
      <c r="M71" s="2"/>
      <c r="N71" s="2"/>
      <c r="O71" s="2"/>
      <c r="P71" s="2"/>
      <c r="Q71" s="2"/>
      <c r="R71" s="2"/>
      <c r="S71" s="2"/>
      <c r="T71" s="2"/>
      <c r="U71" s="2"/>
      <c r="V71" s="2"/>
      <c r="W71" s="2"/>
      <c r="X71" s="2"/>
      <c r="Y71" s="2"/>
      <c r="Z71" s="2"/>
    </row>
    <row r="72" ht="13.5" customHeight="1" spans="1:26">
      <c r="A72" s="112" t="s">
        <v>325</v>
      </c>
      <c r="B72" s="110" t="s">
        <v>7426</v>
      </c>
      <c r="C72" s="110" t="s">
        <v>327</v>
      </c>
      <c r="D72" s="113">
        <v>25</v>
      </c>
      <c r="E72" s="110" t="s">
        <v>310</v>
      </c>
      <c r="F72" s="110" t="s">
        <v>7427</v>
      </c>
      <c r="G72" s="110" t="s">
        <v>7428</v>
      </c>
      <c r="H72" s="2"/>
      <c r="I72" s="2"/>
      <c r="J72" s="2"/>
      <c r="K72" s="2"/>
      <c r="L72" s="2"/>
      <c r="M72" s="2"/>
      <c r="N72" s="2"/>
      <c r="O72" s="2"/>
      <c r="P72" s="2"/>
      <c r="Q72" s="2"/>
      <c r="R72" s="2"/>
      <c r="S72" s="2"/>
      <c r="T72" s="2"/>
      <c r="U72" s="2"/>
      <c r="V72" s="2"/>
      <c r="W72" s="2"/>
      <c r="X72" s="2"/>
      <c r="Y72" s="2"/>
      <c r="Z72" s="2"/>
    </row>
    <row r="73" ht="13.5" customHeight="1" spans="1:26">
      <c r="A73" s="77" t="s">
        <v>330</v>
      </c>
      <c r="B73" s="110" t="s">
        <v>372</v>
      </c>
      <c r="C73" s="110" t="s">
        <v>315</v>
      </c>
      <c r="D73" s="26">
        <v>50</v>
      </c>
      <c r="E73" s="110" t="s">
        <v>37</v>
      </c>
      <c r="F73" s="110" t="s">
        <v>7429</v>
      </c>
      <c r="G73" s="110" t="s">
        <v>7430</v>
      </c>
      <c r="H73" s="2"/>
      <c r="I73" s="2"/>
      <c r="J73" s="2"/>
      <c r="K73" s="2"/>
      <c r="L73" s="2"/>
      <c r="M73" s="2"/>
      <c r="N73" s="2"/>
      <c r="O73" s="2"/>
      <c r="P73" s="2"/>
      <c r="Q73" s="2"/>
      <c r="R73" s="2"/>
      <c r="S73" s="2"/>
      <c r="T73" s="2"/>
      <c r="U73" s="2"/>
      <c r="V73" s="2"/>
      <c r="W73" s="2"/>
      <c r="X73" s="2"/>
      <c r="Y73" s="2"/>
      <c r="Z73" s="2"/>
    </row>
    <row r="74" ht="13.5" customHeight="1" spans="1:26">
      <c r="A74" s="77" t="s">
        <v>334</v>
      </c>
      <c r="B74" s="110" t="s">
        <v>7431</v>
      </c>
      <c r="C74" s="110" t="s">
        <v>315</v>
      </c>
      <c r="D74" s="26">
        <v>50</v>
      </c>
      <c r="E74" s="110" t="s">
        <v>37</v>
      </c>
      <c r="F74" s="110" t="s">
        <v>7432</v>
      </c>
      <c r="G74" s="118" t="s">
        <v>7433</v>
      </c>
      <c r="H74" s="2"/>
      <c r="I74" s="2"/>
      <c r="J74" s="2"/>
      <c r="K74" s="2"/>
      <c r="L74" s="2"/>
      <c r="M74" s="2"/>
      <c r="N74" s="2"/>
      <c r="O74" s="2"/>
      <c r="P74" s="2"/>
      <c r="Q74" s="2"/>
      <c r="R74" s="2"/>
      <c r="S74" s="2"/>
      <c r="T74" s="2"/>
      <c r="U74" s="2"/>
      <c r="V74" s="2"/>
      <c r="W74" s="2"/>
      <c r="X74" s="2"/>
      <c r="Y74" s="2"/>
      <c r="Z74" s="2"/>
    </row>
    <row r="75" ht="13.5" customHeight="1" spans="1:26">
      <c r="A75" s="77" t="s">
        <v>338</v>
      </c>
      <c r="B75" s="110" t="s">
        <v>7434</v>
      </c>
      <c r="C75" s="110" t="s">
        <v>315</v>
      </c>
      <c r="D75" s="26">
        <v>125</v>
      </c>
      <c r="E75" s="110" t="s">
        <v>262</v>
      </c>
      <c r="F75" s="110" t="s">
        <v>7435</v>
      </c>
      <c r="G75" s="110" t="s">
        <v>7436</v>
      </c>
      <c r="H75" s="2"/>
      <c r="I75" s="2"/>
      <c r="J75" s="2"/>
      <c r="K75" s="2"/>
      <c r="L75" s="2"/>
      <c r="M75" s="2"/>
      <c r="N75" s="2"/>
      <c r="O75" s="2"/>
      <c r="P75" s="2"/>
      <c r="Q75" s="2"/>
      <c r="R75" s="2"/>
      <c r="S75" s="2"/>
      <c r="T75" s="2"/>
      <c r="U75" s="2"/>
      <c r="V75" s="2"/>
      <c r="W75" s="2"/>
      <c r="X75" s="2"/>
      <c r="Y75" s="2"/>
      <c r="Z75" s="2"/>
    </row>
    <row r="76" ht="13.5" customHeight="1" spans="1:26">
      <c r="A76" s="77" t="s">
        <v>342</v>
      </c>
      <c r="B76" s="110" t="s">
        <v>3877</v>
      </c>
      <c r="C76" s="110" t="s">
        <v>315</v>
      </c>
      <c r="D76" s="26">
        <v>45</v>
      </c>
      <c r="E76" s="110" t="s">
        <v>262</v>
      </c>
      <c r="F76" s="110" t="s">
        <v>7132</v>
      </c>
      <c r="G76" s="110" t="s">
        <v>7437</v>
      </c>
      <c r="H76" s="2"/>
      <c r="I76" s="2"/>
      <c r="J76" s="2"/>
      <c r="K76" s="2"/>
      <c r="L76" s="2"/>
      <c r="M76" s="2"/>
      <c r="N76" s="2"/>
      <c r="O76" s="2"/>
      <c r="P76" s="2"/>
      <c r="Q76" s="2"/>
      <c r="R76" s="2"/>
      <c r="S76" s="2"/>
      <c r="T76" s="2"/>
      <c r="U76" s="2"/>
      <c r="V76" s="2"/>
      <c r="W76" s="2"/>
      <c r="X76" s="2"/>
      <c r="Y76" s="2"/>
      <c r="Z76" s="2"/>
    </row>
    <row r="77" ht="13.5" customHeight="1" spans="1:26">
      <c r="A77" s="77" t="s">
        <v>346</v>
      </c>
      <c r="B77" s="110" t="s">
        <v>347</v>
      </c>
      <c r="C77" s="110" t="s">
        <v>315</v>
      </c>
      <c r="D77" s="26">
        <v>55</v>
      </c>
      <c r="E77" s="110" t="s">
        <v>37</v>
      </c>
      <c r="F77" s="110" t="s">
        <v>348</v>
      </c>
      <c r="G77" s="118" t="s">
        <v>7438</v>
      </c>
      <c r="H77" s="2"/>
      <c r="I77" s="2"/>
      <c r="J77" s="2"/>
      <c r="K77" s="2"/>
      <c r="L77" s="2"/>
      <c r="M77" s="2"/>
      <c r="N77" s="2"/>
      <c r="O77" s="2"/>
      <c r="P77" s="2"/>
      <c r="Q77" s="2"/>
      <c r="R77" s="2"/>
      <c r="S77" s="2"/>
      <c r="T77" s="2"/>
      <c r="U77" s="2"/>
      <c r="V77" s="2"/>
      <c r="W77" s="2"/>
      <c r="X77" s="2"/>
      <c r="Y77" s="2"/>
      <c r="Z77" s="2"/>
    </row>
    <row r="78" ht="13.5" customHeight="1" spans="1:26">
      <c r="A78" s="77" t="s">
        <v>350</v>
      </c>
      <c r="B78" s="110" t="s">
        <v>7439</v>
      </c>
      <c r="C78" s="110" t="s">
        <v>315</v>
      </c>
      <c r="D78" s="26">
        <v>20</v>
      </c>
      <c r="E78" s="110" t="s">
        <v>262</v>
      </c>
      <c r="F78" s="110" t="s">
        <v>7440</v>
      </c>
      <c r="G78" s="110" t="s">
        <v>7441</v>
      </c>
      <c r="H78" s="2"/>
      <c r="I78" s="2"/>
      <c r="J78" s="2"/>
      <c r="K78" s="2"/>
      <c r="L78" s="2"/>
      <c r="M78" s="2"/>
      <c r="N78" s="2"/>
      <c r="O78" s="2"/>
      <c r="P78" s="2"/>
      <c r="Q78" s="2"/>
      <c r="R78" s="2"/>
      <c r="S78" s="2"/>
      <c r="T78" s="2"/>
      <c r="U78" s="2"/>
      <c r="V78" s="2"/>
      <c r="W78" s="2"/>
      <c r="X78" s="2"/>
      <c r="Y78" s="2"/>
      <c r="Z78" s="2"/>
    </row>
    <row r="79" ht="13.5" customHeight="1" spans="1:26">
      <c r="A79" s="112" t="s">
        <v>354</v>
      </c>
      <c r="B79" s="110" t="s">
        <v>355</v>
      </c>
      <c r="C79" s="110" t="s">
        <v>356</v>
      </c>
      <c r="D79" s="26">
        <v>123</v>
      </c>
      <c r="E79" s="110" t="s">
        <v>310</v>
      </c>
      <c r="F79" s="110" t="s">
        <v>357</v>
      </c>
      <c r="G79" s="110" t="s">
        <v>1301</v>
      </c>
      <c r="H79" s="2"/>
      <c r="I79" s="2"/>
      <c r="J79" s="2"/>
      <c r="K79" s="2"/>
      <c r="L79" s="2"/>
      <c r="M79" s="2"/>
      <c r="N79" s="2"/>
      <c r="O79" s="2"/>
      <c r="P79" s="2"/>
      <c r="Q79" s="2"/>
      <c r="R79" s="2"/>
      <c r="S79" s="2"/>
      <c r="T79" s="2"/>
      <c r="U79" s="2"/>
      <c r="V79" s="2"/>
      <c r="W79" s="2"/>
      <c r="X79" s="2"/>
      <c r="Y79" s="2"/>
      <c r="Z79" s="2"/>
    </row>
    <row r="80" ht="13.5" customHeight="1" spans="1:26">
      <c r="A80" s="112" t="s">
        <v>359</v>
      </c>
      <c r="B80" s="110" t="s">
        <v>1981</v>
      </c>
      <c r="C80" s="110" t="s">
        <v>361</v>
      </c>
      <c r="D80" s="26">
        <v>55</v>
      </c>
      <c r="E80" s="110" t="s">
        <v>310</v>
      </c>
      <c r="F80" s="110" t="s">
        <v>7442</v>
      </c>
      <c r="G80" s="110" t="s">
        <v>7443</v>
      </c>
      <c r="H80" s="2"/>
      <c r="I80" s="2"/>
      <c r="J80" s="2"/>
      <c r="K80" s="2"/>
      <c r="L80" s="2"/>
      <c r="M80" s="2"/>
      <c r="N80" s="2"/>
      <c r="O80" s="2"/>
      <c r="P80" s="2"/>
      <c r="Q80" s="2"/>
      <c r="R80" s="2"/>
      <c r="S80" s="2"/>
      <c r="T80" s="2"/>
      <c r="U80" s="2"/>
      <c r="V80" s="2"/>
      <c r="W80" s="2"/>
      <c r="X80" s="2"/>
      <c r="Y80" s="2"/>
      <c r="Z80" s="2"/>
    </row>
    <row r="81" ht="13.5" customHeight="1" spans="1:26">
      <c r="A81" s="77" t="s">
        <v>364</v>
      </c>
      <c r="B81" s="110" t="s">
        <v>365</v>
      </c>
      <c r="C81" s="110" t="s">
        <v>366</v>
      </c>
      <c r="D81" s="26">
        <v>35</v>
      </c>
      <c r="E81" s="110" t="s">
        <v>262</v>
      </c>
      <c r="F81" s="110" t="s">
        <v>367</v>
      </c>
      <c r="G81" s="119" t="str">
        <f>HYPERLINK("http://www.ebay.com/","www.ebay.com")</f>
        <v>www.ebay.com</v>
      </c>
      <c r="H81" s="2"/>
      <c r="I81" s="2"/>
      <c r="J81" s="2"/>
      <c r="K81" s="2"/>
      <c r="L81" s="2"/>
      <c r="M81" s="2"/>
      <c r="N81" s="2"/>
      <c r="O81" s="2"/>
      <c r="P81" s="2"/>
      <c r="Q81" s="2"/>
      <c r="R81" s="2"/>
      <c r="S81" s="2"/>
      <c r="T81" s="2"/>
      <c r="U81" s="2"/>
      <c r="V81" s="2"/>
      <c r="W81" s="2"/>
      <c r="X81" s="2"/>
      <c r="Y81" s="2"/>
      <c r="Z81" s="2"/>
    </row>
    <row r="82" ht="13.5" customHeight="1" spans="1:26">
      <c r="A82" s="77" t="s">
        <v>368</v>
      </c>
      <c r="B82" s="110" t="s">
        <v>369</v>
      </c>
      <c r="C82" s="110" t="s">
        <v>366</v>
      </c>
      <c r="D82" s="26">
        <v>30</v>
      </c>
      <c r="E82" s="110" t="s">
        <v>262</v>
      </c>
      <c r="F82" s="110" t="s">
        <v>370</v>
      </c>
      <c r="G82" s="110" t="s">
        <v>7142</v>
      </c>
      <c r="H82" s="2"/>
      <c r="I82" s="2"/>
      <c r="J82" s="2"/>
      <c r="K82" s="2"/>
      <c r="L82" s="2"/>
      <c r="M82" s="2"/>
      <c r="N82" s="2"/>
      <c r="O82" s="2"/>
      <c r="P82" s="2"/>
      <c r="Q82" s="2"/>
      <c r="R82" s="2"/>
      <c r="S82" s="2"/>
      <c r="T82" s="2"/>
      <c r="U82" s="2"/>
      <c r="V82" s="2"/>
      <c r="W82" s="2"/>
      <c r="X82" s="2"/>
      <c r="Y82" s="2"/>
      <c r="Z82" s="2"/>
    </row>
    <row r="83" ht="13.5" customHeight="1" spans="1:26">
      <c r="A83" s="77" t="s">
        <v>371</v>
      </c>
      <c r="B83" s="110" t="s">
        <v>7444</v>
      </c>
      <c r="C83" s="110" t="s">
        <v>373</v>
      </c>
      <c r="D83" s="26">
        <v>35</v>
      </c>
      <c r="E83" s="110" t="s">
        <v>37</v>
      </c>
      <c r="F83" s="110" t="s">
        <v>7445</v>
      </c>
      <c r="G83" s="110" t="s">
        <v>7446</v>
      </c>
      <c r="H83" s="2"/>
      <c r="I83" s="2"/>
      <c r="J83" s="2"/>
      <c r="K83" s="2"/>
      <c r="L83" s="2"/>
      <c r="M83" s="2"/>
      <c r="N83" s="2"/>
      <c r="O83" s="2"/>
      <c r="P83" s="2"/>
      <c r="Q83" s="2"/>
      <c r="R83" s="2"/>
      <c r="S83" s="2"/>
      <c r="T83" s="2"/>
      <c r="U83" s="2"/>
      <c r="V83" s="2"/>
      <c r="W83" s="2"/>
      <c r="X83" s="2"/>
      <c r="Y83" s="2"/>
      <c r="Z83" s="2"/>
    </row>
    <row r="84" ht="13.5" customHeight="1" spans="1:26">
      <c r="A84" s="77" t="s">
        <v>375</v>
      </c>
      <c r="B84" s="110" t="s">
        <v>7447</v>
      </c>
      <c r="C84" s="110" t="s">
        <v>7147</v>
      </c>
      <c r="D84" s="26">
        <v>90</v>
      </c>
      <c r="E84" s="110" t="s">
        <v>37</v>
      </c>
      <c r="F84" s="110" t="s">
        <v>7448</v>
      </c>
      <c r="G84" s="110" t="s">
        <v>7449</v>
      </c>
      <c r="H84" s="2"/>
      <c r="I84" s="2"/>
      <c r="J84" s="2"/>
      <c r="K84" s="2"/>
      <c r="L84" s="2"/>
      <c r="M84" s="2"/>
      <c r="N84" s="2"/>
      <c r="O84" s="2"/>
      <c r="P84" s="2"/>
      <c r="Q84" s="2"/>
      <c r="R84" s="2"/>
      <c r="S84" s="2"/>
      <c r="T84" s="2"/>
      <c r="U84" s="2"/>
      <c r="V84" s="2"/>
      <c r="W84" s="2"/>
      <c r="X84" s="2"/>
      <c r="Y84" s="2"/>
      <c r="Z84" s="2"/>
    </row>
    <row r="85" ht="13.5" customHeight="1" spans="1:26">
      <c r="A85" s="77" t="s">
        <v>379</v>
      </c>
      <c r="B85" s="110" t="s">
        <v>1835</v>
      </c>
      <c r="C85" s="110" t="s">
        <v>7147</v>
      </c>
      <c r="D85" s="26">
        <v>66</v>
      </c>
      <c r="E85" s="110" t="s">
        <v>21</v>
      </c>
      <c r="F85" s="110" t="s">
        <v>7450</v>
      </c>
      <c r="G85" s="110" t="s">
        <v>1837</v>
      </c>
      <c r="H85" s="2"/>
      <c r="I85" s="2"/>
      <c r="J85" s="2"/>
      <c r="K85" s="2"/>
      <c r="L85" s="2"/>
      <c r="M85" s="2"/>
      <c r="N85" s="2"/>
      <c r="O85" s="2"/>
      <c r="P85" s="2"/>
      <c r="Q85" s="2"/>
      <c r="R85" s="2"/>
      <c r="S85" s="2"/>
      <c r="T85" s="2"/>
      <c r="U85" s="2"/>
      <c r="V85" s="2"/>
      <c r="W85" s="2"/>
      <c r="X85" s="2"/>
      <c r="Y85" s="2"/>
      <c r="Z85" s="2"/>
    </row>
    <row r="86" ht="13.5" customHeight="1" spans="1:26">
      <c r="A86" s="112" t="s">
        <v>383</v>
      </c>
      <c r="B86" s="110" t="s">
        <v>7451</v>
      </c>
      <c r="C86" s="110" t="s">
        <v>7147</v>
      </c>
      <c r="D86" s="26">
        <v>150</v>
      </c>
      <c r="E86" s="110" t="s">
        <v>310</v>
      </c>
      <c r="F86" s="110" t="s">
        <v>7452</v>
      </c>
      <c r="G86" s="110" t="s">
        <v>7453</v>
      </c>
      <c r="H86" s="2"/>
      <c r="I86" s="2"/>
      <c r="J86" s="2"/>
      <c r="K86" s="2"/>
      <c r="L86" s="2"/>
      <c r="M86" s="2"/>
      <c r="N86" s="2"/>
      <c r="O86" s="2"/>
      <c r="P86" s="2"/>
      <c r="Q86" s="2"/>
      <c r="R86" s="2"/>
      <c r="S86" s="2"/>
      <c r="T86" s="2"/>
      <c r="U86" s="2"/>
      <c r="V86" s="2"/>
      <c r="W86" s="2"/>
      <c r="X86" s="2"/>
      <c r="Y86" s="2"/>
      <c r="Z86" s="2"/>
    </row>
    <row r="87" ht="13.5" customHeight="1" spans="1:26">
      <c r="A87" s="112" t="s">
        <v>387</v>
      </c>
      <c r="B87" s="110" t="s">
        <v>7156</v>
      </c>
      <c r="C87" s="110" t="s">
        <v>373</v>
      </c>
      <c r="D87" s="26">
        <v>76</v>
      </c>
      <c r="E87" s="110" t="s">
        <v>37</v>
      </c>
      <c r="F87" s="110" t="s">
        <v>7157</v>
      </c>
      <c r="G87" s="110" t="s">
        <v>7454</v>
      </c>
      <c r="H87" s="2"/>
      <c r="I87" s="2"/>
      <c r="J87" s="2"/>
      <c r="K87" s="2"/>
      <c r="L87" s="2"/>
      <c r="M87" s="2"/>
      <c r="N87" s="2"/>
      <c r="O87" s="2"/>
      <c r="P87" s="2"/>
      <c r="Q87" s="2"/>
      <c r="R87" s="2"/>
      <c r="S87" s="2"/>
      <c r="T87" s="2"/>
      <c r="U87" s="2"/>
      <c r="V87" s="2"/>
      <c r="W87" s="2"/>
      <c r="X87" s="2"/>
      <c r="Y87" s="2"/>
      <c r="Z87" s="2"/>
    </row>
    <row r="88" ht="13.5" customHeight="1" spans="1:26">
      <c r="A88" s="112" t="s">
        <v>391</v>
      </c>
      <c r="B88" s="110" t="s">
        <v>392</v>
      </c>
      <c r="C88" s="110" t="s">
        <v>393</v>
      </c>
      <c r="D88" s="113">
        <v>3500</v>
      </c>
      <c r="E88" s="110" t="s">
        <v>21</v>
      </c>
      <c r="F88" s="110" t="s">
        <v>394</v>
      </c>
      <c r="G88" s="110" t="s">
        <v>1842</v>
      </c>
      <c r="H88" s="2"/>
      <c r="I88" s="2"/>
      <c r="J88" s="2"/>
      <c r="K88" s="2"/>
      <c r="L88" s="2"/>
      <c r="M88" s="2"/>
      <c r="N88" s="2"/>
      <c r="O88" s="2"/>
      <c r="P88" s="2"/>
      <c r="Q88" s="2"/>
      <c r="R88" s="2"/>
      <c r="S88" s="2"/>
      <c r="T88" s="2"/>
      <c r="U88" s="2"/>
      <c r="V88" s="2"/>
      <c r="W88" s="2"/>
      <c r="X88" s="2"/>
      <c r="Y88" s="2"/>
      <c r="Z88" s="2"/>
    </row>
    <row r="89" ht="13.5" customHeight="1" spans="1:26">
      <c r="A89" s="112" t="s">
        <v>395</v>
      </c>
      <c r="B89" s="110" t="s">
        <v>396</v>
      </c>
      <c r="C89" s="110" t="s">
        <v>393</v>
      </c>
      <c r="D89" s="113">
        <v>1230</v>
      </c>
      <c r="E89" s="110" t="s">
        <v>21</v>
      </c>
      <c r="F89" s="110" t="s">
        <v>397</v>
      </c>
      <c r="G89" s="110" t="s">
        <v>398</v>
      </c>
      <c r="H89" s="2"/>
      <c r="I89" s="2"/>
      <c r="J89" s="2"/>
      <c r="K89" s="2"/>
      <c r="L89" s="2"/>
      <c r="M89" s="2"/>
      <c r="N89" s="2"/>
      <c r="O89" s="2"/>
      <c r="P89" s="2"/>
      <c r="Q89" s="2"/>
      <c r="R89" s="2"/>
      <c r="S89" s="2"/>
      <c r="T89" s="2"/>
      <c r="U89" s="2"/>
      <c r="V89" s="2"/>
      <c r="W89" s="2"/>
      <c r="X89" s="2"/>
      <c r="Y89" s="2"/>
      <c r="Z89" s="2"/>
    </row>
    <row r="90" ht="13.5" customHeight="1" spans="1:26">
      <c r="A90" s="112" t="s">
        <v>399</v>
      </c>
      <c r="B90" s="110" t="s">
        <v>7455</v>
      </c>
      <c r="C90" s="110" t="s">
        <v>224</v>
      </c>
      <c r="D90" s="26">
        <v>130</v>
      </c>
      <c r="E90" s="110" t="s">
        <v>262</v>
      </c>
      <c r="F90" s="110" t="s">
        <v>7456</v>
      </c>
      <c r="G90" s="110" t="s">
        <v>7457</v>
      </c>
      <c r="H90" s="2"/>
      <c r="I90" s="2"/>
      <c r="J90" s="2"/>
      <c r="K90" s="2"/>
      <c r="L90" s="2"/>
      <c r="M90" s="2"/>
      <c r="N90" s="2"/>
      <c r="O90" s="2"/>
      <c r="P90" s="2"/>
      <c r="Q90" s="2"/>
      <c r="R90" s="2"/>
      <c r="S90" s="2"/>
      <c r="T90" s="2"/>
      <c r="U90" s="2"/>
      <c r="V90" s="2"/>
      <c r="W90" s="2"/>
      <c r="X90" s="2"/>
      <c r="Y90" s="2"/>
      <c r="Z90" s="2"/>
    </row>
    <row r="91" ht="13.5" customHeight="1" spans="1:26">
      <c r="A91" s="112" t="s">
        <v>403</v>
      </c>
      <c r="B91" s="110" t="s">
        <v>7458</v>
      </c>
      <c r="C91" s="110" t="s">
        <v>229</v>
      </c>
      <c r="D91" s="26">
        <v>500</v>
      </c>
      <c r="E91" s="110" t="s">
        <v>21</v>
      </c>
      <c r="F91" s="110" t="s">
        <v>7459</v>
      </c>
      <c r="G91" s="110" t="s">
        <v>7460</v>
      </c>
      <c r="H91" s="2"/>
      <c r="I91" s="2"/>
      <c r="J91" s="2"/>
      <c r="K91" s="2"/>
      <c r="L91" s="2"/>
      <c r="M91" s="2"/>
      <c r="N91" s="2"/>
      <c r="O91" s="2"/>
      <c r="P91" s="2"/>
      <c r="Q91" s="2"/>
      <c r="R91" s="2"/>
      <c r="S91" s="2"/>
      <c r="T91" s="2"/>
      <c r="U91" s="2"/>
      <c r="V91" s="2"/>
      <c r="W91" s="2"/>
      <c r="X91" s="2"/>
      <c r="Y91" s="2"/>
      <c r="Z91" s="2"/>
    </row>
    <row r="92" ht="13.5" customHeight="1" spans="1:26">
      <c r="A92" s="112" t="s">
        <v>407</v>
      </c>
      <c r="B92" s="110" t="s">
        <v>7461</v>
      </c>
      <c r="C92" s="110" t="s">
        <v>229</v>
      </c>
      <c r="D92" s="26">
        <v>350</v>
      </c>
      <c r="E92" s="110" t="s">
        <v>21</v>
      </c>
      <c r="F92" s="110" t="s">
        <v>7462</v>
      </c>
      <c r="G92" s="110" t="s">
        <v>7463</v>
      </c>
      <c r="H92" s="2"/>
      <c r="I92" s="2"/>
      <c r="J92" s="2"/>
      <c r="K92" s="2"/>
      <c r="L92" s="2"/>
      <c r="M92" s="2"/>
      <c r="N92" s="2"/>
      <c r="O92" s="2"/>
      <c r="P92" s="2"/>
      <c r="Q92" s="2"/>
      <c r="R92" s="2"/>
      <c r="S92" s="2"/>
      <c r="T92" s="2"/>
      <c r="U92" s="2"/>
      <c r="V92" s="2"/>
      <c r="W92" s="2"/>
      <c r="X92" s="2"/>
      <c r="Y92" s="2"/>
      <c r="Z92" s="2"/>
    </row>
    <row r="93" ht="13.5" customHeight="1" spans="1:26">
      <c r="A93" s="112" t="s">
        <v>411</v>
      </c>
      <c r="B93" s="110" t="s">
        <v>7464</v>
      </c>
      <c r="C93" s="110" t="s">
        <v>413</v>
      </c>
      <c r="D93" s="113">
        <v>50</v>
      </c>
      <c r="E93" s="110" t="s">
        <v>310</v>
      </c>
      <c r="F93" s="110" t="s">
        <v>7465</v>
      </c>
      <c r="G93" s="110" t="s">
        <v>7466</v>
      </c>
      <c r="H93" s="2"/>
      <c r="I93" s="2"/>
      <c r="J93" s="2"/>
      <c r="K93" s="2"/>
      <c r="L93" s="2"/>
      <c r="M93" s="2"/>
      <c r="N93" s="2"/>
      <c r="O93" s="2"/>
      <c r="P93" s="2"/>
      <c r="Q93" s="2"/>
      <c r="R93" s="2"/>
      <c r="S93" s="2"/>
      <c r="T93" s="2"/>
      <c r="U93" s="2"/>
      <c r="V93" s="2"/>
      <c r="W93" s="2"/>
      <c r="X93" s="2"/>
      <c r="Y93" s="2"/>
      <c r="Z93" s="2"/>
    </row>
    <row r="94" ht="13.5" customHeight="1" spans="1:26">
      <c r="A94" s="112" t="s">
        <v>416</v>
      </c>
      <c r="B94" s="110" t="s">
        <v>7467</v>
      </c>
      <c r="C94" s="110" t="s">
        <v>418</v>
      </c>
      <c r="D94" s="113">
        <v>35</v>
      </c>
      <c r="E94" s="110" t="s">
        <v>310</v>
      </c>
      <c r="F94" s="110" t="s">
        <v>7468</v>
      </c>
      <c r="G94" s="110" t="s">
        <v>7469</v>
      </c>
      <c r="H94" s="2"/>
      <c r="I94" s="2"/>
      <c r="J94" s="2"/>
      <c r="K94" s="2"/>
      <c r="L94" s="2"/>
      <c r="M94" s="2"/>
      <c r="N94" s="2"/>
      <c r="O94" s="2"/>
      <c r="P94" s="2"/>
      <c r="Q94" s="2"/>
      <c r="R94" s="2"/>
      <c r="S94" s="2"/>
      <c r="T94" s="2"/>
      <c r="U94" s="2"/>
      <c r="V94" s="2"/>
      <c r="W94" s="2"/>
      <c r="X94" s="2"/>
      <c r="Y94" s="2"/>
      <c r="Z94" s="2"/>
    </row>
    <row r="95" ht="13.5" customHeight="1" spans="1:26">
      <c r="A95" s="112" t="s">
        <v>421</v>
      </c>
      <c r="B95" s="110" t="s">
        <v>3903</v>
      </c>
      <c r="C95" s="110" t="s">
        <v>423</v>
      </c>
      <c r="D95" s="113">
        <v>67</v>
      </c>
      <c r="E95" s="110" t="s">
        <v>310</v>
      </c>
      <c r="F95" s="110" t="s">
        <v>7470</v>
      </c>
      <c r="G95" s="110" t="s">
        <v>7471</v>
      </c>
      <c r="H95" s="2"/>
      <c r="I95" s="2"/>
      <c r="J95" s="2"/>
      <c r="K95" s="2"/>
      <c r="L95" s="2"/>
      <c r="M95" s="2"/>
      <c r="N95" s="2"/>
      <c r="O95" s="2"/>
      <c r="P95" s="2"/>
      <c r="Q95" s="2"/>
      <c r="R95" s="2"/>
      <c r="S95" s="2"/>
      <c r="T95" s="2"/>
      <c r="U95" s="2"/>
      <c r="V95" s="2"/>
      <c r="W95" s="2"/>
      <c r="X95" s="2"/>
      <c r="Y95" s="2"/>
      <c r="Z95" s="2"/>
    </row>
    <row r="96" ht="13.5" customHeight="1" spans="1:26">
      <c r="A96" s="112" t="s">
        <v>426</v>
      </c>
      <c r="B96" s="110" t="s">
        <v>7472</v>
      </c>
      <c r="C96" s="110" t="s">
        <v>428</v>
      </c>
      <c r="D96" s="26">
        <v>13</v>
      </c>
      <c r="E96" s="110" t="s">
        <v>262</v>
      </c>
      <c r="F96" s="110" t="s">
        <v>7473</v>
      </c>
      <c r="G96" s="110" t="s">
        <v>7474</v>
      </c>
      <c r="H96" s="2"/>
      <c r="I96" s="2"/>
      <c r="J96" s="2"/>
      <c r="K96" s="2"/>
      <c r="L96" s="2"/>
      <c r="M96" s="2"/>
      <c r="N96" s="2"/>
      <c r="O96" s="2"/>
      <c r="P96" s="2"/>
      <c r="Q96" s="2"/>
      <c r="R96" s="2"/>
      <c r="S96" s="2"/>
      <c r="T96" s="2"/>
      <c r="U96" s="2"/>
      <c r="V96" s="2"/>
      <c r="W96" s="2"/>
      <c r="X96" s="2"/>
      <c r="Y96" s="2"/>
      <c r="Z96" s="2"/>
    </row>
    <row r="97" ht="13.5" customHeight="1" spans="1:26">
      <c r="A97" s="112" t="s">
        <v>431</v>
      </c>
      <c r="B97" s="110" t="s">
        <v>7475</v>
      </c>
      <c r="C97" s="110" t="s">
        <v>428</v>
      </c>
      <c r="D97" s="26">
        <v>879</v>
      </c>
      <c r="E97" s="110" t="s">
        <v>21</v>
      </c>
      <c r="F97" s="110" t="s">
        <v>7476</v>
      </c>
      <c r="G97" s="110" t="s">
        <v>7477</v>
      </c>
      <c r="H97" s="2"/>
      <c r="I97" s="2"/>
      <c r="J97" s="2"/>
      <c r="K97" s="2"/>
      <c r="L97" s="2"/>
      <c r="M97" s="2"/>
      <c r="N97" s="2"/>
      <c r="O97" s="2"/>
      <c r="P97" s="2"/>
      <c r="Q97" s="2"/>
      <c r="R97" s="2"/>
      <c r="S97" s="2"/>
      <c r="T97" s="2"/>
      <c r="U97" s="2"/>
      <c r="V97" s="2"/>
      <c r="W97" s="2"/>
      <c r="X97" s="2"/>
      <c r="Y97" s="2"/>
      <c r="Z97" s="2"/>
    </row>
    <row r="98" ht="13.5" customHeight="1" spans="1:26">
      <c r="A98" s="112" t="s">
        <v>435</v>
      </c>
      <c r="B98" s="110" t="s">
        <v>7478</v>
      </c>
      <c r="C98" s="110" t="s">
        <v>428</v>
      </c>
      <c r="D98" s="113">
        <v>1000</v>
      </c>
      <c r="E98" s="110" t="s">
        <v>21</v>
      </c>
      <c r="F98" s="110" t="s">
        <v>7479</v>
      </c>
      <c r="G98" s="110" t="s">
        <v>7480</v>
      </c>
      <c r="H98" s="2"/>
      <c r="I98" s="2"/>
      <c r="J98" s="2"/>
      <c r="K98" s="2"/>
      <c r="L98" s="2"/>
      <c r="M98" s="2"/>
      <c r="N98" s="2"/>
      <c r="O98" s="2"/>
      <c r="P98" s="2"/>
      <c r="Q98" s="2"/>
      <c r="R98" s="2"/>
      <c r="S98" s="2"/>
      <c r="T98" s="2"/>
      <c r="U98" s="2"/>
      <c r="V98" s="2"/>
      <c r="W98" s="2"/>
      <c r="X98" s="2"/>
      <c r="Y98" s="2"/>
      <c r="Z98" s="2"/>
    </row>
    <row r="99" ht="13.5" customHeight="1" spans="1:26">
      <c r="A99" s="77" t="s">
        <v>439</v>
      </c>
      <c r="B99" s="110" t="s">
        <v>1123</v>
      </c>
      <c r="C99" s="110" t="s">
        <v>315</v>
      </c>
      <c r="D99" s="26">
        <v>15</v>
      </c>
      <c r="E99" s="110" t="s">
        <v>37</v>
      </c>
      <c r="F99" s="110" t="s">
        <v>7181</v>
      </c>
      <c r="G99" s="110" t="s">
        <v>7481</v>
      </c>
      <c r="H99" s="2"/>
      <c r="I99" s="2"/>
      <c r="J99" s="2"/>
      <c r="K99" s="2"/>
      <c r="L99" s="2"/>
      <c r="M99" s="2"/>
      <c r="N99" s="2"/>
      <c r="O99" s="2"/>
      <c r="P99" s="2"/>
      <c r="Q99" s="2"/>
      <c r="R99" s="2"/>
      <c r="S99" s="2"/>
      <c r="T99" s="2"/>
      <c r="U99" s="2"/>
      <c r="V99" s="2"/>
      <c r="W99" s="2"/>
      <c r="X99" s="2"/>
      <c r="Y99" s="2"/>
      <c r="Z99" s="2"/>
    </row>
    <row r="100" ht="13.5" customHeight="1" spans="1:26">
      <c r="A100" s="112" t="s">
        <v>443</v>
      </c>
      <c r="B100" s="110" t="s">
        <v>7482</v>
      </c>
      <c r="C100" s="110" t="s">
        <v>772</v>
      </c>
      <c r="D100" s="113">
        <v>188</v>
      </c>
      <c r="E100" s="110" t="s">
        <v>310</v>
      </c>
      <c r="F100" s="110" t="s">
        <v>7483</v>
      </c>
      <c r="G100" s="110" t="s">
        <v>7484</v>
      </c>
      <c r="H100" s="2"/>
      <c r="I100" s="2"/>
      <c r="J100" s="2"/>
      <c r="K100" s="2"/>
      <c r="L100" s="2"/>
      <c r="M100" s="2"/>
      <c r="N100" s="2"/>
      <c r="O100" s="2"/>
      <c r="P100" s="2"/>
      <c r="Q100" s="2"/>
      <c r="R100" s="2"/>
      <c r="S100" s="2"/>
      <c r="T100" s="2"/>
      <c r="U100" s="2"/>
      <c r="V100" s="2"/>
      <c r="W100" s="2"/>
      <c r="X100" s="2"/>
      <c r="Y100" s="2"/>
      <c r="Z100" s="2"/>
    </row>
    <row r="101" ht="13.5" customHeight="1" spans="1:26">
      <c r="A101" s="112" t="s">
        <v>448</v>
      </c>
      <c r="B101" s="110" t="s">
        <v>7485</v>
      </c>
      <c r="C101" s="110" t="s">
        <v>450</v>
      </c>
      <c r="D101" s="26">
        <v>95</v>
      </c>
      <c r="E101" s="110" t="s">
        <v>310</v>
      </c>
      <c r="F101" s="110" t="s">
        <v>7486</v>
      </c>
      <c r="G101" s="110" t="s">
        <v>7487</v>
      </c>
      <c r="H101" s="2"/>
      <c r="I101" s="2"/>
      <c r="J101" s="2"/>
      <c r="K101" s="2"/>
      <c r="L101" s="2"/>
      <c r="M101" s="2"/>
      <c r="N101" s="2"/>
      <c r="O101" s="2"/>
      <c r="P101" s="2"/>
      <c r="Q101" s="2"/>
      <c r="R101" s="2"/>
      <c r="S101" s="2"/>
      <c r="T101" s="2"/>
      <c r="U101" s="2"/>
      <c r="V101" s="2"/>
      <c r="W101" s="2"/>
      <c r="X101" s="2"/>
      <c r="Y101" s="2"/>
      <c r="Z101" s="2"/>
    </row>
    <row r="102" ht="13.5" customHeight="1" spans="1:26">
      <c r="A102" s="112" t="s">
        <v>452</v>
      </c>
      <c r="B102" s="110" t="s">
        <v>7488</v>
      </c>
      <c r="C102" s="110" t="s">
        <v>450</v>
      </c>
      <c r="D102" s="26">
        <v>89</v>
      </c>
      <c r="E102" s="110" t="s">
        <v>310</v>
      </c>
      <c r="F102" s="110" t="s">
        <v>7489</v>
      </c>
      <c r="G102" s="110" t="s">
        <v>7490</v>
      </c>
      <c r="H102" s="2"/>
      <c r="I102" s="2"/>
      <c r="J102" s="2"/>
      <c r="K102" s="2"/>
      <c r="L102" s="2"/>
      <c r="M102" s="2"/>
      <c r="N102" s="2"/>
      <c r="O102" s="2"/>
      <c r="P102" s="2"/>
      <c r="Q102" s="2"/>
      <c r="R102" s="2"/>
      <c r="S102" s="2"/>
      <c r="T102" s="2"/>
      <c r="U102" s="2"/>
      <c r="V102" s="2"/>
      <c r="W102" s="2"/>
      <c r="X102" s="2"/>
      <c r="Y102" s="2"/>
      <c r="Z102" s="2"/>
    </row>
    <row r="103" ht="13.5" customHeight="1" spans="1:26">
      <c r="A103" s="112" t="s">
        <v>455</v>
      </c>
      <c r="B103" s="110" t="s">
        <v>7491</v>
      </c>
      <c r="C103" s="110" t="s">
        <v>457</v>
      </c>
      <c r="D103" s="113">
        <v>400</v>
      </c>
      <c r="E103" s="110" t="s">
        <v>21</v>
      </c>
      <c r="F103" s="110" t="s">
        <v>7492</v>
      </c>
      <c r="G103" s="110" t="s">
        <v>7493</v>
      </c>
      <c r="H103" s="2"/>
      <c r="I103" s="2"/>
      <c r="J103" s="2"/>
      <c r="K103" s="2"/>
      <c r="L103" s="2"/>
      <c r="M103" s="2"/>
      <c r="N103" s="2"/>
      <c r="O103" s="2"/>
      <c r="P103" s="2"/>
      <c r="Q103" s="2"/>
      <c r="R103" s="2"/>
      <c r="S103" s="2"/>
      <c r="T103" s="2"/>
      <c r="U103" s="2"/>
      <c r="V103" s="2"/>
      <c r="W103" s="2"/>
      <c r="X103" s="2"/>
      <c r="Y103" s="2"/>
      <c r="Z103" s="2"/>
    </row>
    <row r="104" ht="13.5" customHeight="1" spans="1:26">
      <c r="A104" s="112" t="s">
        <v>460</v>
      </c>
      <c r="B104" s="110" t="s">
        <v>7494</v>
      </c>
      <c r="C104" s="110" t="s">
        <v>462</v>
      </c>
      <c r="D104" s="113">
        <v>8</v>
      </c>
      <c r="E104" s="110" t="s">
        <v>37</v>
      </c>
      <c r="F104" s="110" t="s">
        <v>7495</v>
      </c>
      <c r="G104" s="110" t="s">
        <v>7496</v>
      </c>
      <c r="H104" s="2"/>
      <c r="I104" s="2"/>
      <c r="J104" s="2"/>
      <c r="K104" s="2"/>
      <c r="L104" s="2"/>
      <c r="M104" s="2"/>
      <c r="N104" s="2"/>
      <c r="O104" s="2"/>
      <c r="P104" s="2"/>
      <c r="Q104" s="2"/>
      <c r="R104" s="2"/>
      <c r="S104" s="2"/>
      <c r="T104" s="2"/>
      <c r="U104" s="2"/>
      <c r="V104" s="2"/>
      <c r="W104" s="2"/>
      <c r="X104" s="2"/>
      <c r="Y104" s="2"/>
      <c r="Z104" s="2"/>
    </row>
    <row r="105" ht="13.5" customHeight="1" spans="1:26">
      <c r="A105" s="77" t="s">
        <v>465</v>
      </c>
      <c r="B105" s="110" t="s">
        <v>7497</v>
      </c>
      <c r="C105" s="110" t="s">
        <v>315</v>
      </c>
      <c r="D105" s="26">
        <v>30</v>
      </c>
      <c r="E105" s="110" t="s">
        <v>21</v>
      </c>
      <c r="F105" s="110" t="s">
        <v>7498</v>
      </c>
      <c r="G105" s="110" t="s">
        <v>7499</v>
      </c>
      <c r="H105" s="2"/>
      <c r="I105" s="2"/>
      <c r="J105" s="2"/>
      <c r="K105" s="2"/>
      <c r="L105" s="2"/>
      <c r="M105" s="2"/>
      <c r="N105" s="2"/>
      <c r="O105" s="2"/>
      <c r="P105" s="2"/>
      <c r="Q105" s="2"/>
      <c r="R105" s="2"/>
      <c r="S105" s="2"/>
      <c r="T105" s="2"/>
      <c r="U105" s="2"/>
      <c r="V105" s="2"/>
      <c r="W105" s="2"/>
      <c r="X105" s="2"/>
      <c r="Y105" s="2"/>
      <c r="Z105" s="2"/>
    </row>
    <row r="106" ht="13.5" customHeight="1" spans="1:26">
      <c r="A106" s="112" t="s">
        <v>469</v>
      </c>
      <c r="B106" s="110" t="s">
        <v>466</v>
      </c>
      <c r="C106" s="110" t="s">
        <v>471</v>
      </c>
      <c r="D106" s="113">
        <v>43</v>
      </c>
      <c r="E106" s="110" t="s">
        <v>310</v>
      </c>
      <c r="F106" s="110" t="s">
        <v>7201</v>
      </c>
      <c r="G106" s="110" t="s">
        <v>1882</v>
      </c>
      <c r="H106" s="2"/>
      <c r="I106" s="2"/>
      <c r="J106" s="2"/>
      <c r="K106" s="2"/>
      <c r="L106" s="2"/>
      <c r="M106" s="2"/>
      <c r="N106" s="2"/>
      <c r="O106" s="2"/>
      <c r="P106" s="2"/>
      <c r="Q106" s="2"/>
      <c r="R106" s="2"/>
      <c r="S106" s="2"/>
      <c r="T106" s="2"/>
      <c r="U106" s="2"/>
      <c r="V106" s="2"/>
      <c r="W106" s="2"/>
      <c r="X106" s="2"/>
      <c r="Y106" s="2"/>
      <c r="Z106" s="2"/>
    </row>
    <row r="107" ht="13.5" customHeight="1" spans="1:26">
      <c r="A107" s="112" t="s">
        <v>474</v>
      </c>
      <c r="B107" s="110" t="s">
        <v>7500</v>
      </c>
      <c r="C107" s="110" t="s">
        <v>476</v>
      </c>
      <c r="D107" s="26">
        <v>123</v>
      </c>
      <c r="E107" s="110" t="s">
        <v>310</v>
      </c>
      <c r="F107" s="110" t="s">
        <v>7501</v>
      </c>
      <c r="G107" s="110" t="s">
        <v>7502</v>
      </c>
      <c r="H107" s="2"/>
      <c r="I107" s="2"/>
      <c r="J107" s="2"/>
      <c r="K107" s="2"/>
      <c r="L107" s="2"/>
      <c r="M107" s="2"/>
      <c r="N107" s="2"/>
      <c r="O107" s="2"/>
      <c r="P107" s="2"/>
      <c r="Q107" s="2"/>
      <c r="R107" s="2"/>
      <c r="S107" s="2"/>
      <c r="T107" s="2"/>
      <c r="U107" s="2"/>
      <c r="V107" s="2"/>
      <c r="W107" s="2"/>
      <c r="X107" s="2"/>
      <c r="Y107" s="2"/>
      <c r="Z107" s="2"/>
    </row>
    <row r="108" ht="13.5" customHeight="1" spans="1:26">
      <c r="A108" s="112" t="s">
        <v>479</v>
      </c>
      <c r="B108" s="110" t="s">
        <v>7503</v>
      </c>
      <c r="C108" s="110" t="s">
        <v>476</v>
      </c>
      <c r="D108" s="26">
        <v>76</v>
      </c>
      <c r="E108" s="110" t="s">
        <v>310</v>
      </c>
      <c r="F108" s="110" t="s">
        <v>7504</v>
      </c>
      <c r="G108" s="110" t="s">
        <v>7505</v>
      </c>
      <c r="H108" s="2"/>
      <c r="I108" s="2"/>
      <c r="J108" s="2"/>
      <c r="K108" s="2"/>
      <c r="L108" s="2"/>
      <c r="M108" s="2"/>
      <c r="N108" s="2"/>
      <c r="O108" s="2"/>
      <c r="P108" s="2"/>
      <c r="Q108" s="2"/>
      <c r="R108" s="2"/>
      <c r="S108" s="2"/>
      <c r="T108" s="2"/>
      <c r="U108" s="2"/>
      <c r="V108" s="2"/>
      <c r="W108" s="2"/>
      <c r="X108" s="2"/>
      <c r="Y108" s="2"/>
      <c r="Z108" s="2"/>
    </row>
    <row r="109" ht="13.5" customHeight="1" spans="1:26">
      <c r="A109" s="115" t="s">
        <v>483</v>
      </c>
      <c r="B109" s="116" t="s">
        <v>7506</v>
      </c>
      <c r="C109" s="116" t="s">
        <v>485</v>
      </c>
      <c r="D109" s="117">
        <v>77</v>
      </c>
      <c r="E109" s="116" t="s">
        <v>37</v>
      </c>
      <c r="F109" s="116" t="s">
        <v>7507</v>
      </c>
      <c r="G109" s="116" t="s">
        <v>7508</v>
      </c>
      <c r="H109" s="2"/>
      <c r="I109" s="2"/>
      <c r="J109" s="2"/>
      <c r="K109" s="2"/>
      <c r="L109" s="2"/>
      <c r="M109" s="2"/>
      <c r="N109" s="2"/>
      <c r="O109" s="2"/>
      <c r="P109" s="2"/>
      <c r="Q109" s="2"/>
      <c r="R109" s="2"/>
      <c r="S109" s="2"/>
      <c r="T109" s="2"/>
      <c r="U109" s="2"/>
      <c r="V109" s="2"/>
      <c r="W109" s="2"/>
      <c r="X109" s="2"/>
      <c r="Y109" s="2"/>
      <c r="Z109" s="2"/>
    </row>
    <row r="110" ht="13.5" customHeight="1" spans="1:26">
      <c r="A110" s="112" t="s">
        <v>488</v>
      </c>
      <c r="B110" s="110" t="s">
        <v>7509</v>
      </c>
      <c r="C110" s="110" t="s">
        <v>490</v>
      </c>
      <c r="D110" s="113">
        <v>50</v>
      </c>
      <c r="E110" s="110" t="s">
        <v>37</v>
      </c>
      <c r="F110" s="110" t="s">
        <v>7510</v>
      </c>
      <c r="G110" s="110" t="s">
        <v>7511</v>
      </c>
      <c r="H110" s="2"/>
      <c r="I110" s="2"/>
      <c r="J110" s="2"/>
      <c r="K110" s="2"/>
      <c r="L110" s="2"/>
      <c r="M110" s="2"/>
      <c r="N110" s="2"/>
      <c r="O110" s="2"/>
      <c r="P110" s="2"/>
      <c r="Q110" s="2"/>
      <c r="R110" s="2"/>
      <c r="S110" s="2"/>
      <c r="T110" s="2"/>
      <c r="U110" s="2"/>
      <c r="V110" s="2"/>
      <c r="W110" s="2"/>
      <c r="X110" s="2"/>
      <c r="Y110" s="2"/>
      <c r="Z110" s="2"/>
    </row>
    <row r="111" ht="13.5" customHeight="1" spans="1:26">
      <c r="A111" s="112" t="s">
        <v>493</v>
      </c>
      <c r="B111" s="110" t="s">
        <v>7512</v>
      </c>
      <c r="C111" s="110" t="s">
        <v>4989</v>
      </c>
      <c r="D111" s="26"/>
      <c r="E111" s="26"/>
      <c r="F111" s="110" t="s">
        <v>7513</v>
      </c>
      <c r="G111" s="110" t="s">
        <v>7514</v>
      </c>
      <c r="H111" s="2"/>
      <c r="I111" s="2"/>
      <c r="J111" s="2"/>
      <c r="K111" s="2"/>
      <c r="L111" s="2"/>
      <c r="M111" s="2"/>
      <c r="N111" s="2"/>
      <c r="O111" s="2"/>
      <c r="P111" s="2"/>
      <c r="Q111" s="2"/>
      <c r="R111" s="2"/>
      <c r="S111" s="2"/>
      <c r="T111" s="2"/>
      <c r="U111" s="2"/>
      <c r="V111" s="2"/>
      <c r="W111" s="2"/>
      <c r="X111" s="2"/>
      <c r="Y111" s="2"/>
      <c r="Z111" s="2"/>
    </row>
    <row r="112" ht="13.5" customHeight="1" spans="1:26">
      <c r="A112" s="112" t="s">
        <v>498</v>
      </c>
      <c r="B112" s="110" t="s">
        <v>7515</v>
      </c>
      <c r="C112" s="110" t="s">
        <v>500</v>
      </c>
      <c r="D112" s="26"/>
      <c r="E112" s="26"/>
      <c r="F112" s="110" t="s">
        <v>7516</v>
      </c>
      <c r="G112" s="110" t="s">
        <v>7517</v>
      </c>
      <c r="H112" s="2"/>
      <c r="I112" s="2"/>
      <c r="J112" s="2"/>
      <c r="K112" s="2"/>
      <c r="L112" s="2"/>
      <c r="M112" s="2"/>
      <c r="N112" s="2"/>
      <c r="O112" s="2"/>
      <c r="P112" s="2"/>
      <c r="Q112" s="2"/>
      <c r="R112" s="2"/>
      <c r="S112" s="2"/>
      <c r="T112" s="2"/>
      <c r="U112" s="2"/>
      <c r="V112" s="2"/>
      <c r="W112" s="2"/>
      <c r="X112" s="2"/>
      <c r="Y112" s="2"/>
      <c r="Z112" s="2"/>
    </row>
    <row r="113" ht="13.5" customHeight="1" spans="1:26">
      <c r="A113" s="77" t="s">
        <v>503</v>
      </c>
      <c r="B113" s="110" t="s">
        <v>270</v>
      </c>
      <c r="C113" s="110" t="s">
        <v>505</v>
      </c>
      <c r="D113" s="26">
        <v>38</v>
      </c>
      <c r="E113" s="110" t="s">
        <v>37</v>
      </c>
      <c r="F113" s="110" t="s">
        <v>271</v>
      </c>
      <c r="G113" s="110" t="s">
        <v>7396</v>
      </c>
      <c r="H113" s="2"/>
      <c r="I113" s="2"/>
      <c r="J113" s="2"/>
      <c r="K113" s="2"/>
      <c r="L113" s="2"/>
      <c r="M113" s="2"/>
      <c r="N113" s="2"/>
      <c r="O113" s="2"/>
      <c r="P113" s="2"/>
      <c r="Q113" s="2"/>
      <c r="R113" s="2"/>
      <c r="S113" s="2"/>
      <c r="T113" s="2"/>
      <c r="U113" s="2"/>
      <c r="V113" s="2"/>
      <c r="W113" s="2"/>
      <c r="X113" s="2"/>
      <c r="Y113" s="2"/>
      <c r="Z113" s="2"/>
    </row>
    <row r="114" ht="13.5" customHeight="1" spans="1:26">
      <c r="A114" s="112" t="s">
        <v>508</v>
      </c>
      <c r="B114" s="110" t="s">
        <v>7518</v>
      </c>
      <c r="C114" s="110" t="s">
        <v>510</v>
      </c>
      <c r="D114" s="113">
        <v>40</v>
      </c>
      <c r="E114" s="110" t="s">
        <v>37</v>
      </c>
      <c r="F114" s="110" t="s">
        <v>7519</v>
      </c>
      <c r="G114" s="110" t="s">
        <v>7520</v>
      </c>
      <c r="H114" s="2"/>
      <c r="I114" s="2"/>
      <c r="J114" s="2"/>
      <c r="K114" s="2"/>
      <c r="L114" s="2"/>
      <c r="M114" s="2"/>
      <c r="N114" s="2"/>
      <c r="O114" s="2"/>
      <c r="P114" s="2"/>
      <c r="Q114" s="2"/>
      <c r="R114" s="2"/>
      <c r="S114" s="2"/>
      <c r="T114" s="2"/>
      <c r="U114" s="2"/>
      <c r="V114" s="2"/>
      <c r="W114" s="2"/>
      <c r="X114" s="2"/>
      <c r="Y114" s="2"/>
      <c r="Z114" s="2"/>
    </row>
    <row r="115" ht="13.5" customHeight="1" spans="1:26">
      <c r="A115" s="112" t="s">
        <v>513</v>
      </c>
      <c r="B115" s="110" t="s">
        <v>7521</v>
      </c>
      <c r="C115" s="110" t="s">
        <v>515</v>
      </c>
      <c r="D115" s="113">
        <v>40</v>
      </c>
      <c r="E115" s="110" t="s">
        <v>37</v>
      </c>
      <c r="F115" s="110" t="s">
        <v>7522</v>
      </c>
      <c r="G115" s="110" t="s">
        <v>7523</v>
      </c>
      <c r="H115" s="2"/>
      <c r="I115" s="2"/>
      <c r="J115" s="2"/>
      <c r="K115" s="2"/>
      <c r="L115" s="2"/>
      <c r="M115" s="2"/>
      <c r="N115" s="2"/>
      <c r="O115" s="2"/>
      <c r="P115" s="2"/>
      <c r="Q115" s="2"/>
      <c r="R115" s="2"/>
      <c r="S115" s="2"/>
      <c r="T115" s="2"/>
      <c r="U115" s="2"/>
      <c r="V115" s="2"/>
      <c r="W115" s="2"/>
      <c r="X115" s="2"/>
      <c r="Y115" s="2"/>
      <c r="Z115" s="2"/>
    </row>
    <row r="116" ht="13.5" customHeight="1" spans="1:26">
      <c r="A116" s="112" t="s">
        <v>518</v>
      </c>
      <c r="B116" s="110" t="s">
        <v>7524</v>
      </c>
      <c r="C116" s="110" t="s">
        <v>519</v>
      </c>
      <c r="D116" s="113">
        <v>45</v>
      </c>
      <c r="E116" s="110" t="s">
        <v>37</v>
      </c>
      <c r="F116" s="110" t="s">
        <v>7525</v>
      </c>
      <c r="G116" s="110" t="s">
        <v>7526</v>
      </c>
      <c r="H116" s="2"/>
      <c r="I116" s="2"/>
      <c r="J116" s="2"/>
      <c r="K116" s="2"/>
      <c r="L116" s="2"/>
      <c r="M116" s="2"/>
      <c r="N116" s="2"/>
      <c r="O116" s="2"/>
      <c r="P116" s="2"/>
      <c r="Q116" s="2"/>
      <c r="R116" s="2"/>
      <c r="S116" s="2"/>
      <c r="T116" s="2"/>
      <c r="U116" s="2"/>
      <c r="V116" s="2"/>
      <c r="W116" s="2"/>
      <c r="X116" s="2"/>
      <c r="Y116" s="2"/>
      <c r="Z116" s="2"/>
    </row>
    <row r="117" ht="13.5" customHeight="1" spans="1:26">
      <c r="A117" s="112" t="s">
        <v>520</v>
      </c>
      <c r="B117" s="110" t="s">
        <v>824</v>
      </c>
      <c r="C117" s="110" t="s">
        <v>515</v>
      </c>
      <c r="D117" s="113">
        <v>50</v>
      </c>
      <c r="E117" s="110" t="s">
        <v>37</v>
      </c>
      <c r="F117" s="110" t="s">
        <v>1733</v>
      </c>
      <c r="G117" s="110" t="s">
        <v>7527</v>
      </c>
      <c r="H117" s="2"/>
      <c r="I117" s="2"/>
      <c r="J117" s="2"/>
      <c r="K117" s="2"/>
      <c r="L117" s="2"/>
      <c r="M117" s="2"/>
      <c r="N117" s="2"/>
      <c r="O117" s="2"/>
      <c r="P117" s="2"/>
      <c r="Q117" s="2"/>
      <c r="R117" s="2"/>
      <c r="S117" s="2"/>
      <c r="T117" s="2"/>
      <c r="U117" s="2"/>
      <c r="V117" s="2"/>
      <c r="W117" s="2"/>
      <c r="X117" s="2"/>
      <c r="Y117" s="2"/>
      <c r="Z117" s="2"/>
    </row>
    <row r="118" ht="13.5" customHeight="1" spans="1:26">
      <c r="A118" s="77" t="s">
        <v>522</v>
      </c>
      <c r="B118" s="110" t="s">
        <v>7528</v>
      </c>
      <c r="C118" s="110" t="s">
        <v>524</v>
      </c>
      <c r="D118" s="26">
        <v>90</v>
      </c>
      <c r="E118" s="110" t="s">
        <v>21</v>
      </c>
      <c r="F118" s="110" t="s">
        <v>7529</v>
      </c>
      <c r="G118" s="118" t="s">
        <v>7529</v>
      </c>
      <c r="H118" s="2"/>
      <c r="I118" s="2"/>
      <c r="J118" s="2"/>
      <c r="K118" s="2"/>
      <c r="L118" s="2"/>
      <c r="M118" s="2"/>
      <c r="N118" s="2"/>
      <c r="O118" s="2"/>
      <c r="P118" s="2"/>
      <c r="Q118" s="2"/>
      <c r="R118" s="2"/>
      <c r="S118" s="2"/>
      <c r="T118" s="2"/>
      <c r="U118" s="2"/>
      <c r="V118" s="2"/>
      <c r="W118" s="2"/>
      <c r="X118" s="2"/>
      <c r="Y118" s="2"/>
      <c r="Z118" s="2"/>
    </row>
    <row r="119" ht="13.5" customHeight="1" spans="1:26">
      <c r="A119" s="112" t="s">
        <v>527</v>
      </c>
      <c r="B119" s="110" t="s">
        <v>7530</v>
      </c>
      <c r="C119" s="110" t="s">
        <v>529</v>
      </c>
      <c r="D119" s="26"/>
      <c r="E119" s="26"/>
      <c r="F119" s="110" t="s">
        <v>7531</v>
      </c>
      <c r="G119" s="110" t="s">
        <v>7532</v>
      </c>
      <c r="H119" s="2"/>
      <c r="I119" s="2"/>
      <c r="J119" s="2"/>
      <c r="K119" s="2"/>
      <c r="L119" s="2"/>
      <c r="M119" s="2"/>
      <c r="N119" s="2"/>
      <c r="O119" s="2"/>
      <c r="P119" s="2"/>
      <c r="Q119" s="2"/>
      <c r="R119" s="2"/>
      <c r="S119" s="2"/>
      <c r="T119" s="2"/>
      <c r="U119" s="2"/>
      <c r="V119" s="2"/>
      <c r="W119" s="2"/>
      <c r="X119" s="2"/>
      <c r="Y119" s="2"/>
      <c r="Z119" s="2"/>
    </row>
    <row r="120" ht="13.5" customHeight="1" spans="1:26">
      <c r="A120" s="112" t="s">
        <v>532</v>
      </c>
      <c r="B120" s="110" t="s">
        <v>7533</v>
      </c>
      <c r="C120" s="110" t="s">
        <v>534</v>
      </c>
      <c r="D120" s="113">
        <v>120</v>
      </c>
      <c r="E120" s="110" t="s">
        <v>37</v>
      </c>
      <c r="F120" s="110" t="s">
        <v>7534</v>
      </c>
      <c r="G120" s="110" t="s">
        <v>7535</v>
      </c>
      <c r="H120" s="2"/>
      <c r="I120" s="2"/>
      <c r="J120" s="2"/>
      <c r="K120" s="2"/>
      <c r="L120" s="2"/>
      <c r="M120" s="2"/>
      <c r="N120" s="2"/>
      <c r="O120" s="2"/>
      <c r="P120" s="2"/>
      <c r="Q120" s="2"/>
      <c r="R120" s="2"/>
      <c r="S120" s="2"/>
      <c r="T120" s="2"/>
      <c r="U120" s="2"/>
      <c r="V120" s="2"/>
      <c r="W120" s="2"/>
      <c r="X120" s="2"/>
      <c r="Y120" s="2"/>
      <c r="Z120" s="2"/>
    </row>
    <row r="121" ht="13.5" customHeight="1" spans="1:26">
      <c r="A121" s="77" t="s">
        <v>537</v>
      </c>
      <c r="B121" s="110" t="s">
        <v>7536</v>
      </c>
      <c r="C121" s="110" t="s">
        <v>539</v>
      </c>
      <c r="D121" s="26">
        <v>60</v>
      </c>
      <c r="E121" s="110" t="s">
        <v>37</v>
      </c>
      <c r="F121" s="110" t="s">
        <v>7537</v>
      </c>
      <c r="G121" s="110" t="s">
        <v>7538</v>
      </c>
      <c r="H121" s="2"/>
      <c r="I121" s="2"/>
      <c r="J121" s="2"/>
      <c r="K121" s="2"/>
      <c r="L121" s="2"/>
      <c r="M121" s="2"/>
      <c r="N121" s="2"/>
      <c r="O121" s="2"/>
      <c r="P121" s="2"/>
      <c r="Q121" s="2"/>
      <c r="R121" s="2"/>
      <c r="S121" s="2"/>
      <c r="T121" s="2"/>
      <c r="U121" s="2"/>
      <c r="V121" s="2"/>
      <c r="W121" s="2"/>
      <c r="X121" s="2"/>
      <c r="Y121" s="2"/>
      <c r="Z121" s="2"/>
    </row>
    <row r="122" ht="13.5" customHeight="1" spans="1:26">
      <c r="A122" s="77" t="s">
        <v>542</v>
      </c>
      <c r="B122" s="110" t="s">
        <v>7539</v>
      </c>
      <c r="C122" s="110" t="s">
        <v>539</v>
      </c>
      <c r="D122" s="26">
        <v>50</v>
      </c>
      <c r="E122" s="110" t="s">
        <v>37</v>
      </c>
      <c r="F122" s="110" t="s">
        <v>7540</v>
      </c>
      <c r="G122" s="2" t="s">
        <v>7541</v>
      </c>
      <c r="H122" s="2"/>
      <c r="I122" s="2"/>
      <c r="J122" s="2"/>
      <c r="K122" s="2"/>
      <c r="L122" s="2"/>
      <c r="M122" s="2"/>
      <c r="N122" s="2"/>
      <c r="O122" s="2"/>
      <c r="P122" s="2"/>
      <c r="Q122" s="2"/>
      <c r="R122" s="2"/>
      <c r="S122" s="2"/>
      <c r="T122" s="2"/>
      <c r="U122" s="2"/>
      <c r="V122" s="2"/>
      <c r="W122" s="2"/>
      <c r="X122" s="2"/>
      <c r="Y122" s="2"/>
      <c r="Z122" s="2"/>
    </row>
    <row r="123" ht="13.5" customHeight="1" spans="1:26">
      <c r="A123" s="112" t="s">
        <v>546</v>
      </c>
      <c r="B123" s="110" t="s">
        <v>5547</v>
      </c>
      <c r="C123" s="110" t="s">
        <v>548</v>
      </c>
      <c r="D123" s="113">
        <v>100</v>
      </c>
      <c r="E123" s="110" t="s">
        <v>37</v>
      </c>
      <c r="F123" s="110" t="s">
        <v>7542</v>
      </c>
      <c r="G123" s="110" t="s">
        <v>7543</v>
      </c>
      <c r="H123" s="2"/>
      <c r="I123" s="2"/>
      <c r="J123" s="2"/>
      <c r="K123" s="2"/>
      <c r="L123" s="2"/>
      <c r="M123" s="2"/>
      <c r="N123" s="2"/>
      <c r="O123" s="2"/>
      <c r="P123" s="2"/>
      <c r="Q123" s="2"/>
      <c r="R123" s="2"/>
      <c r="S123" s="2"/>
      <c r="T123" s="2"/>
      <c r="U123" s="2"/>
      <c r="V123" s="2"/>
      <c r="W123" s="2"/>
      <c r="X123" s="2"/>
      <c r="Y123" s="2"/>
      <c r="Z123" s="2"/>
    </row>
    <row r="124" ht="13.5" customHeight="1" spans="1:26">
      <c r="A124" s="77" t="s">
        <v>551</v>
      </c>
      <c r="B124" s="110" t="s">
        <v>7544</v>
      </c>
      <c r="C124" s="110" t="s">
        <v>553</v>
      </c>
      <c r="D124" s="26">
        <v>30</v>
      </c>
      <c r="E124" s="110" t="s">
        <v>37</v>
      </c>
      <c r="F124" s="110" t="s">
        <v>7545</v>
      </c>
      <c r="G124" s="110" t="s">
        <v>7546</v>
      </c>
      <c r="H124" s="2"/>
      <c r="I124" s="2"/>
      <c r="J124" s="2"/>
      <c r="K124" s="2"/>
      <c r="L124" s="2"/>
      <c r="M124" s="2"/>
      <c r="N124" s="2"/>
      <c r="O124" s="2"/>
      <c r="P124" s="2"/>
      <c r="Q124" s="2"/>
      <c r="R124" s="2"/>
      <c r="S124" s="2"/>
      <c r="T124" s="2"/>
      <c r="U124" s="2"/>
      <c r="V124" s="2"/>
      <c r="W124" s="2"/>
      <c r="X124" s="2"/>
      <c r="Y124" s="2"/>
      <c r="Z124" s="2"/>
    </row>
    <row r="125" ht="13.5" customHeight="1" spans="1:26">
      <c r="A125" s="112" t="s">
        <v>556</v>
      </c>
      <c r="B125" s="110" t="s">
        <v>7547</v>
      </c>
      <c r="C125" s="110" t="s">
        <v>557</v>
      </c>
      <c r="D125" s="113">
        <v>30</v>
      </c>
      <c r="E125" s="110" t="s">
        <v>37</v>
      </c>
      <c r="F125" s="110" t="s">
        <v>7548</v>
      </c>
      <c r="G125" s="110" t="s">
        <v>7549</v>
      </c>
      <c r="H125" s="2"/>
      <c r="I125" s="2"/>
      <c r="J125" s="2"/>
      <c r="K125" s="2"/>
      <c r="L125" s="2"/>
      <c r="M125" s="2"/>
      <c r="N125" s="2"/>
      <c r="O125" s="2"/>
      <c r="P125" s="2"/>
      <c r="Q125" s="2"/>
      <c r="R125" s="2"/>
      <c r="S125" s="2"/>
      <c r="T125" s="2"/>
      <c r="U125" s="2"/>
      <c r="V125" s="2"/>
      <c r="W125" s="2"/>
      <c r="X125" s="2"/>
      <c r="Y125" s="2"/>
      <c r="Z125" s="2"/>
    </row>
    <row r="126" ht="13.5" customHeight="1" spans="1:26">
      <c r="A126" s="112" t="s">
        <v>558</v>
      </c>
      <c r="B126" s="110" t="s">
        <v>7550</v>
      </c>
      <c r="C126" s="110" t="s">
        <v>560</v>
      </c>
      <c r="D126" s="113">
        <v>40</v>
      </c>
      <c r="E126" s="110" t="s">
        <v>37</v>
      </c>
      <c r="F126" s="110" t="s">
        <v>7551</v>
      </c>
      <c r="G126" s="110" t="s">
        <v>7552</v>
      </c>
      <c r="H126" s="2"/>
      <c r="I126" s="2"/>
      <c r="J126" s="2"/>
      <c r="K126" s="2"/>
      <c r="L126" s="2"/>
      <c r="M126" s="2"/>
      <c r="N126" s="2"/>
      <c r="O126" s="2"/>
      <c r="P126" s="2"/>
      <c r="Q126" s="2"/>
      <c r="R126" s="2"/>
      <c r="S126" s="2"/>
      <c r="T126" s="2"/>
      <c r="U126" s="2"/>
      <c r="V126" s="2"/>
      <c r="W126" s="2"/>
      <c r="X126" s="2"/>
      <c r="Y126" s="2"/>
      <c r="Z126" s="2"/>
    </row>
    <row r="127" ht="13.5" customHeight="1" spans="1:26">
      <c r="A127" s="112" t="s">
        <v>563</v>
      </c>
      <c r="B127" s="110" t="s">
        <v>7553</v>
      </c>
      <c r="C127" s="110" t="s">
        <v>565</v>
      </c>
      <c r="D127" s="113">
        <v>80</v>
      </c>
      <c r="E127" s="110" t="s">
        <v>37</v>
      </c>
      <c r="F127" s="110" t="s">
        <v>7554</v>
      </c>
      <c r="G127" s="110" t="s">
        <v>7555</v>
      </c>
      <c r="H127" s="2"/>
      <c r="I127" s="2"/>
      <c r="J127" s="2"/>
      <c r="K127" s="2"/>
      <c r="L127" s="2"/>
      <c r="M127" s="2"/>
      <c r="N127" s="2"/>
      <c r="O127" s="2"/>
      <c r="P127" s="2"/>
      <c r="Q127" s="2"/>
      <c r="R127" s="2"/>
      <c r="S127" s="2"/>
      <c r="T127" s="2"/>
      <c r="U127" s="2"/>
      <c r="V127" s="2"/>
      <c r="W127" s="2"/>
      <c r="X127" s="2"/>
      <c r="Y127" s="2"/>
      <c r="Z127" s="2"/>
    </row>
    <row r="128" ht="13.5" customHeight="1" spans="1:26">
      <c r="A128" s="112" t="s">
        <v>313</v>
      </c>
      <c r="B128" s="110" t="s">
        <v>7556</v>
      </c>
      <c r="C128" s="110" t="s">
        <v>309</v>
      </c>
      <c r="D128" s="26">
        <v>90</v>
      </c>
      <c r="E128" s="110" t="s">
        <v>32</v>
      </c>
      <c r="F128" s="110" t="s">
        <v>7557</v>
      </c>
      <c r="G128" s="110" t="s">
        <v>7558</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569</v>
      </c>
      <c r="C129" s="10" t="s">
        <v>570</v>
      </c>
      <c r="D129" s="2"/>
      <c r="E129" s="2"/>
      <c r="F129" s="2" t="s">
        <v>571</v>
      </c>
      <c r="G129" s="2" t="s">
        <v>7559</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1203</v>
      </c>
      <c r="C130" s="2" t="s">
        <v>570</v>
      </c>
      <c r="D130" s="2"/>
      <c r="E130" s="2"/>
      <c r="F130" s="2" t="s">
        <v>574</v>
      </c>
      <c r="G130" s="2" t="s">
        <v>7560</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7561</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7562</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3752</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7563</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7564</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1209</v>
      </c>
      <c r="C136" s="11" t="s">
        <v>578</v>
      </c>
      <c r="D136" s="2"/>
      <c r="E136" s="2"/>
      <c r="F136" s="2" t="s">
        <v>589</v>
      </c>
      <c r="G136" s="2" t="s">
        <v>590</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7565</v>
      </c>
      <c r="C137" s="11" t="s">
        <v>578</v>
      </c>
      <c r="D137" s="2"/>
      <c r="E137" s="2"/>
      <c r="F137" s="2" t="s">
        <v>7566</v>
      </c>
      <c r="G137" s="2" t="s">
        <v>7567</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7568</v>
      </c>
      <c r="C138" s="11" t="s">
        <v>578</v>
      </c>
      <c r="D138" s="2"/>
      <c r="E138" s="2"/>
      <c r="F138" s="2" t="s">
        <v>7569</v>
      </c>
      <c r="G138" s="2" t="s">
        <v>7570</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7571</v>
      </c>
      <c r="C139" s="11" t="s">
        <v>578</v>
      </c>
      <c r="D139" s="2"/>
      <c r="E139" s="2"/>
      <c r="F139" s="2" t="s">
        <v>7572</v>
      </c>
      <c r="G139" s="2" t="s">
        <v>7573</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2324</v>
      </c>
      <c r="C140" s="11" t="s">
        <v>578</v>
      </c>
      <c r="D140" s="2"/>
      <c r="E140" s="2"/>
      <c r="F140" s="2" t="s">
        <v>2325</v>
      </c>
      <c r="G140" s="2" t="s">
        <v>2326</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7574</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4747</v>
      </c>
      <c r="C145" s="11" t="s">
        <v>612</v>
      </c>
      <c r="D145" s="2"/>
      <c r="E145" s="2"/>
      <c r="F145" s="2" t="s">
        <v>7575</v>
      </c>
      <c r="G145" s="2" t="s">
        <v>7576</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120" t="s">
        <v>7577</v>
      </c>
      <c r="C146" s="11" t="s">
        <v>612</v>
      </c>
      <c r="D146" s="2"/>
      <c r="E146" s="2"/>
      <c r="F146" s="2" t="s">
        <v>7578</v>
      </c>
      <c r="G146" s="2" t="s">
        <v>7579</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7580</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7581</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7582</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7583</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7584</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7585</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7586</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7587</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1239</v>
      </c>
      <c r="C157" s="13" t="s">
        <v>648</v>
      </c>
      <c r="D157" s="14">
        <v>120</v>
      </c>
      <c r="E157" s="13" t="s">
        <v>37</v>
      </c>
      <c r="F157" s="13" t="s">
        <v>649</v>
      </c>
      <c r="G157" s="13" t="s">
        <v>650</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1240</v>
      </c>
      <c r="C158" s="11" t="s">
        <v>653</v>
      </c>
      <c r="D158" s="2"/>
      <c r="E158" s="2"/>
      <c r="F158" s="2" t="s">
        <v>7588</v>
      </c>
      <c r="G158" s="2" t="s">
        <v>7589</v>
      </c>
      <c r="H158" s="2"/>
      <c r="I158" s="2"/>
      <c r="J158" s="2"/>
      <c r="K158" s="2"/>
      <c r="L158" s="2"/>
      <c r="M158" s="2"/>
      <c r="N158" s="2"/>
      <c r="O158" s="2"/>
      <c r="P158" s="2"/>
      <c r="Q158" s="2"/>
      <c r="R158" s="2"/>
      <c r="S158" s="2"/>
      <c r="T158" s="2"/>
      <c r="U158" s="2"/>
      <c r="V158" s="2"/>
      <c r="W158" s="2"/>
      <c r="X158" s="2"/>
      <c r="Y158" s="2"/>
      <c r="Z158" s="2"/>
    </row>
    <row r="159" ht="13.5" customHeight="1"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45 B131:B143 B147:B148 B155:B156">
      <formula1>ValidLondonCounterpartyNames</formula1>
    </dataValidation>
  </dataValidations>
  <pageMargins left="0.75" right="0.75" top="1" bottom="1" header="0.5" footer="0.5"/>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topLeftCell="A120" workbookViewId="0">
      <selection activeCell="B159" sqref="B159"/>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8" width="8.66071428571429" customWidth="1"/>
    <col min="19"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4721</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70" t="s">
        <v>10</v>
      </c>
      <c r="B4" s="63" t="s">
        <v>4722</v>
      </c>
      <c r="C4" s="63" t="s">
        <v>12</v>
      </c>
      <c r="D4" s="98"/>
      <c r="E4" s="98"/>
      <c r="F4" s="63" t="s">
        <v>4723</v>
      </c>
      <c r="G4" s="63" t="s">
        <v>4724</v>
      </c>
      <c r="H4" s="2"/>
      <c r="I4" s="2"/>
      <c r="J4" s="2"/>
      <c r="K4" s="2"/>
      <c r="L4" s="2"/>
      <c r="M4" s="2"/>
      <c r="N4" s="2"/>
      <c r="O4" s="2"/>
      <c r="P4" s="2"/>
      <c r="Q4" s="2"/>
      <c r="R4" s="2"/>
      <c r="S4" s="2"/>
      <c r="T4" s="2"/>
      <c r="U4" s="2"/>
      <c r="V4" s="2"/>
      <c r="W4" s="2"/>
      <c r="X4" s="2"/>
      <c r="Y4" s="2"/>
      <c r="Z4" s="2"/>
    </row>
    <row r="5" customHeight="1" spans="1:26">
      <c r="A5" s="52" t="s">
        <v>15</v>
      </c>
      <c r="B5" s="62" t="s">
        <v>4725</v>
      </c>
      <c r="C5" s="13" t="s">
        <v>12</v>
      </c>
      <c r="D5" s="57"/>
      <c r="E5" s="57"/>
      <c r="F5" s="13" t="s">
        <v>4726</v>
      </c>
      <c r="G5" s="13" t="s">
        <v>4727</v>
      </c>
      <c r="H5" s="2"/>
      <c r="I5" s="2"/>
      <c r="J5" s="2"/>
      <c r="K5" s="2"/>
      <c r="L5" s="2"/>
      <c r="M5" s="2"/>
      <c r="N5" s="2"/>
      <c r="O5" s="2"/>
      <c r="P5" s="2"/>
      <c r="Q5" s="2"/>
      <c r="R5" s="2"/>
      <c r="S5" s="2"/>
      <c r="T5" s="2"/>
      <c r="U5" s="2"/>
      <c r="V5" s="2"/>
      <c r="W5" s="2"/>
      <c r="X5" s="2"/>
      <c r="Y5" s="2"/>
      <c r="Z5" s="2"/>
    </row>
    <row r="6" customHeight="1" spans="1:26">
      <c r="A6" s="63" t="s">
        <v>18</v>
      </c>
      <c r="B6" s="13" t="s">
        <v>7590</v>
      </c>
      <c r="C6" s="13" t="s">
        <v>20</v>
      </c>
      <c r="D6" s="14">
        <v>340</v>
      </c>
      <c r="E6" s="13" t="s">
        <v>21</v>
      </c>
      <c r="F6" s="68" t="str">
        <f>HYPERLINK("https://upload.wikimedia.org/wikipedia/en/thumb/4/46/Melbourne_Airport_logo.svg/1138px-Melbourne_Airport_logo.svg.png","https://upload.wikimedia.org/wikipedia/en/thumb/4/46/Melbourne_Airport_logo.svg/1138px-Melbourne_Airport_logo.svg.png")</f>
        <v>https://upload.wikimedia.org/wikipedia/en/thumb/4/46/Melbourne_Airport_logo.svg/1138px-Melbourne_Airport_logo.svg.png</v>
      </c>
      <c r="G6" s="68" t="str">
        <f>HYPERLINK("http://melbourneairport.com.au","http://melbourneairport.com.au")</f>
        <v>http://melbourneairport.com.au</v>
      </c>
      <c r="H6" s="2"/>
      <c r="I6" s="2"/>
      <c r="J6" s="2"/>
      <c r="K6" s="2"/>
      <c r="L6" s="2"/>
      <c r="M6" s="2"/>
      <c r="N6" s="2"/>
      <c r="O6" s="2"/>
      <c r="P6" s="2"/>
      <c r="Q6" s="2"/>
      <c r="R6" s="2"/>
      <c r="S6" s="2"/>
      <c r="T6" s="2"/>
      <c r="U6" s="2"/>
      <c r="V6" s="2"/>
      <c r="W6" s="2"/>
      <c r="X6" s="2"/>
      <c r="Y6" s="2"/>
      <c r="Z6" s="2"/>
    </row>
    <row r="7" customHeight="1" spans="1:26">
      <c r="A7" s="13" t="s">
        <v>24</v>
      </c>
      <c r="B7" s="13" t="s">
        <v>7591</v>
      </c>
      <c r="C7" s="13" t="s">
        <v>4732</v>
      </c>
      <c r="D7" s="14">
        <v>85</v>
      </c>
      <c r="E7" s="13" t="s">
        <v>21</v>
      </c>
      <c r="F7" s="68" t="str">
        <f>HYPERLINK("https://s-media-cache-ak0.pinimg.com/originals/e2/77/1f/e2771f082e810dc24ccc28f10589cf77.jpg","https://s-media-cache-ak0.pinimg.com/originals/e2/77/1f/e2771f082e810dc24ccc28f10589cf77.jpg")</f>
        <v>https://s-media-cache-ak0.pinimg.com/originals/e2/77/1f/e2771f082e810dc24ccc28f10589cf77.jpg</v>
      </c>
      <c r="G7" s="68" t="str">
        <f>HYPERLINK("https://www.zoo.org.au/melbourne/wonder","https://www.zoo.org.au/melbourne/wonder")</f>
        <v>https://www.zoo.org.au/melbourne/wonder</v>
      </c>
      <c r="H7" s="2"/>
      <c r="I7" s="2"/>
      <c r="J7" s="2"/>
      <c r="K7" s="2"/>
      <c r="L7" s="2"/>
      <c r="M7" s="2"/>
      <c r="N7" s="2"/>
      <c r="O7" s="2"/>
      <c r="P7" s="2"/>
      <c r="Q7" s="2"/>
      <c r="R7" s="2"/>
      <c r="S7" s="2"/>
      <c r="T7" s="2"/>
      <c r="U7" s="2"/>
      <c r="V7" s="2"/>
      <c r="W7" s="2"/>
      <c r="X7" s="2"/>
      <c r="Y7" s="2"/>
      <c r="Z7" s="2"/>
    </row>
    <row r="8" customHeight="1" spans="1:26">
      <c r="A8" s="64" t="s">
        <v>29</v>
      </c>
      <c r="B8" s="13" t="s">
        <v>7592</v>
      </c>
      <c r="C8" s="13" t="s">
        <v>31</v>
      </c>
      <c r="D8" s="65">
        <v>30</v>
      </c>
      <c r="E8" s="13" t="s">
        <v>32</v>
      </c>
      <c r="F8" s="68" t="str">
        <f>HYPERLINK("https://static1.squarespace.com/static/582cf41ecd0f6888adecaeb6/582d0dbed1758e1a79e810c2/582d0ffa2994ca1039b958a8/1479348223674/Americano+Label.jpg?format=300w","https://static1.squarespace.com/static/582cf41ecd0f6888adecaeb6/582d0dbed1758e1a79e810c2/582d0ffa2994ca1039b958a8/1479348223674/Americano+Label.jpg?format=300w")</f>
        <v>https://static1.squarespace.com/static/582cf41ecd0f6888adecaeb6/582d0dbed1758e1a79e810c2/582d0ffa2994ca1039b958a8/1479348223674/Americano+Label.jpg?format=300w</v>
      </c>
      <c r="G8" s="68" t="str">
        <f>HYPERLINK("https://www.baramericano.com","https://www.baramericano.com")</f>
        <v>https://www.baramericano.com</v>
      </c>
      <c r="H8" s="2"/>
      <c r="I8" s="2"/>
      <c r="J8" s="2"/>
      <c r="K8" s="2"/>
      <c r="L8" s="2"/>
      <c r="M8" s="2"/>
      <c r="N8" s="2"/>
      <c r="O8" s="2"/>
      <c r="P8" s="2"/>
      <c r="Q8" s="2"/>
      <c r="R8" s="2"/>
      <c r="S8" s="2"/>
      <c r="T8" s="2"/>
      <c r="U8" s="2"/>
      <c r="V8" s="2"/>
      <c r="W8" s="2"/>
      <c r="X8" s="2"/>
      <c r="Y8" s="2"/>
      <c r="Z8" s="2"/>
    </row>
    <row r="9" customHeight="1" spans="1:26">
      <c r="A9" s="64" t="s">
        <v>35</v>
      </c>
      <c r="B9" s="13" t="s">
        <v>7593</v>
      </c>
      <c r="C9" s="13" t="s">
        <v>31</v>
      </c>
      <c r="D9" s="65">
        <v>30</v>
      </c>
      <c r="E9" s="13" t="s">
        <v>37</v>
      </c>
      <c r="F9" s="68" t="str">
        <f>HYPERLINK("http://siglobar.com.au/wp-content/uploads/2015/10/SIGLO_logo3.png","http://siglobar.com.au/wp-content/uploads/2015/10/SIGLO_logo3.png")</f>
        <v>http://siglobar.com.au/wp-content/uploads/2015/10/SIGLO_logo3.png</v>
      </c>
      <c r="G9" s="68" t="str">
        <f>HYPERLINK("http://siglobar.com.au","http://siglobar.com.au")</f>
        <v>http://siglobar.com.au</v>
      </c>
      <c r="H9" s="2"/>
      <c r="I9" s="2"/>
      <c r="J9" s="2"/>
      <c r="K9" s="2"/>
      <c r="L9" s="2"/>
      <c r="M9" s="2"/>
      <c r="N9" s="2"/>
      <c r="O9" s="2"/>
      <c r="P9" s="2"/>
      <c r="Q9" s="2"/>
      <c r="R9" s="2"/>
      <c r="S9" s="2"/>
      <c r="T9" s="2"/>
      <c r="U9" s="2"/>
      <c r="V9" s="2"/>
      <c r="W9" s="2"/>
      <c r="X9" s="2"/>
      <c r="Y9" s="2"/>
      <c r="Z9" s="2"/>
    </row>
    <row r="10" customHeight="1" spans="1:26">
      <c r="A10" s="64" t="s">
        <v>40</v>
      </c>
      <c r="B10" s="13" t="s">
        <v>4739</v>
      </c>
      <c r="C10" s="13" t="s">
        <v>4167</v>
      </c>
      <c r="D10" s="65">
        <v>106</v>
      </c>
      <c r="E10" s="13" t="s">
        <v>21</v>
      </c>
      <c r="F10" s="13" t="s">
        <v>4740</v>
      </c>
      <c r="G10" s="13" t="s">
        <v>4741</v>
      </c>
      <c r="H10" s="2"/>
      <c r="I10" s="2"/>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13" t="s">
        <v>4742</v>
      </c>
      <c r="H11" s="2"/>
      <c r="I11" s="2"/>
      <c r="J11" s="2"/>
      <c r="K11" s="2"/>
      <c r="L11" s="2"/>
      <c r="M11" s="2"/>
      <c r="N11" s="2"/>
      <c r="O11" s="2"/>
      <c r="P11" s="2"/>
      <c r="Q11" s="2"/>
      <c r="R11" s="2"/>
      <c r="S11" s="2"/>
      <c r="T11" s="2"/>
      <c r="U11" s="2"/>
      <c r="V11" s="2"/>
      <c r="W11" s="2"/>
      <c r="X11" s="2"/>
      <c r="Y11" s="2"/>
      <c r="Z11" s="2"/>
    </row>
    <row r="12" customHeight="1" spans="1:26">
      <c r="A12" s="13" t="s">
        <v>49</v>
      </c>
      <c r="B12" s="13" t="s">
        <v>4743</v>
      </c>
      <c r="C12" s="13" t="s">
        <v>4744</v>
      </c>
      <c r="D12" s="57"/>
      <c r="E12" s="57"/>
      <c r="F12" s="13" t="s">
        <v>4745</v>
      </c>
      <c r="G12" s="13" t="s">
        <v>4746</v>
      </c>
      <c r="H12" s="2"/>
      <c r="I12" s="2"/>
      <c r="J12" s="2"/>
      <c r="K12" s="2"/>
      <c r="L12" s="2"/>
      <c r="M12" s="2"/>
      <c r="N12" s="2"/>
      <c r="O12" s="2"/>
      <c r="P12" s="2"/>
      <c r="Q12" s="2"/>
      <c r="R12" s="2"/>
      <c r="S12" s="2"/>
      <c r="T12" s="2"/>
      <c r="U12" s="2"/>
      <c r="V12" s="2"/>
      <c r="W12" s="2"/>
      <c r="X12" s="2"/>
      <c r="Y12" s="2"/>
      <c r="Z12" s="2"/>
    </row>
    <row r="13" customHeight="1" spans="1:26">
      <c r="A13" s="13" t="s">
        <v>54</v>
      </c>
      <c r="B13" s="13" t="s">
        <v>4747</v>
      </c>
      <c r="C13" s="13" t="s">
        <v>56</v>
      </c>
      <c r="D13" s="57"/>
      <c r="E13" s="57"/>
      <c r="F13" s="13" t="s">
        <v>4748</v>
      </c>
      <c r="G13" s="13" t="s">
        <v>4749</v>
      </c>
      <c r="H13" s="2"/>
      <c r="I13" s="2"/>
      <c r="J13" s="2"/>
      <c r="K13" s="2"/>
      <c r="L13" s="2"/>
      <c r="M13" s="2"/>
      <c r="N13" s="2"/>
      <c r="O13" s="2"/>
      <c r="P13" s="2"/>
      <c r="Q13" s="2"/>
      <c r="R13" s="2"/>
      <c r="S13" s="2"/>
      <c r="T13" s="2"/>
      <c r="U13" s="2"/>
      <c r="V13" s="2"/>
      <c r="W13" s="2"/>
      <c r="X13" s="2"/>
      <c r="Y13" s="2"/>
      <c r="Z13" s="2"/>
    </row>
    <row r="14" customHeight="1" spans="1:26">
      <c r="A14" s="64" t="s">
        <v>59</v>
      </c>
      <c r="B14" s="13" t="s">
        <v>4750</v>
      </c>
      <c r="C14" s="13" t="s">
        <v>61</v>
      </c>
      <c r="D14" s="65">
        <v>13</v>
      </c>
      <c r="E14" s="13" t="s">
        <v>37</v>
      </c>
      <c r="F14" s="13" t="s">
        <v>4751</v>
      </c>
      <c r="G14" s="13" t="s">
        <v>4752</v>
      </c>
      <c r="H14" s="2"/>
      <c r="I14" s="2"/>
      <c r="J14" s="2"/>
      <c r="K14" s="2"/>
      <c r="L14" s="2"/>
      <c r="M14" s="2"/>
      <c r="N14" s="2"/>
      <c r="O14" s="2"/>
      <c r="P14" s="2"/>
      <c r="Q14" s="2"/>
      <c r="R14" s="2"/>
      <c r="S14" s="2"/>
      <c r="T14" s="2"/>
      <c r="U14" s="2"/>
      <c r="V14" s="2"/>
      <c r="W14" s="2"/>
      <c r="X14" s="2"/>
      <c r="Y14" s="2"/>
      <c r="Z14" s="2"/>
    </row>
    <row r="15" customHeight="1" spans="1:26">
      <c r="A15" s="64" t="s">
        <v>64</v>
      </c>
      <c r="B15" s="13" t="s">
        <v>7594</v>
      </c>
      <c r="C15" s="13" t="s">
        <v>66</v>
      </c>
      <c r="D15" s="65">
        <v>13</v>
      </c>
      <c r="E15" s="13" t="s">
        <v>32</v>
      </c>
      <c r="F15" s="68" t="str">
        <f>HYPERLINK("https://coffeejobsboard.com/wp-content/uploads/wpjobboard/company/16665/company-logo/Small_Version_ML_Logotype_Black_RGB.jpg","https://coffeejobsboard.com/wp-content/uploads/wpjobboard/company/16665/company-logo/Small_Version_ML_Logotype_Black_RGB.jpg")</f>
        <v>https://coffeejobsboard.com/wp-content/uploads/wpjobboard/company/16665/company-logo/Small_Version_ML_Logotype_Black_RGB.jpg</v>
      </c>
      <c r="G15" s="68" t="str">
        <f>HYPERLINK("https://marketlane.com.au","https://marketlane.com.au")</f>
        <v>https://marketlane.com.au</v>
      </c>
      <c r="H15" s="2"/>
      <c r="I15" s="2"/>
      <c r="J15" s="2"/>
      <c r="K15" s="2"/>
      <c r="L15" s="2"/>
      <c r="M15" s="2"/>
      <c r="N15" s="2"/>
      <c r="O15" s="2"/>
      <c r="P15" s="2"/>
      <c r="Q15" s="2"/>
      <c r="R15" s="2"/>
      <c r="S15" s="2"/>
      <c r="T15" s="2"/>
      <c r="U15" s="2"/>
      <c r="V15" s="2"/>
      <c r="W15" s="2"/>
      <c r="X15" s="2"/>
      <c r="Y15" s="2"/>
      <c r="Z15" s="2"/>
    </row>
    <row r="16" customHeight="1" spans="1:26">
      <c r="A16" s="64" t="s">
        <v>69</v>
      </c>
      <c r="B16" s="13" t="s">
        <v>7595</v>
      </c>
      <c r="C16" s="13" t="s">
        <v>66</v>
      </c>
      <c r="D16" s="65">
        <v>12</v>
      </c>
      <c r="E16" s="13" t="s">
        <v>71</v>
      </c>
      <c r="F16" s="68" t="str">
        <f>HYPERLINK("https://cdn.shopify.com/s/files/1/0168/5442/t/13/assets/logo-retina.png?4140618597540314685","https://cdn.shopify.com/s/files/1/0168/5442/t/13/assets/logo-retina.png?4140618597540314685")</f>
        <v>https://cdn.shopify.com/s/files/1/0168/5442/t/13/assets/logo-retina.png?4140618597540314685</v>
      </c>
      <c r="G16" s="68" t="str">
        <f>HYPERLINK("https://sevenseeds.com.au","https://sevenseeds.com.au")</f>
        <v>https://sevenseeds.com.au</v>
      </c>
      <c r="H16" s="2"/>
      <c r="I16" s="2"/>
      <c r="J16" s="2"/>
      <c r="K16" s="2"/>
      <c r="L16" s="2"/>
      <c r="M16" s="2"/>
      <c r="N16" s="2"/>
      <c r="O16" s="2"/>
      <c r="P16" s="2"/>
      <c r="Q16" s="2"/>
      <c r="R16" s="2"/>
      <c r="S16" s="2"/>
      <c r="T16" s="2"/>
      <c r="U16" s="2"/>
      <c r="V16" s="2"/>
      <c r="W16" s="2"/>
      <c r="X16" s="2"/>
      <c r="Y16" s="2"/>
      <c r="Z16" s="2"/>
    </row>
    <row r="17" customHeight="1" spans="1:26">
      <c r="A17" s="13" t="s">
        <v>74</v>
      </c>
      <c r="B17" s="13" t="s">
        <v>4759</v>
      </c>
      <c r="C17" s="13" t="s">
        <v>76</v>
      </c>
      <c r="D17" s="57"/>
      <c r="E17" s="57"/>
      <c r="F17" s="13" t="s">
        <v>4760</v>
      </c>
      <c r="G17" s="13" t="s">
        <v>4761</v>
      </c>
      <c r="H17" s="2"/>
      <c r="I17" s="2"/>
      <c r="J17" s="2"/>
      <c r="K17" s="2"/>
      <c r="L17" s="2"/>
      <c r="M17" s="2"/>
      <c r="N17" s="2"/>
      <c r="O17" s="2"/>
      <c r="P17" s="2"/>
      <c r="Q17" s="2"/>
      <c r="R17" s="2"/>
      <c r="S17" s="2"/>
      <c r="T17" s="2"/>
      <c r="U17" s="2"/>
      <c r="V17" s="2"/>
      <c r="W17" s="2"/>
      <c r="X17" s="2"/>
      <c r="Y17" s="2"/>
      <c r="Z17" s="2"/>
    </row>
    <row r="18" customHeight="1" spans="1:26">
      <c r="A18" s="64" t="s">
        <v>79</v>
      </c>
      <c r="B18" s="13" t="s">
        <v>4762</v>
      </c>
      <c r="C18" s="13" t="s">
        <v>81</v>
      </c>
      <c r="D18" s="65">
        <v>30</v>
      </c>
      <c r="E18" s="13" t="s">
        <v>37</v>
      </c>
      <c r="F18" s="13" t="s">
        <v>4763</v>
      </c>
      <c r="G18" s="13" t="s">
        <v>4764</v>
      </c>
      <c r="H18" s="2"/>
      <c r="I18" s="2"/>
      <c r="J18" s="2"/>
      <c r="K18" s="2"/>
      <c r="L18" s="2"/>
      <c r="M18" s="2"/>
      <c r="N18" s="2"/>
      <c r="O18" s="2"/>
      <c r="P18" s="2"/>
      <c r="Q18" s="2"/>
      <c r="R18" s="2"/>
      <c r="S18" s="2"/>
      <c r="T18" s="2"/>
      <c r="U18" s="2"/>
      <c r="V18" s="2"/>
      <c r="W18" s="2"/>
      <c r="X18" s="2"/>
      <c r="Y18" s="2"/>
      <c r="Z18" s="2"/>
    </row>
    <row r="19" customHeight="1" spans="1:26">
      <c r="A19" s="13" t="s">
        <v>84</v>
      </c>
      <c r="B19" s="13" t="s">
        <v>4765</v>
      </c>
      <c r="C19" s="13" t="s">
        <v>86</v>
      </c>
      <c r="D19" s="14">
        <v>134</v>
      </c>
      <c r="E19" s="13" t="s">
        <v>21</v>
      </c>
      <c r="F19" s="13" t="s">
        <v>4766</v>
      </c>
      <c r="G19" s="68" t="str">
        <f>HYPERLINK("http://melbourne.dentist-clinic.com","http://melbourne.dentist-clinic.com")</f>
        <v>http://melbourne.dentist-clinic.com</v>
      </c>
      <c r="H19" s="2"/>
      <c r="I19" s="2"/>
      <c r="J19" s="2"/>
      <c r="K19" s="2"/>
      <c r="L19" s="2"/>
      <c r="M19" s="2"/>
      <c r="N19" s="2"/>
      <c r="O19" s="2"/>
      <c r="P19" s="2"/>
      <c r="Q19" s="2"/>
      <c r="R19" s="2"/>
      <c r="S19" s="2"/>
      <c r="T19" s="2"/>
      <c r="U19" s="2"/>
      <c r="V19" s="2"/>
      <c r="W19" s="2"/>
      <c r="X19" s="2"/>
      <c r="Y19" s="2"/>
      <c r="Z19" s="2"/>
    </row>
    <row r="20" customHeight="1" spans="1:26">
      <c r="A20" s="13" t="s">
        <v>89</v>
      </c>
      <c r="B20" s="13" t="s">
        <v>4768</v>
      </c>
      <c r="C20" s="13" t="s">
        <v>91</v>
      </c>
      <c r="D20" s="57"/>
      <c r="E20" s="57"/>
      <c r="F20" s="13" t="s">
        <v>4769</v>
      </c>
      <c r="G20" s="13" t="s">
        <v>4770</v>
      </c>
      <c r="H20" s="2"/>
      <c r="I20" s="2"/>
      <c r="J20" s="2"/>
      <c r="K20" s="2"/>
      <c r="L20" s="2"/>
      <c r="M20" s="2"/>
      <c r="N20" s="2"/>
      <c r="O20" s="2"/>
      <c r="P20" s="2"/>
      <c r="Q20" s="2"/>
      <c r="R20" s="2"/>
      <c r="S20" s="2"/>
      <c r="T20" s="2"/>
      <c r="U20" s="2"/>
      <c r="V20" s="2"/>
      <c r="W20" s="2"/>
      <c r="X20" s="2"/>
      <c r="Y20" s="2"/>
      <c r="Z20" s="2"/>
    </row>
    <row r="21" customHeight="1" spans="1:26">
      <c r="A21" s="64" t="s">
        <v>94</v>
      </c>
      <c r="B21" s="13" t="s">
        <v>4771</v>
      </c>
      <c r="C21" s="13" t="s">
        <v>925</v>
      </c>
      <c r="D21" s="65">
        <v>60</v>
      </c>
      <c r="E21" s="13" t="s">
        <v>71</v>
      </c>
      <c r="F21" s="13" t="s">
        <v>4772</v>
      </c>
      <c r="G21" s="13" t="s">
        <v>4773</v>
      </c>
      <c r="H21" s="2"/>
      <c r="I21" s="2"/>
      <c r="J21" s="2"/>
      <c r="K21" s="2"/>
      <c r="L21" s="2"/>
      <c r="M21" s="2"/>
      <c r="N21" s="2"/>
      <c r="O21" s="2"/>
      <c r="P21" s="2"/>
      <c r="Q21" s="2"/>
      <c r="R21" s="2"/>
      <c r="S21" s="2"/>
      <c r="T21" s="2"/>
      <c r="U21" s="2"/>
      <c r="V21" s="2"/>
      <c r="W21" s="2"/>
      <c r="X21" s="2"/>
      <c r="Y21" s="2"/>
      <c r="Z21" s="2"/>
    </row>
    <row r="22" customHeight="1" spans="1:26">
      <c r="A22" s="64" t="s">
        <v>99</v>
      </c>
      <c r="B22" s="13" t="s">
        <v>928</v>
      </c>
      <c r="C22" s="13" t="s">
        <v>925</v>
      </c>
      <c r="D22" s="65">
        <v>70</v>
      </c>
      <c r="E22" s="13" t="s">
        <v>32</v>
      </c>
      <c r="F22" s="13" t="s">
        <v>929</v>
      </c>
      <c r="G22" s="13" t="s">
        <v>4774</v>
      </c>
      <c r="H22" s="2"/>
      <c r="I22" s="2"/>
      <c r="J22" s="2"/>
      <c r="K22" s="2"/>
      <c r="L22" s="2"/>
      <c r="M22" s="2"/>
      <c r="N22" s="2"/>
      <c r="O22" s="2"/>
      <c r="P22" s="2"/>
      <c r="Q22" s="2"/>
      <c r="R22" s="2"/>
      <c r="S22" s="2"/>
      <c r="T22" s="2"/>
      <c r="U22" s="2"/>
      <c r="V22" s="2"/>
      <c r="W22" s="2"/>
      <c r="X22" s="2"/>
      <c r="Y22" s="2"/>
      <c r="Z22" s="2"/>
    </row>
    <row r="23" customHeight="1" spans="1:26">
      <c r="A23" s="64" t="s">
        <v>102</v>
      </c>
      <c r="B23" s="13" t="s">
        <v>4775</v>
      </c>
      <c r="C23" s="13" t="s">
        <v>108</v>
      </c>
      <c r="D23" s="65">
        <v>123</v>
      </c>
      <c r="E23" s="13" t="s">
        <v>21</v>
      </c>
      <c r="F23" s="13" t="s">
        <v>4776</v>
      </c>
      <c r="G23" s="13" t="s">
        <v>4777</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13" t="s">
        <v>4778</v>
      </c>
      <c r="H24" s="2"/>
      <c r="I24" s="2"/>
      <c r="J24" s="2"/>
      <c r="K24" s="2"/>
      <c r="L24" s="2"/>
      <c r="M24" s="2"/>
      <c r="N24" s="2"/>
      <c r="O24" s="2"/>
      <c r="P24" s="2"/>
      <c r="Q24" s="2"/>
      <c r="R24" s="2"/>
      <c r="S24" s="2"/>
      <c r="T24" s="2"/>
      <c r="U24" s="2"/>
      <c r="V24" s="2"/>
      <c r="W24" s="2"/>
      <c r="X24" s="2"/>
      <c r="Y24" s="2"/>
      <c r="Z24" s="2"/>
    </row>
    <row r="25" customHeight="1" spans="1:26">
      <c r="A25" s="13" t="s">
        <v>110</v>
      </c>
      <c r="B25" s="13" t="s">
        <v>4779</v>
      </c>
      <c r="C25" s="13" t="s">
        <v>112</v>
      </c>
      <c r="D25" s="57"/>
      <c r="E25" s="57"/>
      <c r="F25" s="13" t="s">
        <v>4780</v>
      </c>
      <c r="G25" s="13" t="s">
        <v>4781</v>
      </c>
      <c r="H25" s="2"/>
      <c r="I25" s="2"/>
      <c r="J25" s="2"/>
      <c r="K25" s="2"/>
      <c r="L25" s="2"/>
      <c r="M25" s="2"/>
      <c r="N25" s="2"/>
      <c r="O25" s="2"/>
      <c r="P25" s="2"/>
      <c r="Q25" s="2"/>
      <c r="R25" s="2"/>
      <c r="S25" s="2"/>
      <c r="T25" s="2"/>
      <c r="U25" s="2"/>
      <c r="V25" s="2"/>
      <c r="W25" s="2"/>
      <c r="X25" s="2"/>
      <c r="Y25" s="2"/>
      <c r="Z25" s="2"/>
    </row>
    <row r="26" customHeight="1" spans="1:26">
      <c r="A26" s="13" t="s">
        <v>115</v>
      </c>
      <c r="B26" s="13" t="s">
        <v>4782</v>
      </c>
      <c r="C26" s="13" t="s">
        <v>117</v>
      </c>
      <c r="D26" s="65">
        <v>90</v>
      </c>
      <c r="E26" s="13" t="s">
        <v>32</v>
      </c>
      <c r="F26" s="13" t="s">
        <v>4783</v>
      </c>
      <c r="G26" s="13" t="s">
        <v>4784</v>
      </c>
      <c r="H26" s="2"/>
      <c r="I26" s="2"/>
      <c r="J26" s="2"/>
      <c r="K26" s="2"/>
      <c r="L26" s="2"/>
      <c r="M26" s="2"/>
      <c r="N26" s="2"/>
      <c r="O26" s="2"/>
      <c r="P26" s="2"/>
      <c r="Q26" s="2"/>
      <c r="R26" s="2"/>
      <c r="S26" s="2"/>
      <c r="T26" s="2"/>
      <c r="U26" s="2"/>
      <c r="V26" s="2"/>
      <c r="W26" s="2"/>
      <c r="X26" s="2"/>
      <c r="Y26" s="2"/>
      <c r="Z26" s="2"/>
    </row>
    <row r="27" customHeight="1" spans="1:26">
      <c r="A27" s="64" t="s">
        <v>120</v>
      </c>
      <c r="B27" s="13" t="s">
        <v>4785</v>
      </c>
      <c r="C27" s="13" t="s">
        <v>117</v>
      </c>
      <c r="D27" s="65">
        <v>60</v>
      </c>
      <c r="E27" s="13" t="s">
        <v>37</v>
      </c>
      <c r="F27" s="13" t="s">
        <v>4786</v>
      </c>
      <c r="G27" s="13" t="s">
        <v>4787</v>
      </c>
      <c r="H27" s="2"/>
      <c r="I27" s="2"/>
      <c r="J27" s="2"/>
      <c r="K27" s="2"/>
      <c r="L27" s="2"/>
      <c r="M27" s="2"/>
      <c r="N27" s="2"/>
      <c r="O27" s="2"/>
      <c r="P27" s="2"/>
      <c r="Q27" s="2"/>
      <c r="R27" s="2"/>
      <c r="S27" s="2"/>
      <c r="T27" s="2"/>
      <c r="U27" s="2"/>
      <c r="V27" s="2"/>
      <c r="W27" s="2"/>
      <c r="X27" s="2"/>
      <c r="Y27" s="2"/>
      <c r="Z27" s="2"/>
    </row>
    <row r="28" customHeight="1" spans="1:26">
      <c r="A28" s="13" t="s">
        <v>123</v>
      </c>
      <c r="B28" s="13" t="s">
        <v>4788</v>
      </c>
      <c r="C28" s="13" t="s">
        <v>117</v>
      </c>
      <c r="D28" s="65">
        <v>80</v>
      </c>
      <c r="E28" s="13" t="s">
        <v>245</v>
      </c>
      <c r="F28" s="13" t="s">
        <v>4789</v>
      </c>
      <c r="G28" s="13" t="s">
        <v>4790</v>
      </c>
      <c r="H28" s="2"/>
      <c r="I28" s="2"/>
      <c r="J28" s="2"/>
      <c r="K28" s="2"/>
      <c r="L28" s="2"/>
      <c r="M28" s="2"/>
      <c r="N28" s="2"/>
      <c r="O28" s="2"/>
      <c r="P28" s="2"/>
      <c r="Q28" s="2"/>
      <c r="R28" s="2"/>
      <c r="S28" s="2"/>
      <c r="T28" s="2"/>
      <c r="U28" s="2"/>
      <c r="V28" s="2"/>
      <c r="W28" s="2"/>
      <c r="X28" s="2"/>
      <c r="Y28" s="2"/>
      <c r="Z28" s="2"/>
    </row>
    <row r="29" customHeight="1" spans="1:26">
      <c r="A29" s="64" t="s">
        <v>127</v>
      </c>
      <c r="B29" s="13" t="s">
        <v>4791</v>
      </c>
      <c r="C29" s="13" t="s">
        <v>117</v>
      </c>
      <c r="D29" s="65">
        <v>50</v>
      </c>
      <c r="E29" s="13" t="s">
        <v>37</v>
      </c>
      <c r="F29" s="13" t="s">
        <v>4792</v>
      </c>
      <c r="G29" s="13" t="s">
        <v>4793</v>
      </c>
      <c r="H29" s="2"/>
      <c r="I29" s="2"/>
      <c r="J29" s="2"/>
      <c r="K29" s="2"/>
      <c r="L29" s="2"/>
      <c r="M29" s="2"/>
      <c r="N29" s="2"/>
      <c r="O29" s="2"/>
      <c r="P29" s="2"/>
      <c r="Q29" s="2"/>
      <c r="R29" s="2"/>
      <c r="S29" s="2"/>
      <c r="T29" s="2"/>
      <c r="U29" s="2"/>
      <c r="V29" s="2"/>
      <c r="W29" s="2"/>
      <c r="X29" s="2"/>
      <c r="Y29" s="2"/>
      <c r="Z29" s="2"/>
    </row>
    <row r="30" customHeight="1" spans="1:26">
      <c r="A30" s="64" t="s">
        <v>131</v>
      </c>
      <c r="B30" s="13" t="s">
        <v>1709</v>
      </c>
      <c r="C30" s="13" t="s">
        <v>117</v>
      </c>
      <c r="D30" s="65">
        <v>50</v>
      </c>
      <c r="E30" s="13" t="s">
        <v>32</v>
      </c>
      <c r="F30" s="13" t="s">
        <v>4794</v>
      </c>
      <c r="G30" s="13" t="s">
        <v>4795</v>
      </c>
      <c r="H30" s="2"/>
      <c r="I30" s="2"/>
      <c r="J30" s="2"/>
      <c r="K30" s="2"/>
      <c r="L30" s="2"/>
      <c r="M30" s="2"/>
      <c r="N30" s="2"/>
      <c r="O30" s="2"/>
      <c r="P30" s="2"/>
      <c r="Q30" s="2"/>
      <c r="R30" s="2"/>
      <c r="S30" s="2"/>
      <c r="T30" s="2"/>
      <c r="U30" s="2"/>
      <c r="V30" s="2"/>
      <c r="W30" s="2"/>
      <c r="X30" s="2"/>
      <c r="Y30" s="2"/>
      <c r="Z30" s="2"/>
    </row>
    <row r="31" customHeight="1" spans="1:26">
      <c r="A31" s="64" t="s">
        <v>135</v>
      </c>
      <c r="B31" s="13" t="s">
        <v>4796</v>
      </c>
      <c r="C31" s="13" t="s">
        <v>117</v>
      </c>
      <c r="D31" s="65">
        <v>30</v>
      </c>
      <c r="E31" s="13" t="s">
        <v>32</v>
      </c>
      <c r="F31" s="13" t="s">
        <v>4797</v>
      </c>
      <c r="G31" s="13" t="s">
        <v>4798</v>
      </c>
      <c r="H31" s="2"/>
      <c r="I31" s="2"/>
      <c r="J31" s="2"/>
      <c r="K31" s="2"/>
      <c r="L31" s="2"/>
      <c r="M31" s="2"/>
      <c r="N31" s="2"/>
      <c r="O31" s="2"/>
      <c r="P31" s="2"/>
      <c r="Q31" s="2"/>
      <c r="R31" s="2"/>
      <c r="S31" s="2"/>
      <c r="T31" s="2"/>
      <c r="U31" s="2"/>
      <c r="V31" s="2"/>
      <c r="W31" s="2"/>
      <c r="X31" s="2"/>
      <c r="Y31" s="2"/>
      <c r="Z31" s="2"/>
    </row>
    <row r="32" customHeight="1" spans="1:26">
      <c r="A32" s="13" t="s">
        <v>139</v>
      </c>
      <c r="B32" s="13" t="s">
        <v>7596</v>
      </c>
      <c r="C32" s="13" t="s">
        <v>141</v>
      </c>
      <c r="D32" s="14">
        <v>55</v>
      </c>
      <c r="E32" s="13" t="s">
        <v>37</v>
      </c>
      <c r="F32" s="68" t="str">
        <f>HYPERLINK("https://pbs.twimg.com/profile_images/2386439847/mood6k7m9kph9873pj7y.jpeg","https://pbs.twimg.com/profile_images/2386439847/mood6k7m9kph9873pj7y.jpeg")</f>
        <v>https://pbs.twimg.com/profile_images/2386439847/mood6k7m9kph9873pj7y.jpeg</v>
      </c>
      <c r="G32" s="68" t="str">
        <f>HYPERLINK("http://www.dohertysgym.com/locations/melbourne-cbd/","http://www.dohertysgym.com/locations/melbourne-cbd/")</f>
        <v>http://www.dohertysgym.com/locations/melbourne-cbd/</v>
      </c>
      <c r="H32" s="2"/>
      <c r="I32" s="2"/>
      <c r="J32" s="2"/>
      <c r="K32" s="2"/>
      <c r="L32" s="2"/>
      <c r="M32" s="2"/>
      <c r="N32" s="2"/>
      <c r="O32" s="2"/>
      <c r="P32" s="2"/>
      <c r="Q32" s="2"/>
      <c r="R32" s="2"/>
      <c r="S32" s="2"/>
      <c r="T32" s="2"/>
      <c r="U32" s="2"/>
      <c r="V32" s="2"/>
      <c r="W32" s="2"/>
      <c r="X32" s="2"/>
      <c r="Y32" s="2"/>
      <c r="Z32" s="2"/>
    </row>
    <row r="33" customHeight="1" spans="1:26">
      <c r="A33" s="13" t="s">
        <v>144</v>
      </c>
      <c r="B33" s="13" t="s">
        <v>4802</v>
      </c>
      <c r="C33" s="13" t="s">
        <v>146</v>
      </c>
      <c r="D33" s="57"/>
      <c r="E33" s="57"/>
      <c r="F33" s="13" t="s">
        <v>4803</v>
      </c>
      <c r="G33" s="13" t="s">
        <v>4804</v>
      </c>
      <c r="H33" s="2"/>
      <c r="I33" s="2"/>
      <c r="J33" s="2"/>
      <c r="K33" s="2"/>
      <c r="L33" s="2"/>
      <c r="M33" s="2"/>
      <c r="N33" s="2"/>
      <c r="O33" s="2"/>
      <c r="P33" s="2"/>
      <c r="Q33" s="2"/>
      <c r="R33" s="2"/>
      <c r="S33" s="2"/>
      <c r="T33" s="2"/>
      <c r="U33" s="2"/>
      <c r="V33" s="2"/>
      <c r="W33" s="2"/>
      <c r="X33" s="2"/>
      <c r="Y33" s="2"/>
      <c r="Z33" s="2"/>
    </row>
    <row r="34" customHeight="1" spans="1:26">
      <c r="A34" s="13" t="s">
        <v>149</v>
      </c>
      <c r="B34" s="13" t="s">
        <v>4805</v>
      </c>
      <c r="C34" s="13" t="s">
        <v>151</v>
      </c>
      <c r="D34" s="57"/>
      <c r="E34" s="57"/>
      <c r="F34" s="13" t="s">
        <v>4806</v>
      </c>
      <c r="G34" s="13" t="s">
        <v>4807</v>
      </c>
      <c r="H34" s="2"/>
      <c r="I34" s="2"/>
      <c r="J34" s="2"/>
      <c r="K34" s="2"/>
      <c r="L34" s="2"/>
      <c r="M34" s="2"/>
      <c r="N34" s="2"/>
      <c r="O34" s="2"/>
      <c r="P34" s="2"/>
      <c r="Q34" s="2"/>
      <c r="R34" s="2"/>
      <c r="S34" s="2"/>
      <c r="T34" s="2"/>
      <c r="U34" s="2"/>
      <c r="V34" s="2"/>
      <c r="W34" s="2"/>
      <c r="X34" s="2"/>
      <c r="Y34" s="2"/>
      <c r="Z34" s="2"/>
    </row>
    <row r="35" customHeight="1" spans="1:26">
      <c r="A35" s="64" t="s">
        <v>154</v>
      </c>
      <c r="B35" s="13" t="s">
        <v>3538</v>
      </c>
      <c r="C35" s="13" t="s">
        <v>156</v>
      </c>
      <c r="D35" s="65">
        <v>30</v>
      </c>
      <c r="E35" s="13" t="s">
        <v>37</v>
      </c>
      <c r="F35" s="13" t="s">
        <v>4808</v>
      </c>
      <c r="G35" s="13" t="s">
        <v>4809</v>
      </c>
      <c r="H35" s="2"/>
      <c r="I35" s="2"/>
      <c r="J35" s="2"/>
      <c r="K35" s="2"/>
      <c r="L35" s="2"/>
      <c r="M35" s="2"/>
      <c r="N35" s="2"/>
      <c r="O35" s="2"/>
      <c r="P35" s="2"/>
      <c r="Q35" s="2"/>
      <c r="R35" s="2"/>
      <c r="S35" s="2"/>
      <c r="T35" s="2"/>
      <c r="U35" s="2"/>
      <c r="V35" s="2"/>
      <c r="W35" s="2"/>
      <c r="X35" s="2"/>
      <c r="Y35" s="2"/>
      <c r="Z35" s="2"/>
    </row>
    <row r="36" customHeight="1" spans="1:26">
      <c r="A36" s="13" t="s">
        <v>159</v>
      </c>
      <c r="B36" s="99" t="str">
        <f>HYPERLINK("https://www.google.com.au/maps/place/22+St+Kilda+Rd,+St+Kilda+VIC+3182/@-37.8569824,144.9834588,17z/data=!3m1!4b1!4m2!3m1!1s0x6ad6683ff80a1fb7:0x78e69095a5fefbff","Synapse IT Consultants ")</f>
        <v>Synapse IT Consultants </v>
      </c>
      <c r="C36" s="13" t="s">
        <v>2623</v>
      </c>
      <c r="D36" s="57"/>
      <c r="E36" s="57"/>
      <c r="F36" s="68" t="str">
        <f>HYPERLINK("https://media.licdn.com/mpr/mpr/shrink_200_200/AAEAAQAAAAAAAAkEAAAAJDViYjgyMDAzLTkyYWUtNDVjOC05ZjhmLTNlNDEwMzRiNDI1NA.png","https://media.licdn.com/mpr/mpr/shrink_200_200/AAEAAQAAAAAAAAkEAAAAJDViYjgyMDAzLTkyYWUtNDVjOC05ZjhmLTNlNDEwMzRiNDI1NA.png")</f>
        <v>https://media.licdn.com/mpr/mpr/shrink_200_200/AAEAAQAAAAAAAAkEAAAAJDViYjgyMDAzLTkyYWUtNDVjOC05ZjhmLTNlNDEwMzRiNDI1NA.png</v>
      </c>
      <c r="G36" s="68" t="str">
        <f>HYPERLINK("http://www.itconsultants.com.au","http://www.itconsultants.com.au")</f>
        <v>http://www.itconsultants.com.au</v>
      </c>
      <c r="H36" s="2"/>
      <c r="I36" s="2"/>
      <c r="J36" s="2"/>
      <c r="K36" s="2"/>
      <c r="L36" s="2"/>
      <c r="M36" s="2"/>
      <c r="N36" s="2"/>
      <c r="O36" s="2"/>
      <c r="P36" s="2"/>
      <c r="Q36" s="2"/>
      <c r="R36" s="2"/>
      <c r="S36" s="2"/>
      <c r="T36" s="2"/>
      <c r="U36" s="2"/>
      <c r="V36" s="2"/>
      <c r="W36" s="2"/>
      <c r="X36" s="2"/>
      <c r="Y36" s="2"/>
      <c r="Z36" s="2"/>
    </row>
    <row r="37" customHeight="1" spans="1:26">
      <c r="A37" s="13" t="s">
        <v>164</v>
      </c>
      <c r="B37" s="13" t="s">
        <v>7597</v>
      </c>
      <c r="C37" s="13" t="s">
        <v>166</v>
      </c>
      <c r="D37" s="57"/>
      <c r="E37" s="57"/>
      <c r="F37" s="68" t="str">
        <f>HYPERLINK("http://www.newscorpaustralia.com/sites/default/files/styles/news_610_wide/public/realcommercial.jpg?itok=0-BJvQfV","http://www.newscorpaustralia.com/sites/default/files/styles/news_610_wide/public/realcommercial.jpg?itok=0-BJvQfV")</f>
        <v>http://www.newscorpaustralia.com/sites/default/files/styles/news_610_wide/public/realcommercial.jpg?itok=0-BJvQfV</v>
      </c>
      <c r="G37" s="68" t="str">
        <f>HYPERLINK("http://www.realcommercial.com.au/for-sale/in-melbourne,+vic/list-1","http://www.realcommercial.com.au/for-sale/in-melbourne,+vic/list-1")</f>
        <v>http://www.realcommercial.com.au/for-sale/in-melbourne,+vic/list-1</v>
      </c>
      <c r="H37" s="2"/>
      <c r="I37" s="2"/>
      <c r="J37" s="2"/>
      <c r="K37" s="2"/>
      <c r="L37" s="2"/>
      <c r="M37" s="2"/>
      <c r="N37" s="2"/>
      <c r="O37" s="2"/>
      <c r="P37" s="2"/>
      <c r="Q37" s="2"/>
      <c r="R37" s="2"/>
      <c r="S37" s="2"/>
      <c r="T37" s="2"/>
      <c r="U37" s="2"/>
      <c r="V37" s="2"/>
      <c r="W37" s="2"/>
      <c r="X37" s="2"/>
      <c r="Y37" s="2"/>
      <c r="Z37" s="2"/>
    </row>
    <row r="38" customHeight="1" spans="1:26">
      <c r="A38" s="64" t="s">
        <v>169</v>
      </c>
      <c r="B38" s="13" t="s">
        <v>4816</v>
      </c>
      <c r="C38" s="13" t="s">
        <v>171</v>
      </c>
      <c r="D38" s="65">
        <v>46</v>
      </c>
      <c r="E38" s="13" t="s">
        <v>37</v>
      </c>
      <c r="F38" s="13" t="s">
        <v>4817</v>
      </c>
      <c r="G38" s="13" t="s">
        <v>4818</v>
      </c>
      <c r="H38" s="2"/>
      <c r="I38" s="2"/>
      <c r="J38" s="2"/>
      <c r="K38" s="2"/>
      <c r="L38" s="2"/>
      <c r="M38" s="2"/>
      <c r="N38" s="2"/>
      <c r="O38" s="2"/>
      <c r="P38" s="2"/>
      <c r="Q38" s="2"/>
      <c r="R38" s="2"/>
      <c r="S38" s="2"/>
      <c r="T38" s="2"/>
      <c r="U38" s="2"/>
      <c r="V38" s="2"/>
      <c r="W38" s="2"/>
      <c r="X38" s="2"/>
      <c r="Y38" s="2"/>
      <c r="Z38" s="2"/>
    </row>
    <row r="39" customHeight="1" spans="1:26">
      <c r="A39" s="64" t="s">
        <v>174</v>
      </c>
      <c r="B39" s="13" t="s">
        <v>4819</v>
      </c>
      <c r="C39" s="13" t="s">
        <v>171</v>
      </c>
      <c r="D39" s="65">
        <v>30</v>
      </c>
      <c r="E39" s="13" t="s">
        <v>37</v>
      </c>
      <c r="F39" s="13" t="s">
        <v>4820</v>
      </c>
      <c r="G39" s="13" t="s">
        <v>4821</v>
      </c>
      <c r="H39" s="2"/>
      <c r="I39" s="2"/>
      <c r="J39" s="2"/>
      <c r="K39" s="2"/>
      <c r="L39" s="2"/>
      <c r="M39" s="2"/>
      <c r="N39" s="2"/>
      <c r="O39" s="2"/>
      <c r="P39" s="2"/>
      <c r="Q39" s="2"/>
      <c r="R39" s="2"/>
      <c r="S39" s="2"/>
      <c r="T39" s="2"/>
      <c r="U39" s="2"/>
      <c r="V39" s="2"/>
      <c r="W39" s="2"/>
      <c r="X39" s="2"/>
      <c r="Y39" s="2"/>
      <c r="Z39" s="2"/>
    </row>
    <row r="40" customHeight="1" spans="1:26">
      <c r="A40" s="64" t="s">
        <v>178</v>
      </c>
      <c r="B40" s="13" t="s">
        <v>7598</v>
      </c>
      <c r="C40" s="13" t="s">
        <v>180</v>
      </c>
      <c r="D40" s="65">
        <v>45</v>
      </c>
      <c r="E40" s="13" t="s">
        <v>37</v>
      </c>
      <c r="F40" s="68" t="str">
        <f>HYPERLINK("https://threebestrated.com.au/images/AlbertParkGolfCourse-Melbourne-VIC.jpeg","https://threebestrated.com.au/images/AlbertParkGolfCourse-Melbourne-VIC.jpeg")</f>
        <v>https://threebestrated.com.au/images/AlbertParkGolfCourse-Melbourne-VIC.jpeg</v>
      </c>
      <c r="G40" s="68" t="str">
        <f>HYPERLINK("https://www.albertparkgolf.com.au","https://www.albertparkgolf.com.au")</f>
        <v>https://www.albertparkgolf.com.au</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4825</v>
      </c>
      <c r="H41" s="2"/>
      <c r="I41" s="2"/>
      <c r="J41" s="2"/>
      <c r="K41" s="2"/>
      <c r="L41" s="2"/>
      <c r="M41" s="2"/>
      <c r="N41" s="2"/>
      <c r="O41" s="2"/>
      <c r="P41" s="2"/>
      <c r="Q41" s="2"/>
      <c r="R41" s="2"/>
      <c r="S41" s="2"/>
      <c r="T41" s="2"/>
      <c r="U41" s="2"/>
      <c r="V41" s="2"/>
      <c r="W41" s="2"/>
      <c r="X41" s="2"/>
      <c r="Y41" s="2"/>
      <c r="Z41" s="2"/>
    </row>
    <row r="42" customHeight="1" spans="1:26">
      <c r="A42" s="64" t="s">
        <v>188</v>
      </c>
      <c r="B42" s="13" t="s">
        <v>7599</v>
      </c>
      <c r="C42" s="13" t="s">
        <v>190</v>
      </c>
      <c r="D42" s="65">
        <v>650</v>
      </c>
      <c r="E42" s="13" t="s">
        <v>37</v>
      </c>
      <c r="F42" s="68" t="str">
        <f>HYPERLINK("https://s3-media1.fl.yelpcdn.com/bphoto/F1ZJ_IX_0fRcDSFu2bXtGw/ls.jpg","https://s3-media1.fl.yelpcdn.com/bphoto/F1ZJ_IX_0fRcDSFu2bXtGw/ls.jpg")</f>
        <v>https://s3-media1.fl.yelpcdn.com/bphoto/F1ZJ_IX_0fRcDSFu2bXtGw/ls.jpg</v>
      </c>
      <c r="G42" s="68" t="str">
        <f>HYPERLINK("https://mortgagebrokermelbourne.net.au","https://mortgagebrokermelbourne.net.au")</f>
        <v>https://mortgagebrokermelbourne.net.au</v>
      </c>
      <c r="H42" s="2"/>
      <c r="I42" s="2"/>
      <c r="J42" s="2"/>
      <c r="K42" s="2"/>
      <c r="L42" s="2"/>
      <c r="M42" s="2"/>
      <c r="N42" s="2"/>
      <c r="O42" s="2"/>
      <c r="P42" s="2"/>
      <c r="Q42" s="2"/>
      <c r="R42" s="2"/>
      <c r="S42" s="2"/>
      <c r="T42" s="2"/>
      <c r="U42" s="2"/>
      <c r="V42" s="2"/>
      <c r="W42" s="2"/>
      <c r="X42" s="2"/>
      <c r="Y42" s="2"/>
      <c r="Z42" s="2"/>
    </row>
    <row r="43" customHeight="1" spans="1:26">
      <c r="A43" s="13" t="s">
        <v>193</v>
      </c>
      <c r="B43" s="13" t="s">
        <v>7600</v>
      </c>
      <c r="C43" s="13" t="s">
        <v>195</v>
      </c>
      <c r="D43" s="57"/>
      <c r="E43" s="57"/>
      <c r="F43" s="68" t="str">
        <f>HYPERLINK("https://www.stationery.net.au/static/uploads/images/logo-wfzgotawwgqg.png","https://www.stationery.net.au/static/uploads/images/logo-wfzgotawwgqg.png")</f>
        <v>https://www.stationery.net.au/static/uploads/images/logo-wfzgotawwgqg.png</v>
      </c>
      <c r="G43" s="68" t="str">
        <f>HYPERLINK("https://www.stationery.net.au","https://www.stationery.net.au")</f>
        <v>https://www.stationery.net.au</v>
      </c>
      <c r="H43" s="2"/>
      <c r="I43" s="2"/>
      <c r="J43" s="2"/>
      <c r="K43" s="2"/>
      <c r="L43" s="2"/>
      <c r="M43" s="2"/>
      <c r="N43" s="2"/>
      <c r="O43" s="2"/>
      <c r="P43" s="2"/>
      <c r="Q43" s="2"/>
      <c r="R43" s="2"/>
      <c r="S43" s="2"/>
      <c r="T43" s="2"/>
      <c r="U43" s="2"/>
      <c r="V43" s="2"/>
      <c r="W43" s="2"/>
      <c r="X43" s="2"/>
      <c r="Y43" s="2"/>
      <c r="Z43" s="2"/>
    </row>
    <row r="44" customHeight="1" spans="1:26">
      <c r="A44" s="64" t="s">
        <v>198</v>
      </c>
      <c r="B44" s="13" t="s">
        <v>7601</v>
      </c>
      <c r="C44" s="13" t="s">
        <v>200</v>
      </c>
      <c r="D44" s="65">
        <v>30</v>
      </c>
      <c r="E44" s="13" t="s">
        <v>21</v>
      </c>
      <c r="F44" s="68" t="str">
        <f>HYPERLINK("https://s0.yellowpages.com.au/c86f2ae3-1d02-424b-aac0-896294a5652e/south-melbourne-optical-south-melbourne-3205-logo.jpg","https://s0.yellowpages.com.au/c86f2ae3-1d02-424b-aac0-896294a5652e/south-melbourne-optical-south-melbourne-3205-logo.jpg")</f>
        <v>https://s0.yellowpages.com.au/c86f2ae3-1d02-424b-aac0-896294a5652e/south-melbourne-optical-south-melbourne-3205-logo.jpg</v>
      </c>
      <c r="G44" s="68" t="str">
        <f>HYPERLINK("http://www.southmelbourneoptical.com.au","http://www.southmelbourneoptical.com.au")</f>
        <v>http://www.southmelbourneoptical.com.au</v>
      </c>
      <c r="H44" s="2"/>
      <c r="I44" s="2"/>
      <c r="J44" s="2"/>
      <c r="K44" s="2"/>
      <c r="L44" s="2"/>
      <c r="M44" s="2"/>
      <c r="N44" s="2"/>
      <c r="O44" s="2"/>
      <c r="P44" s="2"/>
      <c r="Q44" s="2"/>
      <c r="R44" s="2"/>
      <c r="S44" s="2"/>
      <c r="T44" s="2"/>
      <c r="U44" s="2"/>
      <c r="V44" s="2"/>
      <c r="W44" s="2"/>
      <c r="X44" s="2"/>
      <c r="Y44" s="2"/>
      <c r="Z44" s="2"/>
    </row>
    <row r="45" customHeight="1" spans="1:26">
      <c r="A45" s="13" t="s">
        <v>203</v>
      </c>
      <c r="B45" s="13" t="s">
        <v>7602</v>
      </c>
      <c r="C45" s="13" t="s">
        <v>200</v>
      </c>
      <c r="D45" s="14">
        <v>80</v>
      </c>
      <c r="E45" s="13" t="s">
        <v>21</v>
      </c>
      <c r="F45" s="68" t="str">
        <f>HYPERLINK("http://www.eyelife.com.au/images/logo.gif","http://www.eyelife.com.au/images/logo.gif")</f>
        <v>http://www.eyelife.com.au/images/logo.gif</v>
      </c>
      <c r="G45" s="68" t="str">
        <f>HYPERLINK("http://www.eyelife.com.au","http://www.eyelife.com.au")</f>
        <v>http://www.eyelife.com.au</v>
      </c>
      <c r="H45" s="2"/>
      <c r="I45" s="2"/>
      <c r="J45" s="2"/>
      <c r="K45" s="2"/>
      <c r="L45" s="2"/>
      <c r="M45" s="2"/>
      <c r="N45" s="2"/>
      <c r="O45" s="2"/>
      <c r="P45" s="2"/>
      <c r="Q45" s="2"/>
      <c r="R45" s="2"/>
      <c r="S45" s="2"/>
      <c r="T45" s="2"/>
      <c r="U45" s="2"/>
      <c r="V45" s="2"/>
      <c r="W45" s="2"/>
      <c r="X45" s="2"/>
      <c r="Y45" s="2"/>
      <c r="Z45" s="2"/>
    </row>
    <row r="46" customHeight="1" spans="1:26">
      <c r="A46" s="64" t="s">
        <v>207</v>
      </c>
      <c r="B46" s="13" t="s">
        <v>4838</v>
      </c>
      <c r="C46" s="13" t="s">
        <v>209</v>
      </c>
      <c r="D46" s="65">
        <v>5</v>
      </c>
      <c r="E46" s="13" t="s">
        <v>37</v>
      </c>
      <c r="F46" s="13" t="s">
        <v>4839</v>
      </c>
      <c r="G46" s="68" t="str">
        <f>HYPERLINK("https://www.secureparking.com.au/secure-a-spot/melbourne","https://www.secureparking.com.au/secure-a-spot/melbourne")</f>
        <v>https://www.secureparking.com.au/secure-a-spot/melbourne</v>
      </c>
      <c r="H46" s="2"/>
      <c r="I46" s="2"/>
      <c r="J46" s="2"/>
      <c r="K46" s="2"/>
      <c r="L46" s="2"/>
      <c r="M46" s="2"/>
      <c r="N46" s="2"/>
      <c r="O46" s="2"/>
      <c r="P46" s="2"/>
      <c r="Q46" s="2"/>
      <c r="R46" s="2"/>
      <c r="S46" s="2"/>
      <c r="T46" s="2"/>
      <c r="U46" s="2"/>
      <c r="V46" s="2"/>
      <c r="W46" s="2"/>
      <c r="X46" s="2"/>
      <c r="Y46" s="2"/>
      <c r="Z46" s="2"/>
    </row>
    <row r="47" customHeight="1" spans="1:26">
      <c r="A47" s="13" t="s">
        <v>212</v>
      </c>
      <c r="B47" s="13" t="s">
        <v>7603</v>
      </c>
      <c r="C47" s="13" t="s">
        <v>214</v>
      </c>
      <c r="D47" s="14">
        <v>20</v>
      </c>
      <c r="E47" s="13" t="s">
        <v>37</v>
      </c>
      <c r="F47" s="68" t="str">
        <f>HYPERLINK("https://s0.yellowpages.com.au/337111c4-5ce9-4ff4-aea1-d3ab1318bc22/melbourne-central-pharmacy-logo.jpg","https://s0.yellowpages.com.au/337111c4-5ce9-4ff4-aea1-d3ab1318bc22/melbourne-central-pharmacy-logo.jpg")</f>
        <v>https://s0.yellowpages.com.au/337111c4-5ce9-4ff4-aea1-d3ab1318bc22/melbourne-central-pharmacy-logo.jpg</v>
      </c>
      <c r="G47" s="68" t="str">
        <f>HYPERLINK("http://www.melbournecentralpharmacy.com.au","http://www.melbournecentralpharmacy.com.au")</f>
        <v>http://www.melbournecentralpharmacy.com.au</v>
      </c>
      <c r="H47" s="2"/>
      <c r="I47" s="2"/>
      <c r="J47" s="2"/>
      <c r="K47" s="2"/>
      <c r="L47" s="2"/>
      <c r="M47" s="2"/>
      <c r="N47" s="2"/>
      <c r="O47" s="2"/>
      <c r="P47" s="2"/>
      <c r="Q47" s="2"/>
      <c r="R47" s="2"/>
      <c r="S47" s="2"/>
      <c r="T47" s="2"/>
      <c r="U47" s="2"/>
      <c r="V47" s="2"/>
      <c r="W47" s="2"/>
      <c r="X47" s="2"/>
      <c r="Y47" s="2"/>
      <c r="Z47" s="2"/>
    </row>
    <row r="48" customHeight="1" spans="1:26">
      <c r="A48" s="13" t="s">
        <v>217</v>
      </c>
      <c r="B48" s="13" t="s">
        <v>4844</v>
      </c>
      <c r="C48" s="13" t="s">
        <v>219</v>
      </c>
      <c r="D48" s="57"/>
      <c r="E48" s="57"/>
      <c r="F48" s="13" t="s">
        <v>4845</v>
      </c>
      <c r="G48" s="13" t="s">
        <v>4846</v>
      </c>
      <c r="H48" s="2"/>
      <c r="I48" s="2"/>
      <c r="J48" s="2"/>
      <c r="K48" s="2"/>
      <c r="L48" s="2"/>
      <c r="M48" s="2"/>
      <c r="N48" s="2"/>
      <c r="O48" s="2"/>
      <c r="P48" s="2"/>
      <c r="Q48" s="2"/>
      <c r="R48" s="2"/>
      <c r="S48" s="2"/>
      <c r="T48" s="2"/>
      <c r="U48" s="2"/>
      <c r="V48" s="2"/>
      <c r="W48" s="2"/>
      <c r="X48" s="2"/>
      <c r="Y48" s="2"/>
      <c r="Z48" s="2"/>
    </row>
    <row r="49" customHeight="1" spans="1:26">
      <c r="A49" s="13" t="s">
        <v>222</v>
      </c>
      <c r="B49" s="13" t="s">
        <v>7604</v>
      </c>
      <c r="C49" s="13" t="s">
        <v>224</v>
      </c>
      <c r="D49" s="14">
        <v>96</v>
      </c>
      <c r="E49" s="13" t="s">
        <v>21</v>
      </c>
      <c r="F49" s="68" t="str">
        <f>HYPERLINK("http://www.amazingappliancerepair.com.au/img/logo.png","http://www.amazingappliancerepair.com.au/img/logo.png")</f>
        <v>http://www.amazingappliancerepair.com.au/img/logo.png</v>
      </c>
      <c r="G49" s="68" t="str">
        <f>HYPERLINK("http://www.amazingappliancerepair.com.au","http://www.amazingappliancerepair.com.au")</f>
        <v>http://www.amazingappliancerepair.com.au</v>
      </c>
      <c r="H49" s="2"/>
      <c r="I49" s="2"/>
      <c r="J49" s="2"/>
      <c r="K49" s="2"/>
      <c r="L49" s="2"/>
      <c r="M49" s="2"/>
      <c r="N49" s="2"/>
      <c r="O49" s="2"/>
      <c r="P49" s="2"/>
      <c r="Q49" s="2"/>
      <c r="R49" s="2"/>
      <c r="S49" s="2"/>
      <c r="T49" s="2"/>
      <c r="U49" s="2"/>
      <c r="V49" s="2"/>
      <c r="W49" s="2"/>
      <c r="X49" s="2"/>
      <c r="Y49" s="2"/>
      <c r="Z49" s="2"/>
    </row>
    <row r="50" customHeight="1" spans="1:26">
      <c r="A50" s="13" t="s">
        <v>227</v>
      </c>
      <c r="B50" s="13" t="s">
        <v>7605</v>
      </c>
      <c r="C50" s="13" t="s">
        <v>229</v>
      </c>
      <c r="D50" s="14">
        <v>66</v>
      </c>
      <c r="E50" s="13" t="s">
        <v>21</v>
      </c>
      <c r="F50" s="68" t="str">
        <f>HYPERLINK("http://www.omlaptoprepairs.com/images/om%201.jpg","http://www.omlaptoprepairs.com/images/om%201.jpg")</f>
        <v>http://www.omlaptoprepairs.com/images/om%201.jpg</v>
      </c>
      <c r="G50" s="68" t="str">
        <f>HYPERLINK("http://www.omlaptoprepairs.com","http://www.omlaptoprepairs.com")</f>
        <v>http://www.omlaptoprepairs.com</v>
      </c>
      <c r="H50" s="2"/>
      <c r="I50" s="2"/>
      <c r="J50" s="2"/>
      <c r="K50" s="2"/>
      <c r="L50" s="2"/>
      <c r="M50" s="2"/>
      <c r="N50" s="2"/>
      <c r="O50" s="2"/>
      <c r="P50" s="2"/>
      <c r="Q50" s="2"/>
      <c r="R50" s="2"/>
      <c r="S50" s="2"/>
      <c r="T50" s="2"/>
      <c r="U50" s="2"/>
      <c r="V50" s="2"/>
      <c r="W50" s="2"/>
      <c r="X50" s="2"/>
      <c r="Y50" s="2"/>
      <c r="Z50" s="2"/>
    </row>
    <row r="51" customHeight="1" spans="1:26">
      <c r="A51" s="13" t="s">
        <v>231</v>
      </c>
      <c r="B51" s="13" t="s">
        <v>7606</v>
      </c>
      <c r="C51" s="13" t="s">
        <v>224</v>
      </c>
      <c r="D51" s="14">
        <v>156</v>
      </c>
      <c r="E51" s="13" t="s">
        <v>21</v>
      </c>
      <c r="F51" s="68" t="str">
        <f>HYPERLINK("https://www.sosappliancemelbourne.com.au/images/image003.jpg","https://www.sosappliancemelbourne.com.au/images/image003.jpg")</f>
        <v>https://www.sosappliancemelbourne.com.au/images/image003.jpg</v>
      </c>
      <c r="G51" s="68" t="str">
        <f>HYPERLINK("http://melbourneappliancerepairs.com.au","http://melbourneappliancerepairs.com.au")</f>
        <v>http://melbourneappliancerepairs.com.au</v>
      </c>
      <c r="H51" s="2"/>
      <c r="I51" s="2"/>
      <c r="J51" s="2"/>
      <c r="K51" s="2"/>
      <c r="L51" s="2"/>
      <c r="M51" s="2"/>
      <c r="N51" s="2"/>
      <c r="O51" s="2"/>
      <c r="P51" s="2"/>
      <c r="Q51" s="2"/>
      <c r="R51" s="2"/>
      <c r="S51" s="2"/>
      <c r="T51" s="2"/>
      <c r="U51" s="2"/>
      <c r="V51" s="2"/>
      <c r="W51" s="2"/>
      <c r="X51" s="2"/>
      <c r="Y51" s="2"/>
      <c r="Z51" s="2"/>
    </row>
    <row r="52" customHeight="1" spans="1:26">
      <c r="A52" s="64" t="s">
        <v>234</v>
      </c>
      <c r="B52" s="13" t="s">
        <v>7607</v>
      </c>
      <c r="C52" s="13" t="s">
        <v>236</v>
      </c>
      <c r="D52" s="65">
        <v>30</v>
      </c>
      <c r="E52" s="13" t="s">
        <v>37</v>
      </c>
      <c r="F52" s="68" t="str">
        <f>HYPERLINK("https://longrain.com/resources/artwork/lgm.png","https://longrain.com/resources/artwork/lgm.png")</f>
        <v>https://longrain.com/resources/artwork/lgm.png</v>
      </c>
      <c r="G52" s="68" t="str">
        <f>HYPERLINK("https://longrain.com/melbourne","https://longrain.com/melbourne")</f>
        <v>https://longrain.com/melbourne</v>
      </c>
      <c r="H52" s="2"/>
      <c r="I52" s="2"/>
      <c r="J52" s="2"/>
      <c r="K52" s="2"/>
      <c r="L52" s="2"/>
      <c r="M52" s="2"/>
      <c r="N52" s="2"/>
      <c r="O52" s="2"/>
      <c r="P52" s="2"/>
      <c r="Q52" s="2"/>
      <c r="R52" s="2"/>
      <c r="S52" s="2"/>
      <c r="T52" s="2"/>
      <c r="U52" s="2"/>
      <c r="V52" s="2"/>
      <c r="W52" s="2"/>
      <c r="X52" s="2"/>
      <c r="Y52" s="2"/>
      <c r="Z52" s="2"/>
    </row>
    <row r="53" customHeight="1" spans="1:26">
      <c r="A53" s="13" t="s">
        <v>239</v>
      </c>
      <c r="B53" s="13" t="s">
        <v>7608</v>
      </c>
      <c r="C53" s="13" t="s">
        <v>236</v>
      </c>
      <c r="D53" s="14">
        <v>230</v>
      </c>
      <c r="E53" s="13" t="s">
        <v>21</v>
      </c>
      <c r="F53" s="68" t="str">
        <f>HYPERLINK("http://www.chart-house.com/locations/melbourne/img/overview/melbourne_03.jpg","http://www.chart-house.com/locations/melbourne/img/overview/melbourne_03.jpg")</f>
        <v>http://www.chart-house.com/locations/melbourne/img/overview/melbourne_03.jpg</v>
      </c>
      <c r="G53" s="68" t="str">
        <f>HYPERLINK("http://www.chart-house.com/locations/melbourne/index.asp?utm_campaign=Yext&amp;utm_source=Yext&amp;utm_medium=Website&amp;utm_content=CHMB","http://www.chart-house.com/locations/melbourne/index.asp?utm_campaign=Yext&amp;utm_source=Yext&amp;utm_medium=Website&amp;utm_content=CHMB")</f>
        <v>http://www.chart-house.com/locations/melbourne/index.asp?utm_campaign=Yext&amp;utm_source=Yext&amp;utm_medium=Website&amp;utm_content=CHMB</v>
      </c>
      <c r="H53" s="2"/>
      <c r="I53" s="2"/>
      <c r="J53" s="2"/>
      <c r="K53" s="2"/>
      <c r="L53" s="2"/>
      <c r="M53" s="2"/>
      <c r="N53" s="2"/>
      <c r="O53" s="2"/>
      <c r="P53" s="2"/>
      <c r="Q53" s="2"/>
      <c r="R53" s="2"/>
      <c r="S53" s="2"/>
      <c r="T53" s="2"/>
      <c r="U53" s="2"/>
      <c r="V53" s="2"/>
      <c r="W53" s="2"/>
      <c r="X53" s="2"/>
      <c r="Y53" s="2"/>
      <c r="Z53" s="2"/>
    </row>
    <row r="54" customHeight="1" spans="1:26">
      <c r="A54" s="13" t="s">
        <v>243</v>
      </c>
      <c r="B54" s="13" t="s">
        <v>7609</v>
      </c>
      <c r="C54" s="13" t="s">
        <v>236</v>
      </c>
      <c r="D54" s="14">
        <v>100</v>
      </c>
      <c r="E54" s="13" t="s">
        <v>245</v>
      </c>
      <c r="F54" s="68" t="str">
        <f>HYPERLINK("http://pastuso.com.au/v3/wp-content/uploads/2014/09/about-logo1.png","http://pastuso.com.au/v3/wp-content/uploads/2014/09/about-logo1.png")</f>
        <v>http://pastuso.com.au/v3/wp-content/uploads/2014/09/about-logo1.png</v>
      </c>
      <c r="G54" s="68" t="str">
        <f>HYPERLINK("http://pastuso.com.au","http://pastuso.com.au")</f>
        <v>http://pastuso.com.au</v>
      </c>
      <c r="H54" s="2"/>
      <c r="I54" s="2"/>
      <c r="J54" s="2"/>
      <c r="K54" s="2"/>
      <c r="L54" s="2"/>
      <c r="M54" s="2"/>
      <c r="N54" s="2"/>
      <c r="O54" s="2"/>
      <c r="P54" s="2"/>
      <c r="Q54" s="2"/>
      <c r="R54" s="2"/>
      <c r="S54" s="2"/>
      <c r="T54" s="2"/>
      <c r="U54" s="2"/>
      <c r="V54" s="2"/>
      <c r="W54" s="2"/>
      <c r="X54" s="2"/>
      <c r="Y54" s="2"/>
      <c r="Z54" s="2"/>
    </row>
    <row r="55" customHeight="1" spans="1:26">
      <c r="A55" s="13" t="s">
        <v>248</v>
      </c>
      <c r="B55" s="13" t="s">
        <v>7610</v>
      </c>
      <c r="C55" s="13" t="s">
        <v>236</v>
      </c>
      <c r="D55" s="14">
        <v>100</v>
      </c>
      <c r="E55" s="13" t="s">
        <v>245</v>
      </c>
      <c r="F55" s="68" t="str">
        <f>HYPERLINK("https://movida-wpengine.netdna-ssl.com/wp-content/themes/mr-theme/img/Movida-logo.gif","https://movida-wpengine.netdna-ssl.com/wp-content/themes/mr-theme/img/Movida-logo.gif")</f>
        <v>https://movida-wpengine.netdna-ssl.com/wp-content/themes/mr-theme/img/Movida-logo.gif</v>
      </c>
      <c r="G55" s="68" t="str">
        <f>HYPERLINK("https://movida.com.au","https://movida.com.au")</f>
        <v>https://movida.com.au</v>
      </c>
      <c r="H55" s="2"/>
      <c r="I55" s="2"/>
      <c r="J55" s="2"/>
      <c r="K55" s="2"/>
      <c r="L55" s="2"/>
      <c r="M55" s="2"/>
      <c r="N55" s="2"/>
      <c r="O55" s="2"/>
      <c r="P55" s="2"/>
      <c r="Q55" s="2"/>
      <c r="R55" s="2"/>
      <c r="S55" s="2"/>
      <c r="T55" s="2"/>
      <c r="U55" s="2"/>
      <c r="V55" s="2"/>
      <c r="W55" s="2"/>
      <c r="X55" s="2"/>
      <c r="Y55" s="2"/>
      <c r="Z55" s="2"/>
    </row>
    <row r="56" customHeight="1" spans="1:26">
      <c r="A56" s="64" t="s">
        <v>252</v>
      </c>
      <c r="B56" s="13" t="s">
        <v>7611</v>
      </c>
      <c r="C56" s="13" t="s">
        <v>236</v>
      </c>
      <c r="D56" s="65">
        <v>35</v>
      </c>
      <c r="E56" s="13" t="s">
        <v>37</v>
      </c>
      <c r="F56" s="68" t="str">
        <f>HYPERLINK("https://pbs.twimg.com/profile_images/798683137211404288/wAkImNU6_400x400.jpg","https://pbs.twimg.com/profile_images/798683137211404288/wAkImNU6_400x400.jpg")</f>
        <v>https://pbs.twimg.com/profile_images/798683137211404288/wAkImNU6_400x400.jpg</v>
      </c>
      <c r="G56" s="68" t="str">
        <f>HYPERLINK("http://www.tuckshoptakeaway.com.au","http://www.tuckshoptakeaway.com.au")</f>
        <v>http://www.tuckshoptakeaway.com.au</v>
      </c>
      <c r="H56" s="2"/>
      <c r="I56" s="2"/>
      <c r="J56" s="2"/>
      <c r="K56" s="2"/>
      <c r="L56" s="2"/>
      <c r="M56" s="2"/>
      <c r="N56" s="2"/>
      <c r="O56" s="2"/>
      <c r="P56" s="2"/>
      <c r="Q56" s="2"/>
      <c r="R56" s="2"/>
      <c r="S56" s="2"/>
      <c r="T56" s="2"/>
      <c r="U56" s="2"/>
      <c r="V56" s="2"/>
      <c r="W56" s="2"/>
      <c r="X56" s="2"/>
      <c r="Y56" s="2"/>
      <c r="Z56" s="2"/>
    </row>
    <row r="57" customHeight="1" spans="1:26">
      <c r="A57" s="64" t="s">
        <v>256</v>
      </c>
      <c r="B57" s="13" t="s">
        <v>7612</v>
      </c>
      <c r="C57" s="13" t="s">
        <v>236</v>
      </c>
      <c r="D57" s="65">
        <v>40</v>
      </c>
      <c r="E57" s="13" t="s">
        <v>37</v>
      </c>
      <c r="F57" s="68" t="str">
        <f>HYPERLINK("https://pbs.twimg.com/profile_images/519061795420385281/6Py0pWTN.png","https://pbs.twimg.com/profile_images/519061795420385281/6Py0pWTN.png")</f>
        <v>https://pbs.twimg.com/profile_images/519061795420385281/6Py0pWTN.png</v>
      </c>
      <c r="G57" s="68" t="str">
        <f>HYPERLINK("https://www.tipo00.com.au","https://www.tipo00.com.au")</f>
        <v>https://www.tipo00.com.au</v>
      </c>
      <c r="H57" s="2"/>
      <c r="I57" s="2"/>
      <c r="J57" s="2"/>
      <c r="K57" s="2"/>
      <c r="L57" s="2"/>
      <c r="M57" s="2"/>
      <c r="N57" s="2"/>
      <c r="O57" s="2"/>
      <c r="P57" s="2"/>
      <c r="Q57" s="2"/>
      <c r="R57" s="2"/>
      <c r="S57" s="2"/>
      <c r="T57" s="2"/>
      <c r="U57" s="2"/>
      <c r="V57" s="2"/>
      <c r="W57" s="2"/>
      <c r="X57" s="2"/>
      <c r="Y57" s="2"/>
      <c r="Z57" s="2"/>
    </row>
    <row r="58" customHeight="1" spans="1:26">
      <c r="A58" s="64" t="s">
        <v>260</v>
      </c>
      <c r="B58" s="13" t="s">
        <v>261</v>
      </c>
      <c r="C58" s="13" t="s">
        <v>236</v>
      </c>
      <c r="D58" s="65">
        <v>8</v>
      </c>
      <c r="E58" s="13" t="s">
        <v>262</v>
      </c>
      <c r="F58" s="13" t="s">
        <v>263</v>
      </c>
      <c r="G58" s="13" t="s">
        <v>4874</v>
      </c>
      <c r="H58" s="2"/>
      <c r="I58" s="2"/>
      <c r="J58" s="2"/>
      <c r="K58" s="2"/>
      <c r="L58" s="2"/>
      <c r="M58" s="2"/>
      <c r="N58" s="2"/>
      <c r="O58" s="2"/>
      <c r="P58" s="2"/>
      <c r="Q58" s="2"/>
      <c r="R58" s="2"/>
      <c r="S58" s="2"/>
      <c r="T58" s="2"/>
      <c r="U58" s="2"/>
      <c r="V58" s="2"/>
      <c r="W58" s="2"/>
      <c r="X58" s="2"/>
      <c r="Y58" s="2"/>
      <c r="Z58" s="2"/>
    </row>
    <row r="59" customHeight="1" spans="1:26">
      <c r="A59" s="64" t="s">
        <v>265</v>
      </c>
      <c r="B59" s="13" t="s">
        <v>7613</v>
      </c>
      <c r="C59" s="13" t="s">
        <v>236</v>
      </c>
      <c r="D59" s="65">
        <v>30</v>
      </c>
      <c r="E59" s="13" t="s">
        <v>37</v>
      </c>
      <c r="F59" s="68" t="str">
        <f>HYPERLINK("http://68.media.tumblr.com/a1e2b8d0090ed8f94838873f45ac4c39/tumblr_inline_nuyyf89bOw1qdg1of_500.jpg","http://68.media.tumblr.com/a1e2b8d0090ed8f94838873f45ac4c39/tumblr_inline_nuyyf89bOw1qdg1of_500.jpg")</f>
        <v>http://68.media.tumblr.com/a1e2b8d0090ed8f94838873f45ac4c39/tumblr_inline_nuyyf89bOw1qdg1of_500.jpg</v>
      </c>
      <c r="G59" s="68" t="str">
        <f>HYPERLINK("http://www.plus39.com.au","http://www.plus39.com.au")</f>
        <v>http://www.plus39.com.au</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13" t="s">
        <v>4878</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13" t="s">
        <v>4879</v>
      </c>
      <c r="H61" s="2"/>
      <c r="I61" s="2"/>
      <c r="J61" s="2"/>
      <c r="K61" s="2"/>
      <c r="L61" s="2"/>
      <c r="M61" s="2"/>
      <c r="N61" s="2"/>
      <c r="O61" s="2"/>
      <c r="P61" s="2"/>
      <c r="Q61" s="2"/>
      <c r="R61" s="2"/>
      <c r="S61" s="2"/>
      <c r="T61" s="2"/>
      <c r="U61" s="2"/>
      <c r="V61" s="2"/>
      <c r="W61" s="2"/>
      <c r="X61" s="2"/>
      <c r="Y61" s="2"/>
      <c r="Z61" s="2"/>
    </row>
    <row r="62" customHeight="1" spans="1:26">
      <c r="A62" s="64" t="s">
        <v>277</v>
      </c>
      <c r="B62" s="13" t="s">
        <v>7614</v>
      </c>
      <c r="C62" s="13" t="s">
        <v>236</v>
      </c>
      <c r="D62" s="65">
        <v>37</v>
      </c>
      <c r="E62" s="13" t="s">
        <v>37</v>
      </c>
      <c r="F62" s="68" t="str">
        <f>HYPERLINK("http://deliagroup.com.au/wp-content/uploads/2015/07/maha.svg","http://deliagroup.com.au/wp-content/uploads/2015/07/maha.svg")</f>
        <v>http://deliagroup.com.au/wp-content/uploads/2015/07/maha.svg</v>
      </c>
      <c r="G62" s="68" t="str">
        <f>HYPERLINK("http://maharestaurant.com.au/location/","http://maharestaurant.com.au/location/")</f>
        <v>http://maharestaurant.com.au/location/</v>
      </c>
      <c r="H62" s="2"/>
      <c r="I62" s="2"/>
      <c r="J62" s="2"/>
      <c r="K62" s="2"/>
      <c r="L62" s="2"/>
      <c r="M62" s="2"/>
      <c r="N62" s="2"/>
      <c r="O62" s="2"/>
      <c r="P62" s="2"/>
      <c r="Q62" s="2"/>
      <c r="R62" s="2"/>
      <c r="S62" s="2"/>
      <c r="T62" s="2"/>
      <c r="U62" s="2"/>
      <c r="V62" s="2"/>
      <c r="W62" s="2"/>
      <c r="X62" s="2"/>
      <c r="Y62" s="2"/>
      <c r="Z62" s="2"/>
    </row>
    <row r="63" ht="16.5" customHeight="1" spans="1:26">
      <c r="A63" s="64" t="s">
        <v>281</v>
      </c>
      <c r="B63" s="13" t="s">
        <v>7615</v>
      </c>
      <c r="C63" s="13" t="s">
        <v>236</v>
      </c>
      <c r="D63" s="65">
        <v>40</v>
      </c>
      <c r="E63" s="13" t="s">
        <v>37</v>
      </c>
      <c r="F63" s="68" t="str">
        <f>HYPERLINK("http://www.codarestaurant.cz/app/templates/codarestaurant/images/logo.png","http://www.codarestaurant.cz/app/templates/codarestaurant/images/logo.png")</f>
        <v>http://www.codarestaurant.cz/app/templates/codarestaurant/images/logo.png</v>
      </c>
      <c r="G63" s="68" t="str">
        <f>HYPERLINK("https://www.codarestaurant.com.au","https://www.codarestaurant.com.au")</f>
        <v>https://www.codarestaurant.com.au</v>
      </c>
      <c r="H63" s="2"/>
      <c r="I63" s="2"/>
      <c r="J63" s="2"/>
      <c r="K63" s="2"/>
      <c r="L63" s="2"/>
      <c r="M63" s="2"/>
      <c r="N63" s="2"/>
      <c r="O63" s="2"/>
      <c r="P63" s="2"/>
      <c r="Q63" s="2"/>
      <c r="R63" s="2"/>
      <c r="S63" s="2"/>
      <c r="T63" s="2"/>
      <c r="U63" s="2"/>
      <c r="V63" s="2"/>
      <c r="W63" s="2"/>
      <c r="X63" s="2"/>
      <c r="Y63" s="2"/>
      <c r="Z63" s="2"/>
    </row>
    <row r="64" customHeight="1" spans="1:26">
      <c r="A64" s="13" t="s">
        <v>285</v>
      </c>
      <c r="B64" s="13" t="s">
        <v>4886</v>
      </c>
      <c r="C64" s="13" t="s">
        <v>286</v>
      </c>
      <c r="D64" s="14">
        <v>35</v>
      </c>
      <c r="E64" s="13" t="s">
        <v>37</v>
      </c>
      <c r="F64" s="13" t="s">
        <v>4887</v>
      </c>
      <c r="G64" s="13" t="s">
        <v>4888</v>
      </c>
      <c r="H64" s="2"/>
      <c r="I64" s="2"/>
      <c r="J64" s="2"/>
      <c r="K64" s="2"/>
      <c r="L64" s="2"/>
      <c r="M64" s="2"/>
      <c r="N64" s="2"/>
      <c r="O64" s="2"/>
      <c r="P64" s="2"/>
      <c r="Q64" s="2"/>
      <c r="R64" s="2"/>
      <c r="S64" s="2"/>
      <c r="T64" s="2"/>
      <c r="U64" s="2"/>
      <c r="V64" s="2"/>
      <c r="W64" s="2"/>
      <c r="X64" s="2"/>
      <c r="Y64" s="2"/>
      <c r="Z64" s="2"/>
    </row>
    <row r="65" customHeight="1" spans="1:26">
      <c r="A65" s="64" t="s">
        <v>288</v>
      </c>
      <c r="B65" s="13" t="s">
        <v>4889</v>
      </c>
      <c r="C65" s="13" t="s">
        <v>290</v>
      </c>
      <c r="D65" s="65">
        <v>300</v>
      </c>
      <c r="E65" s="13" t="s">
        <v>37</v>
      </c>
      <c r="F65" s="13" t="s">
        <v>4890</v>
      </c>
      <c r="G65" s="13" t="s">
        <v>4891</v>
      </c>
      <c r="H65" s="2"/>
      <c r="I65" s="2"/>
      <c r="J65" s="2"/>
      <c r="K65" s="2"/>
      <c r="L65" s="2"/>
      <c r="M65" s="2"/>
      <c r="N65" s="2"/>
      <c r="O65" s="2"/>
      <c r="P65" s="2"/>
      <c r="Q65" s="2"/>
      <c r="R65" s="2"/>
      <c r="S65" s="2"/>
      <c r="T65" s="2"/>
      <c r="U65" s="2"/>
      <c r="V65" s="2"/>
      <c r="W65" s="2"/>
      <c r="X65" s="2"/>
      <c r="Y65" s="2"/>
      <c r="Z65" s="2"/>
    </row>
    <row r="66" customHeight="1" spans="1:26">
      <c r="A66" s="64" t="s">
        <v>293</v>
      </c>
      <c r="B66" s="13" t="s">
        <v>4892</v>
      </c>
      <c r="C66" s="13" t="s">
        <v>290</v>
      </c>
      <c r="D66" s="65">
        <v>35</v>
      </c>
      <c r="E66" s="13" t="s">
        <v>37</v>
      </c>
      <c r="F66" s="13" t="s">
        <v>4893</v>
      </c>
      <c r="G66" s="13" t="s">
        <v>4894</v>
      </c>
      <c r="H66" s="2"/>
      <c r="I66" s="2"/>
      <c r="J66" s="2"/>
      <c r="K66" s="2"/>
      <c r="L66" s="2"/>
      <c r="M66" s="2"/>
      <c r="N66" s="2"/>
      <c r="O66" s="2"/>
      <c r="P66" s="2"/>
      <c r="Q66" s="2"/>
      <c r="R66" s="2"/>
      <c r="S66" s="2"/>
      <c r="T66" s="2"/>
      <c r="U66" s="2"/>
      <c r="V66" s="2"/>
      <c r="W66" s="2"/>
      <c r="X66" s="2"/>
      <c r="Y66" s="2"/>
      <c r="Z66" s="2"/>
    </row>
    <row r="67" customHeight="1" spans="1:26">
      <c r="A67" s="13" t="s">
        <v>297</v>
      </c>
      <c r="B67" s="13" t="s">
        <v>7616</v>
      </c>
      <c r="C67" s="13" t="s">
        <v>1807</v>
      </c>
      <c r="D67" s="14">
        <v>1000</v>
      </c>
      <c r="E67" s="13" t="s">
        <v>37</v>
      </c>
      <c r="F67" s="68" t="str">
        <f>HYPERLINK("https://mgs.vic.edu.au/mg/sites/default/files/horizontal-logo-01.png","https://mgs.vic.edu.au/mg/sites/default/files/horizontal-logo-01.png")</f>
        <v>https://mgs.vic.edu.au/mg/sites/default/files/horizontal-logo-01.png</v>
      </c>
      <c r="G67" s="68" t="str">
        <f>HYPERLINK("https://mgs.vic.edu.au/mg/","https://mgs.vic.edu.au/mg/")</f>
        <v>https://mgs.vic.edu.au/mg/</v>
      </c>
      <c r="H67" s="2"/>
      <c r="I67" s="2"/>
      <c r="J67" s="2"/>
      <c r="K67" s="2"/>
      <c r="L67" s="2"/>
      <c r="M67" s="2"/>
      <c r="N67" s="2"/>
      <c r="O67" s="2"/>
      <c r="P67" s="2"/>
      <c r="Q67" s="2"/>
      <c r="R67" s="2"/>
      <c r="S67" s="2"/>
      <c r="T67" s="2"/>
      <c r="U67" s="2"/>
      <c r="V67" s="2"/>
      <c r="W67" s="2"/>
      <c r="X67" s="2"/>
      <c r="Y67" s="2"/>
      <c r="Z67" s="2"/>
    </row>
    <row r="68" customHeight="1" spans="1:26">
      <c r="A68" s="13" t="s">
        <v>302</v>
      </c>
      <c r="B68" s="13" t="s">
        <v>4898</v>
      </c>
      <c r="C68" s="13" t="s">
        <v>304</v>
      </c>
      <c r="D68" s="57"/>
      <c r="E68" s="57"/>
      <c r="F68" s="13" t="s">
        <v>4899</v>
      </c>
      <c r="G68" s="13" t="s">
        <v>4900</v>
      </c>
      <c r="H68" s="2"/>
      <c r="I68" s="2"/>
      <c r="J68" s="2"/>
      <c r="K68" s="2"/>
      <c r="L68" s="2"/>
      <c r="M68" s="2"/>
      <c r="N68" s="2"/>
      <c r="O68" s="2"/>
      <c r="P68" s="2"/>
      <c r="Q68" s="2"/>
      <c r="R68" s="2"/>
      <c r="S68" s="2"/>
      <c r="T68" s="2"/>
      <c r="U68" s="2"/>
      <c r="V68" s="2"/>
      <c r="W68" s="2"/>
      <c r="X68" s="2"/>
      <c r="Y68" s="2"/>
      <c r="Z68" s="2"/>
    </row>
    <row r="69" customHeight="1" spans="1:26">
      <c r="A69" s="13" t="s">
        <v>307</v>
      </c>
      <c r="B69" s="13" t="s">
        <v>4901</v>
      </c>
      <c r="C69" s="13" t="s">
        <v>309</v>
      </c>
      <c r="D69" s="14">
        <v>45</v>
      </c>
      <c r="E69" s="13" t="s">
        <v>310</v>
      </c>
      <c r="F69" s="13" t="s">
        <v>4902</v>
      </c>
      <c r="G69" s="13" t="s">
        <v>4903</v>
      </c>
      <c r="H69" s="2"/>
      <c r="I69" s="2"/>
      <c r="J69" s="2"/>
      <c r="K69" s="2"/>
      <c r="L69" s="2"/>
      <c r="M69" s="2"/>
      <c r="N69" s="2"/>
      <c r="O69" s="2"/>
      <c r="P69" s="2"/>
      <c r="Q69" s="2"/>
      <c r="R69" s="2"/>
      <c r="S69" s="2"/>
      <c r="T69" s="2"/>
      <c r="U69" s="2"/>
      <c r="V69" s="2"/>
      <c r="W69" s="2"/>
      <c r="X69" s="2"/>
      <c r="Y69" s="2"/>
      <c r="Z69" s="2"/>
    </row>
    <row r="70" customHeight="1" spans="1:26">
      <c r="A70" s="13" t="s">
        <v>317</v>
      </c>
      <c r="B70" s="13" t="s">
        <v>7617</v>
      </c>
      <c r="C70" s="13" t="s">
        <v>319</v>
      </c>
      <c r="D70" s="65">
        <v>400</v>
      </c>
      <c r="E70" s="13" t="s">
        <v>245</v>
      </c>
      <c r="F70" s="68" t="str">
        <f>HYPERLINK("http://s.productreview.com.au/products/images/74ee7f3d-0660-4a84-9cea-5d265d92d9fe.png","http://s.productreview.com.au/products/images/74ee7f3d-0660-4a84-9cea-5d265d92d9fe.png")</f>
        <v>http://s.productreview.com.au/products/images/74ee7f3d-0660-4a84-9cea-5d265d92d9fe.png</v>
      </c>
      <c r="G70" s="68" t="str">
        <f>HYPERLINK("http://www.babymode.com.au","http://www.babymode.com.au")</f>
        <v>http://www.babymode.com.au</v>
      </c>
      <c r="H70" s="2"/>
      <c r="I70" s="2"/>
      <c r="J70" s="2"/>
      <c r="K70" s="2"/>
      <c r="L70" s="2"/>
      <c r="M70" s="2"/>
      <c r="N70" s="2"/>
      <c r="O70" s="2"/>
      <c r="P70" s="2"/>
      <c r="Q70" s="2"/>
      <c r="R70" s="2"/>
      <c r="S70" s="2"/>
      <c r="T70" s="2"/>
      <c r="U70" s="2"/>
      <c r="V70" s="2"/>
      <c r="W70" s="2"/>
      <c r="X70" s="2"/>
      <c r="Y70" s="2"/>
      <c r="Z70" s="2"/>
    </row>
    <row r="71" customHeight="1" spans="1:26">
      <c r="A71" s="64" t="s">
        <v>321</v>
      </c>
      <c r="B71" s="13" t="s">
        <v>7618</v>
      </c>
      <c r="C71" s="13" t="s">
        <v>315</v>
      </c>
      <c r="D71" s="65">
        <v>13</v>
      </c>
      <c r="E71" s="13" t="s">
        <v>262</v>
      </c>
      <c r="F71" s="68" t="str">
        <f>HYPERLINK("https://www.dymocks.com.au/Dymocks/media/images/store-images/NoStoreImage.jpg","https://www.dymocks.com.au/Dymocks/media/images/store-images/NoStoreImage.jpg")</f>
        <v>https://www.dymocks.com.au/Dymocks/media/images/store-images/NoStoreImage.jpg</v>
      </c>
      <c r="G71" s="68" t="str">
        <f>HYPERLINK("https://www.dymocks.com.au/stores/vic/dymocks-melbourne","https://www.dymocks.com.au/stores/vic/dymocks-melbourne")</f>
        <v>https://www.dymocks.com.au/stores/vic/dymocks-melbourne</v>
      </c>
      <c r="H71" s="2"/>
      <c r="I71" s="2"/>
      <c r="J71" s="2"/>
      <c r="K71" s="2"/>
      <c r="L71" s="2"/>
      <c r="M71" s="2"/>
      <c r="N71" s="2"/>
      <c r="O71" s="2"/>
      <c r="P71" s="2"/>
      <c r="Q71" s="2"/>
      <c r="R71" s="2"/>
      <c r="S71" s="2"/>
      <c r="T71" s="2"/>
      <c r="U71" s="2"/>
      <c r="V71" s="2"/>
      <c r="W71" s="2"/>
      <c r="X71" s="2"/>
      <c r="Y71" s="2"/>
      <c r="Z71" s="2"/>
    </row>
    <row r="72" customHeight="1" spans="1:26">
      <c r="A72" s="13" t="s">
        <v>325</v>
      </c>
      <c r="B72" s="13" t="s">
        <v>7619</v>
      </c>
      <c r="C72" s="13" t="s">
        <v>327</v>
      </c>
      <c r="D72" s="14">
        <v>25</v>
      </c>
      <c r="E72" s="13" t="s">
        <v>310</v>
      </c>
      <c r="F72" s="68" t="str">
        <f>HYPERLINK("https://static1.squarespace.com/static/505ea1e6e4b0a019956122c4/t/53296577e4b0e21c665114aa/1395221881550/Koko+Black+Identity+-+logo.jpg","https://static1.squarespace.com/static/505ea1e6e4b0a019956122c4/t/53296577e4b0e21c665114aa/1395221881550/Koko+Black+Identity+-+logo.jpg")</f>
        <v>https://static1.squarespace.com/static/505ea1e6e4b0a019956122c4/t/53296577e4b0e21c665114aa/1395221881550/Koko+Black+Identity+-+logo.jpg</v>
      </c>
      <c r="G72" s="68" t="str">
        <f>HYPERLINK("http://www.kokoblack.com","http://www.kokoblack.com")</f>
        <v>http://www.kokoblack.com</v>
      </c>
      <c r="H72" s="2"/>
      <c r="I72" s="2"/>
      <c r="J72" s="2"/>
      <c r="K72" s="2"/>
      <c r="L72" s="2"/>
      <c r="M72" s="2"/>
      <c r="N72" s="2"/>
      <c r="O72" s="2"/>
      <c r="P72" s="2"/>
      <c r="Q72" s="2"/>
      <c r="R72" s="2"/>
      <c r="S72" s="2"/>
      <c r="T72" s="2"/>
      <c r="U72" s="2"/>
      <c r="V72" s="2"/>
      <c r="W72" s="2"/>
      <c r="X72" s="2"/>
      <c r="Y72" s="2"/>
      <c r="Z72" s="2"/>
    </row>
    <row r="73" customHeight="1" spans="1:26">
      <c r="A73" s="64" t="s">
        <v>330</v>
      </c>
      <c r="B73" s="13" t="s">
        <v>7620</v>
      </c>
      <c r="C73" s="13" t="s">
        <v>315</v>
      </c>
      <c r="D73" s="65">
        <v>50</v>
      </c>
      <c r="E73" s="13" t="s">
        <v>37</v>
      </c>
      <c r="F73" s="68" t="str">
        <f>HYPERLINK("https://www.karrinyupcentre.com.au/getmedia/10a4281b-aac8-4ec3-b34e-64e7cda42881/logo_1?width=300&amp;height=185&amp;ext=.jpg","https://www.karrinyupcentre.com.au/getmedia/10a4281b-aac8-4ec3-b34e-64e7cda42881/logo_1?width=300&amp;height=185&amp;ext=.jpg")</f>
        <v>https://www.karrinyupcentre.com.au/getmedia/10a4281b-aac8-4ec3-b34e-64e7cda42881/logo_1?width=300&amp;height=185&amp;ext=.jpg</v>
      </c>
      <c r="G73" s="68" t="str">
        <f>HYPERLINK("https://www.universalstore.com","https://www.universalstore.com")</f>
        <v>https://www.universalstore.com</v>
      </c>
      <c r="H73" s="2"/>
      <c r="I73" s="2"/>
      <c r="J73" s="2"/>
      <c r="K73" s="2"/>
      <c r="L73" s="2"/>
      <c r="M73" s="2"/>
      <c r="N73" s="2"/>
      <c r="O73" s="2"/>
      <c r="P73" s="2"/>
      <c r="Q73" s="2"/>
      <c r="R73" s="2"/>
      <c r="S73" s="2"/>
      <c r="T73" s="2"/>
      <c r="U73" s="2"/>
      <c r="V73" s="2"/>
      <c r="W73" s="2"/>
      <c r="X73" s="2"/>
      <c r="Y73" s="2"/>
      <c r="Z73" s="2"/>
    </row>
    <row r="74" customHeight="1" spans="1:26">
      <c r="A74" s="64" t="s">
        <v>334</v>
      </c>
      <c r="B74" s="13" t="s">
        <v>7621</v>
      </c>
      <c r="C74" s="13" t="s">
        <v>315</v>
      </c>
      <c r="D74" s="65">
        <v>50</v>
      </c>
      <c r="E74" s="13" t="s">
        <v>37</v>
      </c>
      <c r="F74" s="68" t="str">
        <f>HYPERLINK("https://pbs.twimg.com/profile_images/834954214392528896/K_0TmkWA.jpg","https://pbs.twimg.com/profile_images/834954214392528896/K_0TmkWA.jpg")</f>
        <v>https://pbs.twimg.com/profile_images/834954214392528896/K_0TmkWA.jpg</v>
      </c>
      <c r="G74" s="100" t="str">
        <f>HYPERLINK("https://tigermist.com.au","https://tigermist.com.au")</f>
        <v>https://tigermist.com.au</v>
      </c>
      <c r="H74" s="2"/>
      <c r="I74" s="2"/>
      <c r="J74" s="2"/>
      <c r="K74" s="2"/>
      <c r="L74" s="2"/>
      <c r="M74" s="2"/>
      <c r="N74" s="2"/>
      <c r="O74" s="2"/>
      <c r="P74" s="2"/>
      <c r="Q74" s="2"/>
      <c r="R74" s="2"/>
      <c r="S74" s="2"/>
      <c r="T74" s="2"/>
      <c r="U74" s="2"/>
      <c r="V74" s="2"/>
      <c r="W74" s="2"/>
      <c r="X74" s="2"/>
      <c r="Y74" s="2"/>
      <c r="Z74" s="2"/>
    </row>
    <row r="75" customHeight="1" spans="1:26">
      <c r="A75" s="64" t="s">
        <v>338</v>
      </c>
      <c r="B75" s="13" t="s">
        <v>4919</v>
      </c>
      <c r="C75" s="13" t="s">
        <v>315</v>
      </c>
      <c r="D75" s="65">
        <v>125</v>
      </c>
      <c r="E75" s="13" t="s">
        <v>262</v>
      </c>
      <c r="F75" s="13" t="s">
        <v>4920</v>
      </c>
      <c r="G75" s="13" t="s">
        <v>4921</v>
      </c>
      <c r="H75" s="2"/>
      <c r="I75" s="2"/>
      <c r="J75" s="2"/>
      <c r="K75" s="2"/>
      <c r="L75" s="2"/>
      <c r="M75" s="2"/>
      <c r="N75" s="2"/>
      <c r="O75" s="2"/>
      <c r="P75" s="2"/>
      <c r="Q75" s="2"/>
      <c r="R75" s="2"/>
      <c r="S75" s="2"/>
      <c r="T75" s="2"/>
      <c r="U75" s="2"/>
      <c r="V75" s="2"/>
      <c r="W75" s="2"/>
      <c r="X75" s="2"/>
      <c r="Y75" s="2"/>
      <c r="Z75" s="2"/>
    </row>
    <row r="76" customHeight="1" spans="1:26">
      <c r="A76" s="64" t="s">
        <v>342</v>
      </c>
      <c r="B76" s="13" t="s">
        <v>7622</v>
      </c>
      <c r="C76" s="13" t="s">
        <v>315</v>
      </c>
      <c r="D76" s="65">
        <v>45</v>
      </c>
      <c r="E76" s="13" t="s">
        <v>262</v>
      </c>
      <c r="F76" s="13" t="s">
        <v>7623</v>
      </c>
      <c r="G76" s="13" t="s">
        <v>7624</v>
      </c>
      <c r="H76" s="2"/>
      <c r="I76" s="2"/>
      <c r="J76" s="2"/>
      <c r="K76" s="2"/>
      <c r="L76" s="2"/>
      <c r="M76" s="2"/>
      <c r="N76" s="2"/>
      <c r="O76" s="2"/>
      <c r="P76" s="2"/>
      <c r="Q76" s="2"/>
      <c r="R76" s="2"/>
      <c r="S76" s="2"/>
      <c r="T76" s="2"/>
      <c r="U76" s="2"/>
      <c r="V76" s="2"/>
      <c r="W76" s="2"/>
      <c r="X76" s="2"/>
      <c r="Y76" s="2"/>
      <c r="Z76" s="2"/>
    </row>
    <row r="77" customHeight="1" spans="1:26">
      <c r="A77" s="64" t="s">
        <v>346</v>
      </c>
      <c r="B77" s="13" t="s">
        <v>347</v>
      </c>
      <c r="C77" s="13" t="s">
        <v>315</v>
      </c>
      <c r="D77" s="65">
        <v>55</v>
      </c>
      <c r="E77" s="13" t="s">
        <v>37</v>
      </c>
      <c r="F77" s="13" t="s">
        <v>348</v>
      </c>
      <c r="G77" s="100" t="str">
        <f>HYPERLINK("http://www.zara.com/au","http://www.zara.com/au")</f>
        <v>http://www.zara.com/au</v>
      </c>
      <c r="H77" s="2"/>
      <c r="I77" s="2"/>
      <c r="J77" s="2"/>
      <c r="K77" s="2"/>
      <c r="L77" s="2"/>
      <c r="M77" s="2"/>
      <c r="N77" s="2"/>
      <c r="O77" s="2"/>
      <c r="P77" s="2"/>
      <c r="Q77" s="2"/>
      <c r="R77" s="2"/>
      <c r="S77" s="2"/>
      <c r="T77" s="2"/>
      <c r="U77" s="2"/>
      <c r="V77" s="2"/>
      <c r="W77" s="2"/>
      <c r="X77" s="2"/>
      <c r="Y77" s="2"/>
      <c r="Z77" s="2"/>
    </row>
    <row r="78" customHeight="1" spans="1:26">
      <c r="A78" s="64" t="s">
        <v>350</v>
      </c>
      <c r="B78" s="13" t="s">
        <v>351</v>
      </c>
      <c r="C78" s="13" t="s">
        <v>315</v>
      </c>
      <c r="D78" s="65">
        <v>20</v>
      </c>
      <c r="E78" s="13" t="s">
        <v>262</v>
      </c>
      <c r="F78" s="13" t="s">
        <v>352</v>
      </c>
      <c r="G78" s="13" t="s">
        <v>4923</v>
      </c>
      <c r="H78" s="2"/>
      <c r="I78" s="2"/>
      <c r="J78" s="2"/>
      <c r="K78" s="2"/>
      <c r="L78" s="2"/>
      <c r="M78" s="2"/>
      <c r="N78" s="2"/>
      <c r="O78" s="2"/>
      <c r="P78" s="2"/>
      <c r="Q78" s="2"/>
      <c r="R78" s="2"/>
      <c r="S78" s="2"/>
      <c r="T78" s="2"/>
      <c r="U78" s="2"/>
      <c r="V78" s="2"/>
      <c r="W78" s="2"/>
      <c r="X78" s="2"/>
      <c r="Y78" s="2"/>
      <c r="Z78" s="2"/>
    </row>
    <row r="79" customHeight="1" spans="1:26">
      <c r="A79" s="13" t="s">
        <v>354</v>
      </c>
      <c r="B79" s="13" t="s">
        <v>355</v>
      </c>
      <c r="C79" s="13" t="s">
        <v>356</v>
      </c>
      <c r="D79" s="65">
        <v>123</v>
      </c>
      <c r="E79" s="13" t="s">
        <v>310</v>
      </c>
      <c r="F79" s="13" t="s">
        <v>357</v>
      </c>
      <c r="G79" s="13" t="s">
        <v>4924</v>
      </c>
      <c r="H79" s="2"/>
      <c r="I79" s="2"/>
      <c r="J79" s="2"/>
      <c r="K79" s="2"/>
      <c r="L79" s="2"/>
      <c r="M79" s="2"/>
      <c r="N79" s="2"/>
      <c r="O79" s="2"/>
      <c r="P79" s="2"/>
      <c r="Q79" s="2"/>
      <c r="R79" s="2"/>
      <c r="S79" s="2"/>
      <c r="T79" s="2"/>
      <c r="U79" s="2"/>
      <c r="V79" s="2"/>
      <c r="W79" s="2"/>
      <c r="X79" s="2"/>
      <c r="Y79" s="2"/>
      <c r="Z79" s="2"/>
    </row>
    <row r="80" customHeight="1" spans="1:26">
      <c r="A80" s="13" t="s">
        <v>359</v>
      </c>
      <c r="B80" s="13" t="s">
        <v>2379</v>
      </c>
      <c r="C80" s="13" t="s">
        <v>361</v>
      </c>
      <c r="D80" s="65">
        <v>55</v>
      </c>
      <c r="E80" s="13" t="s">
        <v>310</v>
      </c>
      <c r="F80" s="13" t="s">
        <v>4925</v>
      </c>
      <c r="G80" s="13" t="s">
        <v>4926</v>
      </c>
      <c r="H80" s="2"/>
      <c r="I80" s="2"/>
      <c r="J80" s="2"/>
      <c r="K80" s="2"/>
      <c r="L80" s="2"/>
      <c r="M80" s="2"/>
      <c r="N80" s="2"/>
      <c r="O80" s="2"/>
      <c r="P80" s="2"/>
      <c r="Q80" s="2"/>
      <c r="R80" s="2"/>
      <c r="S80" s="2"/>
      <c r="T80" s="2"/>
      <c r="U80" s="2"/>
      <c r="V80" s="2"/>
      <c r="W80" s="2"/>
      <c r="X80" s="2"/>
      <c r="Y80" s="2"/>
      <c r="Z80" s="2"/>
    </row>
    <row r="81" customHeight="1" spans="1:26">
      <c r="A81" s="64" t="s">
        <v>364</v>
      </c>
      <c r="B81" s="13" t="s">
        <v>365</v>
      </c>
      <c r="C81" s="13" t="s">
        <v>366</v>
      </c>
      <c r="D81" s="65">
        <v>35</v>
      </c>
      <c r="E81" s="13" t="s">
        <v>262</v>
      </c>
      <c r="F81" s="13" t="s">
        <v>367</v>
      </c>
      <c r="G81" s="13" t="s">
        <v>4927</v>
      </c>
      <c r="H81" s="2"/>
      <c r="I81" s="2"/>
      <c r="J81" s="2"/>
      <c r="K81" s="2"/>
      <c r="L81" s="2"/>
      <c r="M81" s="2"/>
      <c r="N81" s="2"/>
      <c r="O81" s="2"/>
      <c r="P81" s="2"/>
      <c r="Q81" s="2"/>
      <c r="R81" s="2"/>
      <c r="S81" s="2"/>
      <c r="T81" s="2"/>
      <c r="U81" s="2"/>
      <c r="V81" s="2"/>
      <c r="W81" s="2"/>
      <c r="X81" s="2"/>
      <c r="Y81" s="2"/>
      <c r="Z81" s="2"/>
    </row>
    <row r="82" customHeight="1" spans="1:26">
      <c r="A82" s="64" t="s">
        <v>368</v>
      </c>
      <c r="B82" s="13" t="s">
        <v>369</v>
      </c>
      <c r="C82" s="13" t="s">
        <v>366</v>
      </c>
      <c r="D82" s="65">
        <v>30</v>
      </c>
      <c r="E82" s="13" t="s">
        <v>262</v>
      </c>
      <c r="F82" s="13" t="s">
        <v>370</v>
      </c>
      <c r="G82" s="13" t="s">
        <v>4928</v>
      </c>
      <c r="H82" s="2"/>
      <c r="I82" s="2"/>
      <c r="J82" s="2"/>
      <c r="K82" s="2"/>
      <c r="L82" s="2"/>
      <c r="M82" s="2"/>
      <c r="N82" s="2"/>
      <c r="O82" s="2"/>
      <c r="P82" s="2"/>
      <c r="Q82" s="2"/>
      <c r="R82" s="2"/>
      <c r="S82" s="2"/>
      <c r="T82" s="2"/>
      <c r="U82" s="2"/>
      <c r="V82" s="2"/>
      <c r="W82" s="2"/>
      <c r="X82" s="2"/>
      <c r="Y82" s="2"/>
      <c r="Z82" s="2"/>
    </row>
    <row r="83" customHeight="1" spans="1:26">
      <c r="A83" s="64" t="s">
        <v>371</v>
      </c>
      <c r="B83" s="13" t="s">
        <v>7625</v>
      </c>
      <c r="C83" s="13" t="s">
        <v>373</v>
      </c>
      <c r="D83" s="65">
        <v>35</v>
      </c>
      <c r="E83" s="13" t="s">
        <v>37</v>
      </c>
      <c r="F83" s="68" t="str">
        <f>HYPERLINK("https://pbs.twimg.com/profile_images/378800000760138757/be437a4299bf7500cda3f98bee2900b4_400x400.jpeg","https://pbs.twimg.com/profile_images/378800000760138757/be437a4299bf7500cda3f98bee2900b4_400x400.jpeg")</f>
        <v>https://pbs.twimg.com/profile_images/378800000760138757/be437a4299bf7500cda3f98bee2900b4_400x400.jpeg</v>
      </c>
      <c r="G83" s="68" t="str">
        <f>HYPERLINK("http://www.harrolds.com.au","http://www.harrolds.com.au")</f>
        <v>http://www.harrolds.com.au</v>
      </c>
      <c r="H83" s="2"/>
      <c r="I83" s="2"/>
      <c r="J83" s="2"/>
      <c r="K83" s="2"/>
      <c r="L83" s="2"/>
      <c r="M83" s="2"/>
      <c r="N83" s="2"/>
      <c r="O83" s="2"/>
      <c r="P83" s="2"/>
      <c r="Q83" s="2"/>
      <c r="R83" s="2"/>
      <c r="S83" s="2"/>
      <c r="T83" s="2"/>
      <c r="U83" s="2"/>
      <c r="V83" s="2"/>
      <c r="W83" s="2"/>
      <c r="X83" s="2"/>
      <c r="Y83" s="2"/>
      <c r="Z83" s="2"/>
    </row>
    <row r="84" customHeight="1" spans="1:26">
      <c r="A84" s="64" t="s">
        <v>375</v>
      </c>
      <c r="B84" s="13" t="s">
        <v>4932</v>
      </c>
      <c r="C84" s="13" t="s">
        <v>373</v>
      </c>
      <c r="D84" s="65">
        <v>90</v>
      </c>
      <c r="E84" s="13" t="s">
        <v>37</v>
      </c>
      <c r="F84" s="13" t="s">
        <v>4933</v>
      </c>
      <c r="G84" s="68" t="str">
        <f>HYPERLINK("https://www.dfs.com/en/tgalleria-sydney","https://www.dfs.com/en/tgalleria-sydney")</f>
        <v>https://www.dfs.com/en/tgalleria-sydney</v>
      </c>
      <c r="H84" s="2"/>
      <c r="I84" s="2"/>
      <c r="J84" s="2"/>
      <c r="K84" s="2"/>
      <c r="L84" s="2"/>
      <c r="M84" s="2"/>
      <c r="N84" s="2"/>
      <c r="O84" s="2"/>
      <c r="P84" s="2"/>
      <c r="Q84" s="2"/>
      <c r="R84" s="2"/>
      <c r="S84" s="2"/>
      <c r="T84" s="2"/>
      <c r="U84" s="2"/>
      <c r="V84" s="2"/>
      <c r="W84" s="2"/>
      <c r="X84" s="2"/>
      <c r="Y84" s="2"/>
      <c r="Z84" s="2"/>
    </row>
    <row r="85" customHeight="1" spans="1:26">
      <c r="A85" s="64" t="s">
        <v>379</v>
      </c>
      <c r="B85" s="13" t="s">
        <v>4934</v>
      </c>
      <c r="C85" s="13" t="s">
        <v>373</v>
      </c>
      <c r="D85" s="65">
        <v>66</v>
      </c>
      <c r="E85" s="13" t="s">
        <v>21</v>
      </c>
      <c r="F85" s="68" t="str">
        <f>HYPERLINK("http://myersupplier.myer.com.au/images/myer_logo_large.jpg","http://myersupplier.myer.com.au/images/myer_logo_large.jpg")</f>
        <v>http://myersupplier.myer.com.au/images/myer_logo_large.jpg</v>
      </c>
      <c r="G85" s="13" t="s">
        <v>4935</v>
      </c>
      <c r="H85" s="2"/>
      <c r="I85" s="2"/>
      <c r="J85" s="2"/>
      <c r="K85" s="2"/>
      <c r="L85" s="2"/>
      <c r="M85" s="2"/>
      <c r="N85" s="2"/>
      <c r="O85" s="2"/>
      <c r="P85" s="2"/>
      <c r="Q85" s="2"/>
      <c r="R85" s="2"/>
      <c r="S85" s="2"/>
      <c r="T85" s="2"/>
      <c r="U85" s="2"/>
      <c r="V85" s="2"/>
      <c r="W85" s="2"/>
      <c r="X85" s="2"/>
      <c r="Y85" s="2"/>
      <c r="Z85" s="2"/>
    </row>
    <row r="86" customHeight="1" spans="1:26">
      <c r="A86" s="13" t="s">
        <v>383</v>
      </c>
      <c r="B86" s="13" t="s">
        <v>7626</v>
      </c>
      <c r="C86" s="13" t="s">
        <v>373</v>
      </c>
      <c r="D86" s="65">
        <v>150</v>
      </c>
      <c r="E86" s="13" t="s">
        <v>310</v>
      </c>
      <c r="F86" s="68" t="str">
        <f>HYPERLINK("https://www.malverncentralshopping.com.au/MalvernCentral/media/contents/David-Jones-Black_1__640x350.JPG?width=640&amp;height=350&amp;ext=.jpg","https://www.malverncentralshopping.com.au/MalvernCentral/media/contents/David-Jones-Black_1__640x350.JPG?width=640&amp;height=350&amp;ext=.jpg")</f>
        <v>https://www.malverncentralshopping.com.au/MalvernCentral/media/contents/David-Jones-Black_1__640x350.JPG?width=640&amp;height=350&amp;ext=.jpg</v>
      </c>
      <c r="G86" s="68" t="str">
        <f>HYPERLINK("http://shop.davidjones.com.au/djs/en/davidjones","http://shop.davidjones.com.au/djs/en/davidjones")</f>
        <v>http://shop.davidjones.com.au/djs/en/davidjones</v>
      </c>
      <c r="H86" s="2"/>
      <c r="I86" s="2"/>
      <c r="J86" s="2"/>
      <c r="K86" s="2"/>
      <c r="L86" s="2"/>
      <c r="M86" s="2"/>
      <c r="N86" s="2"/>
      <c r="O86" s="2"/>
      <c r="P86" s="2"/>
      <c r="Q86" s="2"/>
      <c r="R86" s="2"/>
      <c r="S86" s="2"/>
      <c r="T86" s="2"/>
      <c r="U86" s="2"/>
      <c r="V86" s="2"/>
      <c r="W86" s="2"/>
      <c r="X86" s="2"/>
      <c r="Y86" s="2"/>
      <c r="Z86" s="2"/>
    </row>
    <row r="87" customHeight="1" spans="1:26">
      <c r="A87" s="13" t="s">
        <v>387</v>
      </c>
      <c r="B87" s="13" t="s">
        <v>4939</v>
      </c>
      <c r="C87" s="13" t="s">
        <v>373</v>
      </c>
      <c r="D87" s="65">
        <v>76</v>
      </c>
      <c r="E87" s="13" t="s">
        <v>37</v>
      </c>
      <c r="F87" s="13" t="s">
        <v>4940</v>
      </c>
      <c r="G87" s="13" t="s">
        <v>4941</v>
      </c>
      <c r="H87" s="2"/>
      <c r="I87" s="2"/>
      <c r="J87" s="2"/>
      <c r="K87" s="2"/>
      <c r="L87" s="2"/>
      <c r="M87" s="2"/>
      <c r="N87" s="2"/>
      <c r="O87" s="2"/>
      <c r="P87" s="2"/>
      <c r="Q87" s="2"/>
      <c r="R87" s="2"/>
      <c r="S87" s="2"/>
      <c r="T87" s="2"/>
      <c r="U87" s="2"/>
      <c r="V87" s="2"/>
      <c r="W87" s="2"/>
      <c r="X87" s="2"/>
      <c r="Y87" s="2"/>
      <c r="Z87" s="2"/>
    </row>
    <row r="88" customHeight="1" spans="1:26">
      <c r="A88" s="13" t="s">
        <v>391</v>
      </c>
      <c r="B88" s="13" t="s">
        <v>392</v>
      </c>
      <c r="C88" s="13" t="s">
        <v>393</v>
      </c>
      <c r="D88" s="14">
        <v>3500</v>
      </c>
      <c r="E88" s="13" t="s">
        <v>21</v>
      </c>
      <c r="F88" s="13" t="s">
        <v>394</v>
      </c>
      <c r="G88" s="13" t="s">
        <v>4942</v>
      </c>
      <c r="H88" s="2"/>
      <c r="I88" s="2"/>
      <c r="J88" s="2"/>
      <c r="K88" s="2"/>
      <c r="L88" s="2"/>
      <c r="M88" s="2"/>
      <c r="N88" s="2"/>
      <c r="O88" s="2"/>
      <c r="P88" s="2"/>
      <c r="Q88" s="2"/>
      <c r="R88" s="2"/>
      <c r="S88" s="2"/>
      <c r="T88" s="2"/>
      <c r="U88" s="2"/>
      <c r="V88" s="2"/>
      <c r="W88" s="2"/>
      <c r="X88" s="2"/>
      <c r="Y88" s="2"/>
      <c r="Z88" s="2"/>
    </row>
    <row r="89" customHeight="1" spans="1:26">
      <c r="A89" s="13" t="s">
        <v>395</v>
      </c>
      <c r="B89" s="13" t="s">
        <v>396</v>
      </c>
      <c r="C89" s="13" t="s">
        <v>393</v>
      </c>
      <c r="D89" s="14">
        <v>1230</v>
      </c>
      <c r="E89" s="13" t="s">
        <v>21</v>
      </c>
      <c r="F89" s="13" t="s">
        <v>397</v>
      </c>
      <c r="G89" s="13" t="s">
        <v>398</v>
      </c>
      <c r="H89" s="2"/>
      <c r="I89" s="2"/>
      <c r="J89" s="2"/>
      <c r="K89" s="2"/>
      <c r="L89" s="2"/>
      <c r="M89" s="2"/>
      <c r="N89" s="2"/>
      <c r="O89" s="2"/>
      <c r="P89" s="2"/>
      <c r="Q89" s="2"/>
      <c r="R89" s="2"/>
      <c r="S89" s="2"/>
      <c r="T89" s="2"/>
      <c r="U89" s="2"/>
      <c r="V89" s="2"/>
      <c r="W89" s="2"/>
      <c r="X89" s="2"/>
      <c r="Y89" s="2"/>
      <c r="Z89" s="2"/>
    </row>
    <row r="90" customHeight="1" spans="1:26">
      <c r="A90" s="13" t="s">
        <v>399</v>
      </c>
      <c r="B90" s="13" t="s">
        <v>7627</v>
      </c>
      <c r="C90" s="13" t="s">
        <v>224</v>
      </c>
      <c r="D90" s="65">
        <v>130</v>
      </c>
      <c r="E90" s="13" t="s">
        <v>262</v>
      </c>
      <c r="F90" s="68" t="str">
        <f>HYPERLINK("http://www.goelectrical.com.au/images/logo.png","http://www.goelectrical.com.au/images/logo.png")</f>
        <v>http://www.goelectrical.com.au/images/logo.png</v>
      </c>
      <c r="G90" s="68" t="str">
        <f>HYPERLINK("http://www.goelectrical.com.au/latest-products","http://www.goelectrical.com.au/latest-products")</f>
        <v>http://www.goelectrical.com.au/latest-products</v>
      </c>
      <c r="H90" s="2"/>
      <c r="I90" s="2"/>
      <c r="J90" s="2"/>
      <c r="K90" s="2"/>
      <c r="L90" s="2"/>
      <c r="M90" s="2"/>
      <c r="N90" s="2"/>
      <c r="O90" s="2"/>
      <c r="P90" s="2"/>
      <c r="Q90" s="2"/>
      <c r="R90" s="2"/>
      <c r="S90" s="2"/>
      <c r="T90" s="2"/>
      <c r="U90" s="2"/>
      <c r="V90" s="2"/>
      <c r="W90" s="2"/>
      <c r="X90" s="2"/>
      <c r="Y90" s="2"/>
      <c r="Z90" s="2"/>
    </row>
    <row r="91" customHeight="1" spans="1:26">
      <c r="A91" s="13" t="s">
        <v>403</v>
      </c>
      <c r="B91" s="13" t="s">
        <v>7628</v>
      </c>
      <c r="C91" s="13" t="s">
        <v>229</v>
      </c>
      <c r="D91" s="65">
        <v>500</v>
      </c>
      <c r="E91" s="13" t="s">
        <v>21</v>
      </c>
      <c r="F91" s="68" t="str">
        <f>HYPERLINK("http://www.connectedhome.com.au/wp-content/uploads/2014/10/Altronics-Logo-1-600x400.jpg","http://www.connectedhome.com.au/wp-content/uploads/2014/10/Altronics-Logo-1-600x400.jpg")</f>
        <v>http://www.connectedhome.com.au/wp-content/uploads/2014/10/Altronics-Logo-1-600x400.jpg</v>
      </c>
      <c r="G91" s="68" t="str">
        <f>HYPERLINK("http://www.altronics.com.au","http://www.altronics.com.au")</f>
        <v>http://www.altronics.com.au</v>
      </c>
      <c r="H91" s="2"/>
      <c r="I91" s="2"/>
      <c r="J91" s="2"/>
      <c r="K91" s="2"/>
      <c r="L91" s="2"/>
      <c r="M91" s="2"/>
      <c r="N91" s="2"/>
      <c r="O91" s="2"/>
      <c r="P91" s="2"/>
      <c r="Q91" s="2"/>
      <c r="R91" s="2"/>
      <c r="S91" s="2"/>
      <c r="T91" s="2"/>
      <c r="U91" s="2"/>
      <c r="V91" s="2"/>
      <c r="W91" s="2"/>
      <c r="X91" s="2"/>
      <c r="Y91" s="2"/>
      <c r="Z91" s="2"/>
    </row>
    <row r="92" customHeight="1" spans="1:26">
      <c r="A92" s="13" t="s">
        <v>407</v>
      </c>
      <c r="B92" s="13" t="s">
        <v>404</v>
      </c>
      <c r="C92" s="13" t="s">
        <v>229</v>
      </c>
      <c r="D92" s="65">
        <v>350</v>
      </c>
      <c r="E92" s="13" t="s">
        <v>21</v>
      </c>
      <c r="F92" s="68" t="str">
        <f>HYPERLINK("http://s7d2.scene7.com/is/image/SamsungUS/samsung-logo-191-1","http://s7d2.scene7.com/is/image/SamsungUS/samsung-logo-191-1")</f>
        <v>http://s7d2.scene7.com/is/image/SamsungUS/samsung-logo-191-1</v>
      </c>
      <c r="G92" s="68" t="str">
        <f>HYPERLINK("http://www.samsung.com/au/samsungstore/","http://www.samsung.com/au/samsungstore/")</f>
        <v>http://www.samsung.com/au/samsungstore/</v>
      </c>
      <c r="H92" s="2"/>
      <c r="I92" s="2"/>
      <c r="J92" s="2"/>
      <c r="K92" s="2"/>
      <c r="L92" s="2"/>
      <c r="M92" s="2"/>
      <c r="N92" s="2"/>
      <c r="O92" s="2"/>
      <c r="P92" s="2"/>
      <c r="Q92" s="2"/>
      <c r="R92" s="2"/>
      <c r="S92" s="2"/>
      <c r="T92" s="2"/>
      <c r="U92" s="2"/>
      <c r="V92" s="2"/>
      <c r="W92" s="2"/>
      <c r="X92" s="2"/>
      <c r="Y92" s="2"/>
      <c r="Z92" s="2"/>
    </row>
    <row r="93" customHeight="1" spans="1:26">
      <c r="A93" s="13" t="s">
        <v>411</v>
      </c>
      <c r="B93" s="13" t="s">
        <v>7629</v>
      </c>
      <c r="C93" s="13" t="s">
        <v>413</v>
      </c>
      <c r="D93" s="14">
        <v>50</v>
      </c>
      <c r="E93" s="13" t="s">
        <v>310</v>
      </c>
      <c r="F93" s="68" t="str">
        <f>HYPERLINK("http://www.starflorist.com.au/images/star_logo.jpg","http://www.starflorist.com.au/images/star_logo.jpg")</f>
        <v>http://www.starflorist.com.au/images/star_logo.jpg</v>
      </c>
      <c r="G93" s="68" t="str">
        <f>HYPERLINK("http://www.starflorist.com.au","http://www.starflorist.com.au")</f>
        <v>http://www.starflorist.com.au</v>
      </c>
      <c r="H93" s="2"/>
      <c r="I93" s="2"/>
      <c r="J93" s="2"/>
      <c r="K93" s="2"/>
      <c r="L93" s="2"/>
      <c r="M93" s="2"/>
      <c r="N93" s="2"/>
      <c r="O93" s="2"/>
      <c r="P93" s="2"/>
      <c r="Q93" s="2"/>
      <c r="R93" s="2"/>
      <c r="S93" s="2"/>
      <c r="T93" s="2"/>
      <c r="U93" s="2"/>
      <c r="V93" s="2"/>
      <c r="W93" s="2"/>
      <c r="X93" s="2"/>
      <c r="Y93" s="2"/>
      <c r="Z93" s="2"/>
    </row>
    <row r="94" customHeight="1" spans="1:26">
      <c r="A94" s="13" t="s">
        <v>416</v>
      </c>
      <c r="B94" s="13" t="s">
        <v>4951</v>
      </c>
      <c r="C94" s="13" t="s">
        <v>418</v>
      </c>
      <c r="D94" s="14">
        <v>35</v>
      </c>
      <c r="E94" s="13" t="s">
        <v>310</v>
      </c>
      <c r="F94" s="13" t="s">
        <v>4952</v>
      </c>
      <c r="G94" s="13" t="s">
        <v>4953</v>
      </c>
      <c r="H94" s="2"/>
      <c r="I94" s="2"/>
      <c r="J94" s="2"/>
      <c r="K94" s="2"/>
      <c r="L94" s="2"/>
      <c r="M94" s="2"/>
      <c r="N94" s="2"/>
      <c r="O94" s="2"/>
      <c r="P94" s="2"/>
      <c r="Q94" s="2"/>
      <c r="R94" s="2"/>
      <c r="S94" s="2"/>
      <c r="T94" s="2"/>
      <c r="U94" s="2"/>
      <c r="V94" s="2"/>
      <c r="W94" s="2"/>
      <c r="X94" s="2"/>
      <c r="Y94" s="2"/>
      <c r="Z94" s="2"/>
    </row>
    <row r="95" customHeight="1" spans="1:26">
      <c r="A95" s="13" t="s">
        <v>421</v>
      </c>
      <c r="B95" s="13" t="s">
        <v>7630</v>
      </c>
      <c r="C95" s="13" t="s">
        <v>423</v>
      </c>
      <c r="D95" s="14">
        <v>67</v>
      </c>
      <c r="E95" s="13" t="s">
        <v>310</v>
      </c>
      <c r="F95" s="68" t="str">
        <f>HYPERLINK("https://www.homehardware.com.au/assets/img/hth_share1200x630.png","https://www.homehardware.com.au/assets/img/hth_share1200x630.png")</f>
        <v>https://www.homehardware.com.au/assets/img/hth_share1200x630.png</v>
      </c>
      <c r="G95" s="68" t="str">
        <f>HYPERLINK("https://www.homehardware.com.au/store/glen_iris/","https://www.homehardware.com.au/store/glen_iris/")</f>
        <v>https://www.homehardware.com.au/store/glen_iris/</v>
      </c>
      <c r="H95" s="2"/>
      <c r="I95" s="2"/>
      <c r="J95" s="2"/>
      <c r="K95" s="2"/>
      <c r="L95" s="2"/>
      <c r="M95" s="2"/>
      <c r="N95" s="2"/>
      <c r="O95" s="2"/>
      <c r="P95" s="2"/>
      <c r="Q95" s="2"/>
      <c r="R95" s="2"/>
      <c r="S95" s="2"/>
      <c r="T95" s="2"/>
      <c r="U95" s="2"/>
      <c r="V95" s="2"/>
      <c r="W95" s="2"/>
      <c r="X95" s="2"/>
      <c r="Y95" s="2"/>
      <c r="Z95" s="2"/>
    </row>
    <row r="96" customHeight="1" spans="1:26">
      <c r="A96" s="13" t="s">
        <v>426</v>
      </c>
      <c r="B96" s="13" t="s">
        <v>4957</v>
      </c>
      <c r="C96" s="13" t="s">
        <v>428</v>
      </c>
      <c r="D96" s="65">
        <v>13</v>
      </c>
      <c r="E96" s="13" t="s">
        <v>262</v>
      </c>
      <c r="F96" s="13" t="s">
        <v>4958</v>
      </c>
      <c r="G96" s="13" t="s">
        <v>4959</v>
      </c>
      <c r="H96" s="2"/>
      <c r="I96" s="2"/>
      <c r="J96" s="2"/>
      <c r="K96" s="2"/>
      <c r="L96" s="2"/>
      <c r="M96" s="2"/>
      <c r="N96" s="2"/>
      <c r="O96" s="2"/>
      <c r="P96" s="2"/>
      <c r="Q96" s="2"/>
      <c r="R96" s="2"/>
      <c r="S96" s="2"/>
      <c r="T96" s="2"/>
      <c r="U96" s="2"/>
      <c r="V96" s="2"/>
      <c r="W96" s="2"/>
      <c r="X96" s="2"/>
      <c r="Y96" s="2"/>
      <c r="Z96" s="2"/>
    </row>
    <row r="97" customHeight="1" spans="1:26">
      <c r="A97" s="13" t="s">
        <v>431</v>
      </c>
      <c r="B97" s="13" t="s">
        <v>7631</v>
      </c>
      <c r="C97" s="13" t="s">
        <v>428</v>
      </c>
      <c r="D97" s="65">
        <v>879</v>
      </c>
      <c r="E97" s="13" t="s">
        <v>21</v>
      </c>
      <c r="F97" s="13" t="s">
        <v>7632</v>
      </c>
      <c r="G97" s="13" t="s">
        <v>7633</v>
      </c>
      <c r="H97" s="2"/>
      <c r="I97" s="2"/>
      <c r="J97" s="2"/>
      <c r="K97" s="2"/>
      <c r="L97" s="2"/>
      <c r="M97" s="2"/>
      <c r="N97" s="2"/>
      <c r="O97" s="2"/>
      <c r="P97" s="2"/>
      <c r="Q97" s="2"/>
      <c r="R97" s="2"/>
      <c r="S97" s="2"/>
      <c r="T97" s="2"/>
      <c r="U97" s="2"/>
      <c r="V97" s="2"/>
      <c r="W97" s="2"/>
      <c r="X97" s="2"/>
      <c r="Y97" s="2"/>
      <c r="Z97" s="2"/>
    </row>
    <row r="98" customHeight="1" spans="1:26">
      <c r="A98" s="13" t="s">
        <v>435</v>
      </c>
      <c r="B98" s="13" t="s">
        <v>7634</v>
      </c>
      <c r="C98" s="13" t="s">
        <v>428</v>
      </c>
      <c r="D98" s="14">
        <v>1000</v>
      </c>
      <c r="E98" s="13" t="s">
        <v>21</v>
      </c>
      <c r="F98" s="13" t="s">
        <v>7635</v>
      </c>
      <c r="G98" s="13" t="s">
        <v>7636</v>
      </c>
      <c r="H98" s="2"/>
      <c r="I98" s="2"/>
      <c r="J98" s="2"/>
      <c r="K98" s="2"/>
      <c r="L98" s="2"/>
      <c r="M98" s="2"/>
      <c r="N98" s="2"/>
      <c r="O98" s="2"/>
      <c r="P98" s="2"/>
      <c r="Q98" s="2"/>
      <c r="R98" s="2"/>
      <c r="S98" s="2"/>
      <c r="T98" s="2"/>
      <c r="U98" s="2"/>
      <c r="V98" s="2"/>
      <c r="W98" s="2"/>
      <c r="X98" s="2"/>
      <c r="Y98" s="2"/>
      <c r="Z98" s="2"/>
    </row>
    <row r="99" customHeight="1" spans="1:26">
      <c r="A99" s="64" t="s">
        <v>439</v>
      </c>
      <c r="B99" s="13" t="s">
        <v>4962</v>
      </c>
      <c r="C99" s="13" t="s">
        <v>315</v>
      </c>
      <c r="D99" s="65">
        <v>15</v>
      </c>
      <c r="E99" s="13" t="s">
        <v>37</v>
      </c>
      <c r="F99" s="13" t="s">
        <v>4963</v>
      </c>
      <c r="G99" s="13" t="s">
        <v>4964</v>
      </c>
      <c r="H99" s="2"/>
      <c r="I99" s="2"/>
      <c r="J99" s="2"/>
      <c r="K99" s="2"/>
      <c r="L99" s="2"/>
      <c r="M99" s="2"/>
      <c r="N99" s="2"/>
      <c r="O99" s="2"/>
      <c r="P99" s="2"/>
      <c r="Q99" s="2"/>
      <c r="R99" s="2"/>
      <c r="S99" s="2"/>
      <c r="T99" s="2"/>
      <c r="U99" s="2"/>
      <c r="V99" s="2"/>
      <c r="W99" s="2"/>
      <c r="X99" s="2"/>
      <c r="Y99" s="2"/>
      <c r="Z99" s="2"/>
    </row>
    <row r="100" customHeight="1" spans="1:26">
      <c r="A100" s="13" t="s">
        <v>443</v>
      </c>
      <c r="B100" s="13" t="s">
        <v>7637</v>
      </c>
      <c r="C100" s="13" t="s">
        <v>445</v>
      </c>
      <c r="D100" s="14">
        <v>188</v>
      </c>
      <c r="E100" s="13" t="s">
        <v>310</v>
      </c>
      <c r="F100" s="68" t="str">
        <f>HYPERLINK("http://www.userlogos.org/files/logos/moniquerivers/Larsen%20Jewellery%20logo%20400x300.jpg","http://www.userlogos.org/files/logos/moniquerivers/Larsen%20Jewellery%20logo%20400x300.jpg")</f>
        <v>http://www.userlogos.org/files/logos/moniquerivers/Larsen%20Jewellery%20logo%20400x300.jpg</v>
      </c>
      <c r="G100" s="68" t="str">
        <f>HYPERLINK("https://www.larsenjewellery.com.au","https://www.larsenjewellery.com.au")</f>
        <v>https://www.larsenjewellery.com.au</v>
      </c>
      <c r="H100" s="2"/>
      <c r="I100" s="2"/>
      <c r="J100" s="2"/>
      <c r="K100" s="2"/>
      <c r="L100" s="2"/>
      <c r="M100" s="2"/>
      <c r="N100" s="2"/>
      <c r="O100" s="2"/>
      <c r="P100" s="2"/>
      <c r="Q100" s="2"/>
      <c r="R100" s="2"/>
      <c r="S100" s="2"/>
      <c r="T100" s="2"/>
      <c r="U100" s="2"/>
      <c r="V100" s="2"/>
      <c r="W100" s="2"/>
      <c r="X100" s="2"/>
      <c r="Y100" s="2"/>
      <c r="Z100" s="2"/>
    </row>
    <row r="101" customHeight="1" spans="1:26">
      <c r="A101" s="13" t="s">
        <v>448</v>
      </c>
      <c r="B101" s="13" t="s">
        <v>7638</v>
      </c>
      <c r="C101" s="13" t="s">
        <v>450</v>
      </c>
      <c r="D101" s="65">
        <v>95</v>
      </c>
      <c r="E101" s="13" t="s">
        <v>310</v>
      </c>
      <c r="F101" s="13" t="s">
        <v>7639</v>
      </c>
      <c r="G101" s="13" t="s">
        <v>7640</v>
      </c>
      <c r="H101" s="2"/>
      <c r="I101" s="2"/>
      <c r="J101" s="2"/>
      <c r="K101" s="2"/>
      <c r="L101" s="2"/>
      <c r="M101" s="2"/>
      <c r="N101" s="2"/>
      <c r="O101" s="2"/>
      <c r="P101" s="2"/>
      <c r="Q101" s="2"/>
      <c r="R101" s="2"/>
      <c r="S101" s="2"/>
      <c r="T101" s="2"/>
      <c r="U101" s="2"/>
      <c r="V101" s="2"/>
      <c r="W101" s="2"/>
      <c r="X101" s="2"/>
      <c r="Y101" s="2"/>
      <c r="Z101" s="2"/>
    </row>
    <row r="102" customHeight="1" spans="1:26">
      <c r="A102" s="13" t="s">
        <v>452</v>
      </c>
      <c r="B102" s="13" t="s">
        <v>314</v>
      </c>
      <c r="C102" s="13" t="s">
        <v>450</v>
      </c>
      <c r="D102" s="65">
        <v>89</v>
      </c>
      <c r="E102" s="13" t="s">
        <v>310</v>
      </c>
      <c r="F102" s="13" t="s">
        <v>1132</v>
      </c>
      <c r="G102" s="13" t="s">
        <v>4967</v>
      </c>
      <c r="H102" s="2"/>
      <c r="I102" s="2"/>
      <c r="J102" s="2"/>
      <c r="K102" s="2"/>
      <c r="L102" s="2"/>
      <c r="M102" s="2"/>
      <c r="N102" s="2"/>
      <c r="O102" s="2"/>
      <c r="P102" s="2"/>
      <c r="Q102" s="2"/>
      <c r="R102" s="2"/>
      <c r="S102" s="2"/>
      <c r="T102" s="2"/>
      <c r="U102" s="2"/>
      <c r="V102" s="2"/>
      <c r="W102" s="2"/>
      <c r="X102" s="2"/>
      <c r="Y102" s="2"/>
      <c r="Z102" s="2"/>
    </row>
    <row r="103" customHeight="1" spans="1:26">
      <c r="A103" s="13" t="s">
        <v>455</v>
      </c>
      <c r="B103" s="13" t="s">
        <v>7641</v>
      </c>
      <c r="C103" s="13" t="s">
        <v>457</v>
      </c>
      <c r="D103" s="14">
        <v>400</v>
      </c>
      <c r="E103" s="13" t="s">
        <v>21</v>
      </c>
      <c r="F103" s="68" t="str">
        <f>HYPERLINK("https://is5-ssl.mzstatic.com/image/thumb/Purple127/v4/5b/20/16/5b201604-5ba8-8222-990c-a522366f3f96/source/256x256bb.jpg","https://is5-ssl.mzstatic.com/image/thumb/Purple127/v4/5b/20/16/5b201604-5ba8-8222-990c-a522366f3f96/source/256x256bb.jpg")</f>
        <v>https://is5-ssl.mzstatic.com/image/thumb/Purple127/v4/5b/20/16/5b201604-5ba8-8222-990c-a522366f3f96/source/256x256bb.jpg</v>
      </c>
      <c r="G103" s="68" t="str">
        <f>HYPERLINK("http://lucretiashop.com.au","http://lucretiashop.com.au")</f>
        <v>http://lucretiashop.com.au</v>
      </c>
      <c r="H103" s="2"/>
      <c r="I103" s="2"/>
      <c r="J103" s="2"/>
      <c r="K103" s="2"/>
      <c r="L103" s="2"/>
      <c r="M103" s="2"/>
      <c r="N103" s="2"/>
      <c r="O103" s="2"/>
      <c r="P103" s="2"/>
      <c r="Q103" s="2"/>
      <c r="R103" s="2"/>
      <c r="S103" s="2"/>
      <c r="T103" s="2"/>
      <c r="U103" s="2"/>
      <c r="V103" s="2"/>
      <c r="W103" s="2"/>
      <c r="X103" s="2"/>
      <c r="Y103" s="2"/>
      <c r="Z103" s="2"/>
    </row>
    <row r="104" customHeight="1" spans="1:26">
      <c r="A104" s="13" t="s">
        <v>460</v>
      </c>
      <c r="B104" s="13" t="s">
        <v>7642</v>
      </c>
      <c r="C104" s="13" t="s">
        <v>462</v>
      </c>
      <c r="D104" s="14">
        <v>8</v>
      </c>
      <c r="E104" s="13" t="s">
        <v>37</v>
      </c>
      <c r="F104" s="68" t="str">
        <f>HYPERLINK("https://www.perthairport.com.au/-/media/Images/PASSENGER/At-the-airport/Shop-and-eat/Outlets/Shop/WHSmith/Logos/WHSmith-Colour-Logo-220x140.png?h=140&amp;w=220&amp;la=en&amp;hash=3F59014700FDEAB0745508A21821CA8A809D538B","https://www.perthairport.com.au/-/media/Images/PASSENGER/At-the-airport/Shop-and-eat/Outlets/Shop/WHSmith/Logos/WHSmith-Colour-Logo-220x140.png?h=140&amp;w=220&amp;la=en&amp;hash=3F59014700FDEAB0745508A21821CA8A809D538B")</f>
        <v>https://www.perthairport.com.au/-/media/Images/PASSENGER/At-the-airport/Shop-and-eat/Outlets/Shop/WHSmith/Logos/WHSmith-Colour-Logo-220x140.png?h=140&amp;w=220&amp;la=en&amp;hash=3F59014700FDEAB0745508A21821CA8A809D538B</v>
      </c>
      <c r="G104" s="68" t="str">
        <f>HYPERLINK("https://whsmith.com.au","https://whsmith.com.au")</f>
        <v>https://whsmith.com.au</v>
      </c>
      <c r="H104" s="2"/>
      <c r="I104" s="2"/>
      <c r="J104" s="2"/>
      <c r="K104" s="2"/>
      <c r="L104" s="2"/>
      <c r="M104" s="2"/>
      <c r="N104" s="2"/>
      <c r="O104" s="2"/>
      <c r="P104" s="2"/>
      <c r="Q104" s="2"/>
      <c r="R104" s="2"/>
      <c r="S104" s="2"/>
      <c r="T104" s="2"/>
      <c r="U104" s="2"/>
      <c r="V104" s="2"/>
      <c r="W104" s="2"/>
      <c r="X104" s="2"/>
      <c r="Y104" s="2"/>
      <c r="Z104" s="2"/>
    </row>
    <row r="105" customHeight="1" spans="1:26">
      <c r="A105" s="64" t="s">
        <v>465</v>
      </c>
      <c r="B105" s="13" t="s">
        <v>466</v>
      </c>
      <c r="C105" s="13" t="s">
        <v>315</v>
      </c>
      <c r="D105" s="65">
        <v>30</v>
      </c>
      <c r="E105" s="13" t="s">
        <v>21</v>
      </c>
      <c r="F105" s="13" t="s">
        <v>467</v>
      </c>
      <c r="G105" s="13" t="s">
        <v>4974</v>
      </c>
      <c r="H105" s="2"/>
      <c r="I105" s="2"/>
      <c r="J105" s="2"/>
      <c r="K105" s="2"/>
      <c r="L105" s="2"/>
      <c r="M105" s="2"/>
      <c r="N105" s="2"/>
      <c r="O105" s="2"/>
      <c r="P105" s="2"/>
      <c r="Q105" s="2"/>
      <c r="R105" s="2"/>
      <c r="S105" s="2"/>
      <c r="T105" s="2"/>
      <c r="U105" s="2"/>
      <c r="V105" s="2"/>
      <c r="W105" s="2"/>
      <c r="X105" s="2"/>
      <c r="Y105" s="2"/>
      <c r="Z105" s="2"/>
    </row>
    <row r="106" customHeight="1" spans="1:26">
      <c r="A106" s="13" t="s">
        <v>469</v>
      </c>
      <c r="B106" s="13" t="s">
        <v>4975</v>
      </c>
      <c r="C106" s="13" t="s">
        <v>471</v>
      </c>
      <c r="D106" s="14">
        <v>43</v>
      </c>
      <c r="E106" s="13" t="s">
        <v>310</v>
      </c>
      <c r="F106" s="13" t="s">
        <v>4976</v>
      </c>
      <c r="G106" s="13" t="s">
        <v>4977</v>
      </c>
      <c r="H106" s="2"/>
      <c r="I106" s="2"/>
      <c r="J106" s="2"/>
      <c r="K106" s="2"/>
      <c r="L106" s="2"/>
      <c r="M106" s="2"/>
      <c r="N106" s="2"/>
      <c r="O106" s="2"/>
      <c r="P106" s="2"/>
      <c r="Q106" s="2"/>
      <c r="R106" s="2"/>
      <c r="S106" s="2"/>
      <c r="T106" s="2"/>
      <c r="U106" s="2"/>
      <c r="V106" s="2"/>
      <c r="W106" s="2"/>
      <c r="X106" s="2"/>
      <c r="Y106" s="2"/>
      <c r="Z106" s="2"/>
    </row>
    <row r="107" customHeight="1" spans="1:26">
      <c r="A107" s="13" t="s">
        <v>474</v>
      </c>
      <c r="B107" s="13" t="s">
        <v>4978</v>
      </c>
      <c r="C107" s="13" t="s">
        <v>476</v>
      </c>
      <c r="D107" s="65">
        <v>123</v>
      </c>
      <c r="E107" s="13" t="s">
        <v>310</v>
      </c>
      <c r="F107" s="13" t="s">
        <v>477</v>
      </c>
      <c r="G107" s="13" t="s">
        <v>4979</v>
      </c>
      <c r="H107" s="2"/>
      <c r="I107" s="2"/>
      <c r="J107" s="2"/>
      <c r="K107" s="2"/>
      <c r="L107" s="2"/>
      <c r="M107" s="2"/>
      <c r="N107" s="2"/>
      <c r="O107" s="2"/>
      <c r="P107" s="2"/>
      <c r="Q107" s="2"/>
      <c r="R107" s="2"/>
      <c r="S107" s="2"/>
      <c r="T107" s="2"/>
      <c r="U107" s="2"/>
      <c r="V107" s="2"/>
      <c r="W107" s="2"/>
      <c r="X107" s="2"/>
      <c r="Y107" s="2"/>
      <c r="Z107" s="2"/>
    </row>
    <row r="108" customHeight="1" spans="1:26">
      <c r="A108" s="13" t="s">
        <v>479</v>
      </c>
      <c r="B108" s="13" t="s">
        <v>4980</v>
      </c>
      <c r="C108" s="13" t="s">
        <v>476</v>
      </c>
      <c r="D108" s="65">
        <v>76</v>
      </c>
      <c r="E108" s="13" t="s">
        <v>310</v>
      </c>
      <c r="F108" s="13" t="s">
        <v>4981</v>
      </c>
      <c r="G108" s="13" t="s">
        <v>4982</v>
      </c>
      <c r="H108" s="2"/>
      <c r="I108" s="2"/>
      <c r="J108" s="2"/>
      <c r="K108" s="2"/>
      <c r="L108" s="2"/>
      <c r="M108" s="2"/>
      <c r="N108" s="2"/>
      <c r="O108" s="2"/>
      <c r="P108" s="2"/>
      <c r="Q108" s="2"/>
      <c r="R108" s="2"/>
      <c r="S108" s="2"/>
      <c r="T108" s="2"/>
      <c r="U108" s="2"/>
      <c r="V108" s="2"/>
      <c r="W108" s="2"/>
      <c r="X108" s="2"/>
      <c r="Y108" s="2"/>
      <c r="Z108" s="2"/>
    </row>
    <row r="109" customHeight="1" spans="1:26">
      <c r="A109" s="64" t="s">
        <v>483</v>
      </c>
      <c r="B109" s="13" t="s">
        <v>4983</v>
      </c>
      <c r="C109" s="13" t="s">
        <v>485</v>
      </c>
      <c r="D109" s="65">
        <v>77</v>
      </c>
      <c r="E109" s="13" t="s">
        <v>37</v>
      </c>
      <c r="F109" s="13" t="s">
        <v>4984</v>
      </c>
      <c r="G109" s="13" t="s">
        <v>4985</v>
      </c>
      <c r="H109" s="2"/>
      <c r="I109" s="2"/>
      <c r="J109" s="2"/>
      <c r="K109" s="2"/>
      <c r="L109" s="2"/>
      <c r="M109" s="2"/>
      <c r="N109" s="2"/>
      <c r="O109" s="2"/>
      <c r="P109" s="2"/>
      <c r="Q109" s="2"/>
      <c r="R109" s="2"/>
      <c r="S109" s="2"/>
      <c r="T109" s="2"/>
      <c r="U109" s="2"/>
      <c r="V109" s="2"/>
      <c r="W109" s="2"/>
      <c r="X109" s="2"/>
      <c r="Y109" s="2"/>
      <c r="Z109" s="2"/>
    </row>
    <row r="110" customHeight="1" spans="1:26">
      <c r="A110" s="13" t="s">
        <v>488</v>
      </c>
      <c r="B110" s="13" t="s">
        <v>7643</v>
      </c>
      <c r="C110" s="13" t="s">
        <v>490</v>
      </c>
      <c r="D110" s="14">
        <v>50</v>
      </c>
      <c r="E110" s="13" t="s">
        <v>37</v>
      </c>
      <c r="F110" s="68" t="str">
        <f>HYPERLINK("https://www.botanicadayspa.com/wp-content/uploads/2015/04/What-Kind-of-Massage-is-Right-for-Me-Botanica-Day-Spa.png","https://www.botanicadayspa.com/wp-content/uploads/2015/04/What-Kind-of-Massage-is-Right-for-Me-Botanica-Day-Spa.png")</f>
        <v>https://www.botanicadayspa.com/wp-content/uploads/2015/04/What-Kind-of-Massage-is-Right-for-Me-Botanica-Day-Spa.png</v>
      </c>
      <c r="G110" s="68" t="str">
        <f>HYPERLINK("https://www.botanicadayspa.com.au","https://www.botanicadayspa.com.au")</f>
        <v>https://www.botanicadayspa.com.au</v>
      </c>
      <c r="H110" s="2"/>
      <c r="I110" s="2"/>
      <c r="J110" s="2"/>
      <c r="K110" s="2"/>
      <c r="L110" s="2"/>
      <c r="M110" s="2"/>
      <c r="N110" s="2"/>
      <c r="O110" s="2"/>
      <c r="P110" s="2"/>
      <c r="Q110" s="2"/>
      <c r="R110" s="2"/>
      <c r="S110" s="2"/>
      <c r="T110" s="2"/>
      <c r="U110" s="2"/>
      <c r="V110" s="2"/>
      <c r="W110" s="2"/>
      <c r="X110" s="2"/>
      <c r="Y110" s="2"/>
      <c r="Z110" s="2"/>
    </row>
    <row r="111" customHeight="1" spans="1:26">
      <c r="A111" s="13" t="s">
        <v>493</v>
      </c>
      <c r="B111" s="13" t="s">
        <v>2273</v>
      </c>
      <c r="C111" s="13" t="s">
        <v>4989</v>
      </c>
      <c r="D111" s="65"/>
      <c r="E111" s="65"/>
      <c r="F111" s="13" t="s">
        <v>4990</v>
      </c>
      <c r="G111" s="13" t="s">
        <v>4991</v>
      </c>
      <c r="H111" s="2"/>
      <c r="I111" s="2"/>
      <c r="J111" s="2"/>
      <c r="K111" s="2"/>
      <c r="L111" s="2"/>
      <c r="M111" s="2"/>
      <c r="N111" s="2"/>
      <c r="O111" s="2"/>
      <c r="P111" s="2"/>
      <c r="Q111" s="2"/>
      <c r="R111" s="2"/>
      <c r="S111" s="2"/>
      <c r="T111" s="2"/>
      <c r="U111" s="2"/>
      <c r="V111" s="2"/>
      <c r="W111" s="2"/>
      <c r="X111" s="2"/>
      <c r="Y111" s="2"/>
      <c r="Z111" s="2"/>
    </row>
    <row r="112" customHeight="1" spans="1:26">
      <c r="A112" s="13" t="s">
        <v>498</v>
      </c>
      <c r="B112" s="13" t="s">
        <v>2960</v>
      </c>
      <c r="C112" s="13" t="s">
        <v>500</v>
      </c>
      <c r="D112" s="65"/>
      <c r="E112" s="65"/>
      <c r="F112" s="13" t="s">
        <v>4992</v>
      </c>
      <c r="G112" s="13" t="s">
        <v>4993</v>
      </c>
      <c r="H112" s="2"/>
      <c r="I112" s="2"/>
      <c r="J112" s="2"/>
      <c r="K112" s="2"/>
      <c r="L112" s="2"/>
      <c r="M112" s="2"/>
      <c r="N112" s="2"/>
      <c r="O112" s="2"/>
      <c r="P112" s="2"/>
      <c r="Q112" s="2"/>
      <c r="R112" s="2"/>
      <c r="S112" s="2"/>
      <c r="T112" s="2"/>
      <c r="U112" s="2"/>
      <c r="V112" s="2"/>
      <c r="W112" s="2"/>
      <c r="X112" s="2"/>
      <c r="Y112" s="2"/>
      <c r="Z112" s="2"/>
    </row>
    <row r="113" customHeight="1" spans="1:26">
      <c r="A113" s="64" t="s">
        <v>503</v>
      </c>
      <c r="B113" s="13" t="s">
        <v>504</v>
      </c>
      <c r="C113" s="13" t="s">
        <v>505</v>
      </c>
      <c r="D113" s="65">
        <v>38</v>
      </c>
      <c r="E113" s="13" t="s">
        <v>37</v>
      </c>
      <c r="F113" s="13" t="s">
        <v>506</v>
      </c>
      <c r="G113" s="13" t="s">
        <v>4994</v>
      </c>
      <c r="H113" s="2"/>
      <c r="I113" s="2"/>
      <c r="J113" s="2"/>
      <c r="K113" s="2"/>
      <c r="L113" s="2"/>
      <c r="M113" s="2"/>
      <c r="N113" s="2"/>
      <c r="O113" s="2"/>
      <c r="P113" s="2"/>
      <c r="Q113" s="2"/>
      <c r="R113" s="2"/>
      <c r="S113" s="2"/>
      <c r="T113" s="2"/>
      <c r="U113" s="2"/>
      <c r="V113" s="2"/>
      <c r="W113" s="2"/>
      <c r="X113" s="2"/>
      <c r="Y113" s="2"/>
      <c r="Z113" s="2"/>
    </row>
    <row r="114" customHeight="1" spans="1:26">
      <c r="A114" s="13" t="s">
        <v>508</v>
      </c>
      <c r="B114" s="13" t="s">
        <v>4995</v>
      </c>
      <c r="C114" s="13" t="s">
        <v>510</v>
      </c>
      <c r="D114" s="14">
        <v>40</v>
      </c>
      <c r="E114" s="13" t="s">
        <v>37</v>
      </c>
      <c r="F114" s="13" t="s">
        <v>4996</v>
      </c>
      <c r="G114" s="13" t="s">
        <v>4997</v>
      </c>
      <c r="H114" s="2"/>
      <c r="I114" s="2"/>
      <c r="J114" s="2"/>
      <c r="K114" s="2"/>
      <c r="L114" s="2"/>
      <c r="M114" s="2"/>
      <c r="N114" s="2"/>
      <c r="O114" s="2"/>
      <c r="P114" s="2"/>
      <c r="Q114" s="2"/>
      <c r="R114" s="2"/>
      <c r="S114" s="2"/>
      <c r="T114" s="2"/>
      <c r="U114" s="2"/>
      <c r="V114" s="2"/>
      <c r="W114" s="2"/>
      <c r="X114" s="2"/>
      <c r="Y114" s="2"/>
      <c r="Z114" s="2"/>
    </row>
    <row r="115" customHeight="1" spans="1:26">
      <c r="A115" s="13" t="s">
        <v>513</v>
      </c>
      <c r="B115" s="13" t="s">
        <v>972</v>
      </c>
      <c r="C115" s="13" t="s">
        <v>515</v>
      </c>
      <c r="D115" s="14">
        <v>40</v>
      </c>
      <c r="E115" s="13" t="s">
        <v>37</v>
      </c>
      <c r="F115" s="13" t="s">
        <v>1167</v>
      </c>
      <c r="G115" s="13" t="s">
        <v>4998</v>
      </c>
      <c r="H115" s="2"/>
      <c r="I115" s="2"/>
      <c r="J115" s="2"/>
      <c r="K115" s="2"/>
      <c r="L115" s="2"/>
      <c r="M115" s="2"/>
      <c r="N115" s="2"/>
      <c r="O115" s="2"/>
      <c r="P115" s="2"/>
      <c r="Q115" s="2"/>
      <c r="R115" s="2"/>
      <c r="S115" s="2"/>
      <c r="T115" s="2"/>
      <c r="U115" s="2"/>
      <c r="V115" s="2"/>
      <c r="W115" s="2"/>
      <c r="X115" s="2"/>
      <c r="Y115" s="2"/>
      <c r="Z115" s="2"/>
    </row>
    <row r="116" customHeight="1" spans="1:26">
      <c r="A116" s="13" t="s">
        <v>518</v>
      </c>
      <c r="B116" s="13" t="s">
        <v>4819</v>
      </c>
      <c r="C116" s="13" t="s">
        <v>519</v>
      </c>
      <c r="D116" s="14">
        <v>45</v>
      </c>
      <c r="E116" s="13" t="s">
        <v>37</v>
      </c>
      <c r="F116" s="68" t="str">
        <f>HYPERLINK("http://www.israeltrade.org.au/wp-content/uploads/2012/12/telstra_logo.jpg","http://www.israeltrade.org.au/wp-content/uploads/2012/12/telstra_logo.jpg")</f>
        <v>http://www.israeltrade.org.au/wp-content/uploads/2012/12/telstra_logo.jpg</v>
      </c>
      <c r="G116" s="13" t="s">
        <v>4999</v>
      </c>
      <c r="H116" s="2"/>
      <c r="I116" s="2"/>
      <c r="J116" s="2"/>
      <c r="K116" s="2"/>
      <c r="L116" s="2"/>
      <c r="M116" s="2"/>
      <c r="N116" s="2"/>
      <c r="O116" s="2"/>
      <c r="P116" s="2"/>
      <c r="Q116" s="2"/>
      <c r="R116" s="2"/>
      <c r="S116" s="2"/>
      <c r="T116" s="2"/>
      <c r="U116" s="2"/>
      <c r="V116" s="2"/>
      <c r="W116" s="2"/>
      <c r="X116" s="2"/>
      <c r="Y116" s="2"/>
      <c r="Z116" s="2"/>
    </row>
    <row r="117" customHeight="1" spans="1:26">
      <c r="A117" s="13" t="s">
        <v>520</v>
      </c>
      <c r="B117" s="13" t="s">
        <v>5000</v>
      </c>
      <c r="C117" s="13" t="s">
        <v>515</v>
      </c>
      <c r="D117" s="14">
        <v>50</v>
      </c>
      <c r="E117" s="13" t="s">
        <v>37</v>
      </c>
      <c r="F117" s="13" t="s">
        <v>5001</v>
      </c>
      <c r="G117" s="13" t="s">
        <v>5002</v>
      </c>
      <c r="H117" s="2"/>
      <c r="I117" s="2"/>
      <c r="J117" s="2"/>
      <c r="K117" s="2"/>
      <c r="L117" s="2"/>
      <c r="M117" s="2"/>
      <c r="N117" s="2"/>
      <c r="O117" s="2"/>
      <c r="P117" s="2"/>
      <c r="Q117" s="2"/>
      <c r="R117" s="2"/>
      <c r="S117" s="2"/>
      <c r="T117" s="2"/>
      <c r="U117" s="2"/>
      <c r="V117" s="2"/>
      <c r="W117" s="2"/>
      <c r="X117" s="2"/>
      <c r="Y117" s="2"/>
      <c r="Z117" s="2"/>
    </row>
    <row r="118" customHeight="1" spans="1:26">
      <c r="A118" s="64" t="s">
        <v>522</v>
      </c>
      <c r="B118" s="13" t="s">
        <v>523</v>
      </c>
      <c r="C118" s="13" t="s">
        <v>524</v>
      </c>
      <c r="D118" s="65">
        <v>90</v>
      </c>
      <c r="E118" s="13" t="s">
        <v>21</v>
      </c>
      <c r="F118" s="13" t="s">
        <v>525</v>
      </c>
      <c r="G118" s="101" t="s">
        <v>5003</v>
      </c>
      <c r="H118" s="2"/>
      <c r="I118" s="2"/>
      <c r="J118" s="2"/>
      <c r="K118" s="2"/>
      <c r="L118" s="2"/>
      <c r="M118" s="2"/>
      <c r="N118" s="2"/>
      <c r="O118" s="2"/>
      <c r="P118" s="2"/>
      <c r="Q118" s="2"/>
      <c r="R118" s="2"/>
      <c r="S118" s="2"/>
      <c r="T118" s="2"/>
      <c r="U118" s="2"/>
      <c r="V118" s="2"/>
      <c r="W118" s="2"/>
      <c r="X118" s="2"/>
      <c r="Y118" s="2"/>
      <c r="Z118" s="2"/>
    </row>
    <row r="119" customHeight="1" spans="1:26">
      <c r="A119" s="13" t="s">
        <v>527</v>
      </c>
      <c r="B119" s="13" t="s">
        <v>5004</v>
      </c>
      <c r="C119" s="13" t="s">
        <v>529</v>
      </c>
      <c r="D119" s="65"/>
      <c r="E119" s="65"/>
      <c r="F119" s="13" t="s">
        <v>5005</v>
      </c>
      <c r="G119" s="13" t="s">
        <v>5006</v>
      </c>
      <c r="H119" s="2"/>
      <c r="I119" s="2"/>
      <c r="J119" s="2"/>
      <c r="K119" s="2"/>
      <c r="L119" s="2"/>
      <c r="M119" s="2"/>
      <c r="N119" s="2"/>
      <c r="O119" s="2"/>
      <c r="P119" s="2"/>
      <c r="Q119" s="2"/>
      <c r="R119" s="2"/>
      <c r="S119" s="2"/>
      <c r="T119" s="2"/>
      <c r="U119" s="2"/>
      <c r="V119" s="2"/>
      <c r="W119" s="2"/>
      <c r="X119" s="2"/>
      <c r="Y119" s="2"/>
      <c r="Z119" s="2"/>
    </row>
    <row r="120" customHeight="1" spans="1:26">
      <c r="A120" s="13" t="s">
        <v>532</v>
      </c>
      <c r="B120" s="13" t="s">
        <v>5007</v>
      </c>
      <c r="C120" s="13" t="s">
        <v>534</v>
      </c>
      <c r="D120" s="14">
        <v>120</v>
      </c>
      <c r="E120" s="13" t="s">
        <v>37</v>
      </c>
      <c r="F120" s="13" t="s">
        <v>5008</v>
      </c>
      <c r="G120" s="13" t="s">
        <v>5009</v>
      </c>
      <c r="H120" s="2"/>
      <c r="I120" s="2"/>
      <c r="J120" s="2"/>
      <c r="K120" s="2"/>
      <c r="L120" s="2"/>
      <c r="M120" s="2"/>
      <c r="N120" s="2"/>
      <c r="O120" s="2"/>
      <c r="P120" s="2"/>
      <c r="Q120" s="2"/>
      <c r="R120" s="2"/>
      <c r="S120" s="2"/>
      <c r="T120" s="2"/>
      <c r="U120" s="2"/>
      <c r="V120" s="2"/>
      <c r="W120" s="2"/>
      <c r="X120" s="2"/>
      <c r="Y120" s="2"/>
      <c r="Z120" s="2"/>
    </row>
    <row r="121" customHeight="1" spans="1:26">
      <c r="A121" s="64" t="s">
        <v>537</v>
      </c>
      <c r="B121" s="13" t="s">
        <v>5010</v>
      </c>
      <c r="C121" s="13" t="s">
        <v>539</v>
      </c>
      <c r="D121" s="65">
        <v>60</v>
      </c>
      <c r="E121" s="13" t="s">
        <v>37</v>
      </c>
      <c r="F121" s="68" t="str">
        <f>HYPERLINK("https://www.agl.com.au/Content/tactical/img/logo-agl.svg","https://www.agl.com.au/Content/tactical/img/logo-agl.svg")</f>
        <v>https://www.agl.com.au/Content/tactical/img/logo-agl.svg</v>
      </c>
      <c r="G121" s="13" t="s">
        <v>5011</v>
      </c>
      <c r="H121" s="2"/>
      <c r="I121" s="2"/>
      <c r="J121" s="2"/>
      <c r="K121" s="2"/>
      <c r="L121" s="2"/>
      <c r="M121" s="2"/>
      <c r="N121" s="2"/>
      <c r="O121" s="2"/>
      <c r="P121" s="2"/>
      <c r="Q121" s="2"/>
      <c r="R121" s="2"/>
      <c r="S121" s="2"/>
      <c r="T121" s="2"/>
      <c r="U121" s="2"/>
      <c r="V121" s="2"/>
      <c r="W121" s="2"/>
      <c r="X121" s="2"/>
      <c r="Y121" s="2"/>
      <c r="Z121" s="2"/>
    </row>
    <row r="122" customHeight="1" spans="1:26">
      <c r="A122" s="64" t="s">
        <v>542</v>
      </c>
      <c r="B122" s="13" t="s">
        <v>5012</v>
      </c>
      <c r="C122" s="13" t="s">
        <v>539</v>
      </c>
      <c r="D122" s="65">
        <v>50</v>
      </c>
      <c r="E122" s="13" t="s">
        <v>37</v>
      </c>
      <c r="F122" s="13" t="s">
        <v>5013</v>
      </c>
      <c r="G122" s="13" t="s">
        <v>5014</v>
      </c>
      <c r="H122" s="2"/>
      <c r="I122" s="2"/>
      <c r="J122" s="2"/>
      <c r="K122" s="2"/>
      <c r="L122" s="2"/>
      <c r="M122" s="2"/>
      <c r="N122" s="2"/>
      <c r="O122" s="2"/>
      <c r="P122" s="2"/>
      <c r="Q122" s="2"/>
      <c r="R122" s="2"/>
      <c r="S122" s="2"/>
      <c r="T122" s="2"/>
      <c r="U122" s="2"/>
      <c r="V122" s="2"/>
      <c r="W122" s="2"/>
      <c r="X122" s="2"/>
      <c r="Y122" s="2"/>
      <c r="Z122" s="2"/>
    </row>
    <row r="123" customHeight="1" spans="1:26">
      <c r="A123" s="13" t="s">
        <v>546</v>
      </c>
      <c r="B123" s="13" t="s">
        <v>5015</v>
      </c>
      <c r="C123" s="13" t="s">
        <v>548</v>
      </c>
      <c r="D123" s="14">
        <v>100</v>
      </c>
      <c r="E123" s="13" t="s">
        <v>37</v>
      </c>
      <c r="F123" s="13" t="s">
        <v>5016</v>
      </c>
      <c r="G123" s="13" t="s">
        <v>5017</v>
      </c>
      <c r="H123" s="2"/>
      <c r="I123" s="2"/>
      <c r="J123" s="2"/>
      <c r="K123" s="2"/>
      <c r="L123" s="2"/>
      <c r="M123" s="2"/>
      <c r="N123" s="2"/>
      <c r="O123" s="2"/>
      <c r="P123" s="2"/>
      <c r="Q123" s="2"/>
      <c r="R123" s="2"/>
      <c r="S123" s="2"/>
      <c r="T123" s="2"/>
      <c r="U123" s="2"/>
      <c r="V123" s="2"/>
      <c r="W123" s="2"/>
      <c r="X123" s="2"/>
      <c r="Y123" s="2"/>
      <c r="Z123" s="2"/>
    </row>
    <row r="124" customHeight="1" spans="1:26">
      <c r="A124" s="64" t="s">
        <v>551</v>
      </c>
      <c r="B124" s="13" t="s">
        <v>5018</v>
      </c>
      <c r="C124" s="13" t="s">
        <v>553</v>
      </c>
      <c r="D124" s="65">
        <v>30</v>
      </c>
      <c r="E124" s="13" t="s">
        <v>37</v>
      </c>
      <c r="F124" s="13" t="s">
        <v>5019</v>
      </c>
      <c r="G124" s="13" t="s">
        <v>5020</v>
      </c>
      <c r="H124" s="2"/>
      <c r="I124" s="2"/>
      <c r="J124" s="2"/>
      <c r="K124" s="2"/>
      <c r="L124" s="2"/>
      <c r="M124" s="2"/>
      <c r="N124" s="2"/>
      <c r="O124" s="2"/>
      <c r="P124" s="2"/>
      <c r="Q124" s="2"/>
      <c r="R124" s="2"/>
      <c r="S124" s="2"/>
      <c r="T124" s="2"/>
      <c r="U124" s="2"/>
      <c r="V124" s="2"/>
      <c r="W124" s="2"/>
      <c r="X124" s="2"/>
      <c r="Y124" s="2"/>
      <c r="Z124" s="2"/>
    </row>
    <row r="125" customHeight="1" spans="1:26">
      <c r="A125" s="13" t="s">
        <v>556</v>
      </c>
      <c r="B125" s="13" t="s">
        <v>5021</v>
      </c>
      <c r="C125" s="13" t="s">
        <v>557</v>
      </c>
      <c r="D125" s="14">
        <v>30</v>
      </c>
      <c r="E125" s="13" t="s">
        <v>37</v>
      </c>
      <c r="F125" s="13" t="s">
        <v>5022</v>
      </c>
      <c r="G125" s="13" t="s">
        <v>5023</v>
      </c>
      <c r="H125" s="2"/>
      <c r="I125" s="2"/>
      <c r="J125" s="2"/>
      <c r="K125" s="2"/>
      <c r="L125" s="2"/>
      <c r="M125" s="2"/>
      <c r="N125" s="2"/>
      <c r="O125" s="2"/>
      <c r="P125" s="2"/>
      <c r="Q125" s="2"/>
      <c r="R125" s="2"/>
      <c r="S125" s="2"/>
      <c r="T125" s="2"/>
      <c r="U125" s="2"/>
      <c r="V125" s="2"/>
      <c r="W125" s="2"/>
      <c r="X125" s="2"/>
      <c r="Y125" s="2"/>
      <c r="Z125" s="2"/>
    </row>
    <row r="126" customHeight="1" spans="1:26">
      <c r="A126" s="13" t="s">
        <v>558</v>
      </c>
      <c r="B126" s="13" t="s">
        <v>5024</v>
      </c>
      <c r="C126" s="13" t="s">
        <v>560</v>
      </c>
      <c r="D126" s="14">
        <v>40</v>
      </c>
      <c r="E126" s="13" t="s">
        <v>37</v>
      </c>
      <c r="F126" s="13" t="s">
        <v>5025</v>
      </c>
      <c r="G126" s="13" t="s">
        <v>5026</v>
      </c>
      <c r="H126" s="2"/>
      <c r="I126" s="2"/>
      <c r="J126" s="2"/>
      <c r="K126" s="2"/>
      <c r="L126" s="2"/>
      <c r="M126" s="2"/>
      <c r="N126" s="2"/>
      <c r="O126" s="2"/>
      <c r="P126" s="2"/>
      <c r="Q126" s="2"/>
      <c r="R126" s="2"/>
      <c r="S126" s="2"/>
      <c r="T126" s="2"/>
      <c r="U126" s="2"/>
      <c r="V126" s="2"/>
      <c r="W126" s="2"/>
      <c r="X126" s="2"/>
      <c r="Y126" s="2"/>
      <c r="Z126" s="2"/>
    </row>
    <row r="127" customHeight="1" spans="1:26">
      <c r="A127" s="13" t="s">
        <v>563</v>
      </c>
      <c r="B127" s="13" t="s">
        <v>7644</v>
      </c>
      <c r="C127" s="13" t="s">
        <v>565</v>
      </c>
      <c r="D127" s="14">
        <v>80</v>
      </c>
      <c r="E127" s="13" t="s">
        <v>37</v>
      </c>
      <c r="F127" s="68" t="str">
        <f>HYPERLINK("http://www-static2.spulsecdn.net/pics/00/02/77/76/2777667_1_M.jpg","http://www-static2.spulsecdn.net/pics/00/02/77/76/2777667_1_M.jpg")</f>
        <v>http://www-static2.spulsecdn.net/pics/00/02/77/76/2777667_1_M.jpg</v>
      </c>
      <c r="G127" s="68" t="str">
        <f>HYPERLINK("http://websites.sportstg.com/assoc_page.cgi?client=1-9952-0-0-0","http://websites.sportstg.com/assoc_page.cgi?client=1-9952-0-0-0")</f>
        <v>http://websites.sportstg.com/assoc_page.cgi?client=1-9952-0-0-0</v>
      </c>
      <c r="H127" s="2"/>
      <c r="I127" s="2"/>
      <c r="J127" s="2"/>
      <c r="K127" s="2"/>
      <c r="L127" s="2"/>
      <c r="M127" s="2"/>
      <c r="N127" s="2"/>
      <c r="O127" s="2"/>
      <c r="P127" s="2"/>
      <c r="Q127" s="2"/>
      <c r="R127" s="2"/>
      <c r="S127" s="2"/>
      <c r="T127" s="2"/>
      <c r="U127" s="2"/>
      <c r="V127" s="2"/>
      <c r="W127" s="2"/>
      <c r="X127" s="2"/>
      <c r="Y127" s="2"/>
      <c r="Z127" s="2"/>
    </row>
    <row r="128" customHeight="1" spans="1:26">
      <c r="A128" s="13" t="s">
        <v>313</v>
      </c>
      <c r="B128" s="13" t="s">
        <v>5030</v>
      </c>
      <c r="C128" s="13" t="s">
        <v>117</v>
      </c>
      <c r="D128" s="65">
        <v>90</v>
      </c>
      <c r="E128" s="13" t="s">
        <v>32</v>
      </c>
      <c r="F128" s="13" t="s">
        <v>5031</v>
      </c>
      <c r="G128" s="13" t="s">
        <v>5032</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568</v>
      </c>
      <c r="C129" s="10" t="s">
        <v>5033</v>
      </c>
      <c r="D129" s="10" t="s">
        <v>570</v>
      </c>
      <c r="E129" s="2"/>
      <c r="F129" s="2"/>
      <c r="G129" s="9" t="str">
        <f>HYPERLINK("http://sterlingatms.com.au/product_images/home_slider/5568-landing_page_NAB.jpg","http://sterlingatms.com.au/product_images/home_slider/5568-landing_page_NAB.jpg")</f>
        <v>http://sterlingatms.com.au/product_images/home_slider/5568-landing_page_NAB.jpg</v>
      </c>
      <c r="H129" s="9" t="str">
        <f>HYPERLINK("https://www.nab.com.au","https://www.nab.com.au")</f>
        <v>https://www.nab.com.au</v>
      </c>
      <c r="I129" s="2"/>
      <c r="J129" s="2"/>
      <c r="K129" s="2"/>
      <c r="L129" s="2"/>
      <c r="M129" s="2"/>
      <c r="N129" s="2"/>
      <c r="O129" s="2"/>
      <c r="P129" s="2"/>
      <c r="Q129" s="2"/>
      <c r="R129" s="2"/>
      <c r="S129" s="2"/>
      <c r="T129" s="2"/>
      <c r="U129" s="2"/>
      <c r="V129" s="2"/>
      <c r="W129" s="2"/>
      <c r="X129" s="2"/>
      <c r="Y129" s="2"/>
      <c r="Z129" s="2"/>
    </row>
    <row r="130" ht="13.5" customHeight="1" spans="1:26">
      <c r="A130" s="2" t="s">
        <v>572</v>
      </c>
      <c r="B130" s="2" t="s">
        <v>572</v>
      </c>
      <c r="C130" s="2" t="s">
        <v>4892</v>
      </c>
      <c r="D130" s="2" t="s">
        <v>570</v>
      </c>
      <c r="E130" s="2"/>
      <c r="F130" s="2"/>
      <c r="G130" s="9" t="str">
        <f>HYPERLINK("https://cdn.theconversation.com/files/155585/wide_article/width1356x668/7gzxt7ny-1486346466.jpg","https://cdn.theconversation.com/files/155585/wide_article/width1356x668/7gzxt7ny-1486346466.jpg")</f>
        <v>https://cdn.theconversation.com/files/155585/wide_article/width1356x668/7gzxt7ny-1486346466.jpg</v>
      </c>
      <c r="H130" s="9" t="str">
        <f>HYPERLINK("https://bankaust.com.au/personal/","https://bankaust.com.au/personal/")</f>
        <v>https://bankaust.com.au/personal/</v>
      </c>
      <c r="I130" s="2"/>
      <c r="J130" s="2"/>
      <c r="K130" s="2"/>
      <c r="L130" s="2"/>
      <c r="M130" s="2"/>
      <c r="N130" s="2"/>
      <c r="O130" s="2"/>
      <c r="P130" s="2"/>
      <c r="Q130" s="2"/>
      <c r="R130" s="2"/>
      <c r="S130" s="2"/>
      <c r="T130" s="2"/>
      <c r="U130" s="2"/>
      <c r="V130" s="2"/>
      <c r="W130" s="2"/>
      <c r="X130" s="2"/>
      <c r="Y130" s="2"/>
      <c r="Z130" s="2"/>
    </row>
    <row r="131" ht="13.5" customHeight="1" spans="1:26">
      <c r="A131" s="2" t="s">
        <v>576</v>
      </c>
      <c r="B131" s="2" t="s">
        <v>576</v>
      </c>
      <c r="C131" s="2" t="s">
        <v>5034</v>
      </c>
      <c r="D131" s="11" t="s">
        <v>578</v>
      </c>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579</v>
      </c>
      <c r="C132" s="2" t="s">
        <v>5035</v>
      </c>
      <c r="D132" s="11" t="s">
        <v>578</v>
      </c>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581</v>
      </c>
      <c r="C133" s="2" t="s">
        <v>5036</v>
      </c>
      <c r="D133" s="11" t="s">
        <v>578</v>
      </c>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583</v>
      </c>
      <c r="C134" s="2" t="s">
        <v>5037</v>
      </c>
      <c r="D134" s="11" t="s">
        <v>578</v>
      </c>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585</v>
      </c>
      <c r="C135" s="2" t="s">
        <v>5038</v>
      </c>
      <c r="D135" s="11" t="s">
        <v>578</v>
      </c>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587</v>
      </c>
      <c r="C136" s="2" t="s">
        <v>5039</v>
      </c>
      <c r="D136" s="11" t="s">
        <v>578</v>
      </c>
      <c r="E136" s="2"/>
      <c r="F136" s="2"/>
      <c r="G136" s="2" t="s">
        <v>589</v>
      </c>
      <c r="H136" s="2" t="s">
        <v>1933</v>
      </c>
      <c r="I136" s="2"/>
      <c r="J136" s="2"/>
      <c r="K136" s="2"/>
      <c r="L136" s="2"/>
      <c r="M136" s="2"/>
      <c r="N136" s="2"/>
      <c r="O136" s="2"/>
      <c r="P136" s="2"/>
      <c r="Q136" s="2"/>
      <c r="R136" s="2"/>
      <c r="S136" s="2"/>
      <c r="T136" s="2"/>
      <c r="U136" s="2"/>
      <c r="V136" s="2"/>
      <c r="W136" s="2"/>
      <c r="X136" s="2"/>
      <c r="Y136" s="2"/>
      <c r="Z136" s="2"/>
    </row>
    <row r="137" ht="13.5" customHeight="1" spans="1:26">
      <c r="A137" s="2" t="s">
        <v>591</v>
      </c>
      <c r="B137" s="2" t="s">
        <v>591</v>
      </c>
      <c r="C137" s="2" t="s">
        <v>7645</v>
      </c>
      <c r="D137" s="11" t="s">
        <v>578</v>
      </c>
      <c r="E137" s="2"/>
      <c r="F137" s="2"/>
      <c r="G137" s="9" t="str">
        <f>HYPERLINK("http://www.fya.org.au/wp-content/uploads/2015/08/fya-facebook.png","http://www.fya.org.au/wp-content/uploads/2015/08/fya-facebook.png")</f>
        <v>http://www.fya.org.au/wp-content/uploads/2015/08/fya-facebook.png</v>
      </c>
      <c r="H137" s="9" t="str">
        <f>HYPERLINK("http://www.fya.org.au","http://www.fya.org.au")</f>
        <v>http://www.fya.org.au</v>
      </c>
      <c r="I137" s="2"/>
      <c r="J137" s="2"/>
      <c r="K137" s="2"/>
      <c r="L137" s="2"/>
      <c r="M137" s="2"/>
      <c r="N137" s="2"/>
      <c r="O137" s="2"/>
      <c r="P137" s="2"/>
      <c r="Q137" s="2"/>
      <c r="R137" s="2"/>
      <c r="S137" s="2"/>
      <c r="T137" s="2"/>
      <c r="U137" s="2"/>
      <c r="V137" s="2"/>
      <c r="W137" s="2"/>
      <c r="X137" s="2"/>
      <c r="Y137" s="2"/>
      <c r="Z137" s="2"/>
    </row>
    <row r="138" ht="13.5" customHeight="1" spans="1:26">
      <c r="A138" s="2" t="s">
        <v>595</v>
      </c>
      <c r="B138" s="2" t="s">
        <v>595</v>
      </c>
      <c r="C138" s="2" t="s">
        <v>7646</v>
      </c>
      <c r="D138" s="11" t="s">
        <v>578</v>
      </c>
      <c r="E138" s="2"/>
      <c r="F138" s="2"/>
      <c r="G138" s="9" t="str">
        <f>HYPERLINK("http://biomelbourne.org/wp-content/uploads/2017/03/Cera-Logo-RGB-1.jpg","http://biomelbourne.org/wp-content/uploads/2017/03/Cera-Logo-RGB-1.jpg")</f>
        <v>http://biomelbourne.org/wp-content/uploads/2017/03/Cera-Logo-RGB-1.jpg</v>
      </c>
      <c r="H138" s="9" t="str">
        <f>HYPERLINK("https://www.cera.org.au","https://www.cera.org.au")</f>
        <v>https://www.cera.org.au</v>
      </c>
      <c r="I138" s="2"/>
      <c r="J138" s="2"/>
      <c r="K138" s="2"/>
      <c r="L138" s="2"/>
      <c r="M138" s="2"/>
      <c r="N138" s="2"/>
      <c r="O138" s="2"/>
      <c r="P138" s="2"/>
      <c r="Q138" s="2"/>
      <c r="R138" s="2"/>
      <c r="S138" s="2"/>
      <c r="T138" s="2"/>
      <c r="U138" s="2"/>
      <c r="V138" s="2"/>
      <c r="W138" s="2"/>
      <c r="X138" s="2"/>
      <c r="Y138" s="2"/>
      <c r="Z138" s="2"/>
    </row>
    <row r="139" ht="13.5" customHeight="1" spans="1:26">
      <c r="A139" s="2" t="s">
        <v>599</v>
      </c>
      <c r="B139" s="2" t="s">
        <v>599</v>
      </c>
      <c r="C139" s="2" t="s">
        <v>7647</v>
      </c>
      <c r="D139" s="11" t="s">
        <v>578</v>
      </c>
      <c r="E139" s="2"/>
      <c r="F139" s="2"/>
      <c r="G139" s="9" t="str">
        <f>HYPERLINK("https://youthprojects.org.au/wp-content/themes/youth-projects/assets/images/logo_yp.svg","https://youthprojects.org.au/wp-content/themes/youth-projects/assets/images/logo_yp.svg")</f>
        <v>https://youthprojects.org.au/wp-content/themes/youth-projects/assets/images/logo_yp.svg</v>
      </c>
      <c r="H139" s="9" t="str">
        <f>HYPERLINK("https://youthprojects.org.au","https://youthprojects.org.au")</f>
        <v>https://youthprojects.org.au</v>
      </c>
      <c r="I139" s="2"/>
      <c r="J139" s="2"/>
      <c r="K139" s="2"/>
      <c r="L139" s="2"/>
      <c r="M139" s="2"/>
      <c r="N139" s="2"/>
      <c r="O139" s="2"/>
      <c r="P139" s="2"/>
      <c r="Q139" s="2"/>
      <c r="R139" s="2"/>
      <c r="S139" s="2"/>
      <c r="T139" s="2"/>
      <c r="U139" s="2"/>
      <c r="V139" s="2"/>
      <c r="W139" s="2"/>
      <c r="X139" s="2"/>
      <c r="Y139" s="2"/>
      <c r="Z139" s="2"/>
    </row>
    <row r="140" ht="13.5" customHeight="1" spans="1:26">
      <c r="A140" s="2" t="s">
        <v>603</v>
      </c>
      <c r="B140" s="2" t="s">
        <v>603</v>
      </c>
      <c r="C140" s="2" t="s">
        <v>7648</v>
      </c>
      <c r="D140" s="11" t="s">
        <v>578</v>
      </c>
      <c r="E140" s="2"/>
      <c r="F140" s="2"/>
      <c r="G140" s="9" t="str">
        <f>HYPERLINK("https://cabrini.mercury.com.au/assets/img/Logo.png","https://cabrini.mercury.com.au/assets/img/Logo.png")</f>
        <v>https://cabrini.mercury.com.au/assets/img/Logo.png</v>
      </c>
      <c r="H140" s="9" t="str">
        <f>HYPERLINK("http://www.cabrini.com.au","http://www.cabrini.com.au")</f>
        <v>http://www.cabrini.com.au</v>
      </c>
      <c r="I140" s="2"/>
      <c r="J140" s="2"/>
      <c r="K140" s="2"/>
      <c r="L140" s="2"/>
      <c r="M140" s="2"/>
      <c r="N140" s="2"/>
      <c r="O140" s="2"/>
      <c r="P140" s="2"/>
      <c r="Q140" s="2"/>
      <c r="R140" s="2"/>
      <c r="S140" s="2"/>
      <c r="T140" s="2"/>
      <c r="U140" s="2"/>
      <c r="V140" s="2"/>
      <c r="W140" s="2"/>
      <c r="X140" s="2"/>
      <c r="Y140" s="2"/>
      <c r="Z140" s="2"/>
    </row>
    <row r="141" ht="13.5" customHeight="1" spans="1:26">
      <c r="A141" s="6" t="s">
        <v>607</v>
      </c>
      <c r="B141" s="6" t="s">
        <v>607</v>
      </c>
      <c r="C141" s="2" t="s">
        <v>1222</v>
      </c>
      <c r="D141" s="11" t="s">
        <v>609</v>
      </c>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6" t="s">
        <v>610</v>
      </c>
      <c r="C142" s="2" t="s">
        <v>5044</v>
      </c>
      <c r="D142" s="11" t="s">
        <v>612</v>
      </c>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6" t="s">
        <v>613</v>
      </c>
      <c r="C143" s="2" t="s">
        <v>615</v>
      </c>
      <c r="D143" s="6" t="s">
        <v>615</v>
      </c>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616</v>
      </c>
      <c r="C144" s="2" t="s">
        <v>618</v>
      </c>
      <c r="D144" s="11" t="s">
        <v>618</v>
      </c>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6" t="s">
        <v>619</v>
      </c>
      <c r="C145" s="2" t="s">
        <v>7649</v>
      </c>
      <c r="D145" s="11" t="s">
        <v>612</v>
      </c>
      <c r="E145" s="2"/>
      <c r="F145" s="2"/>
      <c r="G145" s="9" t="str">
        <f>HYPERLINK("http://www.mercyhealth.com.au/au/mediaroom/news/PublishingImages/Logo.jpg?RenditionID=5","http://www.mercyhealth.com.au/au/mediaroom/news/PublishingImages/Logo.jpg?RenditionID=5")</f>
        <v>http://www.mercyhealth.com.au/au/mediaroom/news/PublishingImages/Logo.jpg?RenditionID=5</v>
      </c>
      <c r="H145" s="9" t="str">
        <f>HYPERLINK("http://www.mercyhealth.com.au/hcmhs/clinics/Pages/Palliative%20Care.aspx","http://www.mercyhealth.com.au/hcmhs/clinics/Pages/Palliative%20Care.aspx")</f>
        <v>http://www.mercyhealth.com.au/hcmhs/clinics/Pages/Palliative%20Care.aspx</v>
      </c>
      <c r="I145" s="2"/>
      <c r="J145" s="2"/>
      <c r="K145" s="2"/>
      <c r="L145" s="2"/>
      <c r="M145" s="2"/>
      <c r="N145" s="2"/>
      <c r="O145" s="2"/>
      <c r="P145" s="2"/>
      <c r="Q145" s="2"/>
      <c r="R145" s="2"/>
      <c r="S145" s="2"/>
      <c r="T145" s="2"/>
      <c r="U145" s="2"/>
      <c r="V145" s="2"/>
      <c r="W145" s="2"/>
      <c r="X145" s="2"/>
      <c r="Y145" s="2"/>
      <c r="Z145" s="2"/>
    </row>
    <row r="146" ht="13.5" customHeight="1" spans="1:26">
      <c r="A146" s="6" t="s">
        <v>623</v>
      </c>
      <c r="B146" s="6" t="s">
        <v>623</v>
      </c>
      <c r="C146" s="2" t="s">
        <v>7650</v>
      </c>
      <c r="D146" s="11" t="s">
        <v>612</v>
      </c>
      <c r="E146" s="2"/>
      <c r="F146" s="2"/>
      <c r="G146" s="9" t="str">
        <f>HYPERLINK("https://www.thermh.org.au/sites/default/files/logo.png","https://www.thermh.org.au/sites/default/files/logo.png")</f>
        <v>https://www.thermh.org.au/sites/default/files/logo.png</v>
      </c>
      <c r="H146" s="9" t="str">
        <f>HYPERLINK("https://www.thermh.org.au","https://www.thermh.org.au")</f>
        <v>https://www.thermh.org.au</v>
      </c>
      <c r="I146" s="2"/>
      <c r="J146" s="2"/>
      <c r="K146" s="2"/>
      <c r="L146" s="2"/>
      <c r="M146" s="2"/>
      <c r="N146" s="2"/>
      <c r="O146" s="2"/>
      <c r="P146" s="2"/>
      <c r="Q146" s="2"/>
      <c r="R146" s="2"/>
      <c r="S146" s="2"/>
      <c r="T146" s="2"/>
      <c r="U146" s="2"/>
      <c r="V146" s="2"/>
      <c r="W146" s="2"/>
      <c r="X146" s="2"/>
      <c r="Y146" s="2"/>
      <c r="Z146" s="2"/>
    </row>
    <row r="147" ht="13.5" customHeight="1" spans="1:26">
      <c r="A147" s="6" t="s">
        <v>627</v>
      </c>
      <c r="B147" s="6" t="s">
        <v>627</v>
      </c>
      <c r="C147" s="2" t="s">
        <v>5047</v>
      </c>
      <c r="D147" s="11" t="s">
        <v>612</v>
      </c>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6" t="s">
        <v>629</v>
      </c>
      <c r="C148" s="2" t="s">
        <v>5048</v>
      </c>
      <c r="D148" s="11" t="s">
        <v>612</v>
      </c>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6" t="s">
        <v>631</v>
      </c>
      <c r="C149" s="2" t="s">
        <v>5049</v>
      </c>
      <c r="D149" s="11" t="s">
        <v>612</v>
      </c>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6" t="s">
        <v>633</v>
      </c>
      <c r="C150" s="2" t="s">
        <v>5050</v>
      </c>
      <c r="D150" s="11" t="s">
        <v>612</v>
      </c>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6" t="s">
        <v>635</v>
      </c>
      <c r="C151" s="2" t="s">
        <v>5051</v>
      </c>
      <c r="D151" s="11" t="s">
        <v>612</v>
      </c>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6" t="s">
        <v>637</v>
      </c>
      <c r="C152" s="2" t="s">
        <v>5052</v>
      </c>
      <c r="D152" s="11" t="s">
        <v>612</v>
      </c>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6" t="s">
        <v>639</v>
      </c>
      <c r="C153" s="2" t="s">
        <v>5053</v>
      </c>
      <c r="D153" s="11" t="s">
        <v>612</v>
      </c>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6" t="s">
        <v>641</v>
      </c>
      <c r="C154" s="2" t="s">
        <v>5054</v>
      </c>
      <c r="D154" s="11" t="s">
        <v>612</v>
      </c>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643</v>
      </c>
      <c r="C155" s="2" t="s">
        <v>644</v>
      </c>
      <c r="D155" s="11" t="s">
        <v>644</v>
      </c>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6" t="s">
        <v>645</v>
      </c>
      <c r="C156" s="2" t="s">
        <v>644</v>
      </c>
      <c r="D156" s="11" t="s">
        <v>644</v>
      </c>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646</v>
      </c>
      <c r="C157" s="20" t="s">
        <v>5055</v>
      </c>
      <c r="D157" s="13" t="s">
        <v>648</v>
      </c>
      <c r="E157" s="14">
        <v>120</v>
      </c>
      <c r="F157" s="13" t="s">
        <v>37</v>
      </c>
      <c r="G157" s="68" t="str">
        <f>HYPERLINK("http://www.nswtrainlink.info/__data/assets/image/0015/24036/logo-print.jpg","http://www.nswtrainlink.info/__data/assets/image/0015/24036/logo-print.jpg")</f>
        <v>http://www.nswtrainlink.info/__data/assets/image/0015/24036/logo-print.jpg</v>
      </c>
      <c r="H157" s="68" t="str">
        <f>HYPERLINK("http://www.nswtrainlink.info","http://www.nswtrainlink.info")</f>
        <v>http://www.nswtrainlink.info</v>
      </c>
      <c r="I157" s="2"/>
      <c r="J157" s="2"/>
      <c r="K157" s="2"/>
      <c r="L157" s="2"/>
      <c r="M157" s="2"/>
      <c r="N157" s="2"/>
      <c r="O157" s="2"/>
      <c r="P157" s="2"/>
      <c r="Q157" s="2"/>
      <c r="R157" s="2"/>
      <c r="S157" s="2"/>
      <c r="T157" s="2"/>
      <c r="U157" s="2"/>
      <c r="V157" s="2"/>
      <c r="W157" s="2"/>
      <c r="X157" s="2"/>
      <c r="Y157" s="2"/>
      <c r="Z157" s="2"/>
    </row>
    <row r="158" ht="13.5" customHeight="1" spans="1:26">
      <c r="A158" s="2" t="s">
        <v>651</v>
      </c>
      <c r="B158" s="2" t="s">
        <v>651</v>
      </c>
      <c r="C158" s="2" t="s">
        <v>7651</v>
      </c>
      <c r="D158" s="11" t="s">
        <v>653</v>
      </c>
      <c r="E158" s="2"/>
      <c r="F158" s="2"/>
      <c r="G158" s="9" t="str">
        <f>HYPERLINK("https://www.aami.com.au/content/dam/suncorp/insurance/aami/logos/aami-twitter-text-logo.png","https://www.aami.com.au/content/dam/suncorp/insurance/aami/logos/aami-twitter-text-logo.png")</f>
        <v>https://www.aami.com.au/content/dam/suncorp/insurance/aami/logos/aami-twitter-text-logo.png</v>
      </c>
      <c r="H158" s="9" t="str">
        <f>HYPERLINK("https://www.aami.com.au/business-insurance.html","https://www.aami.com.au/business-insurance.html")</f>
        <v>https://www.aami.com.au/business-insurance.html</v>
      </c>
      <c r="I158" s="2"/>
      <c r="J158" s="2"/>
      <c r="K158" s="2"/>
      <c r="L158" s="2"/>
      <c r="M158" s="2"/>
      <c r="N158" s="2"/>
      <c r="O158" s="2"/>
      <c r="P158" s="2"/>
      <c r="Q158" s="2"/>
      <c r="R158" s="2"/>
      <c r="S158" s="2"/>
      <c r="T158" s="2"/>
      <c r="U158" s="2"/>
      <c r="V158" s="2"/>
      <c r="W158" s="2"/>
      <c r="X158" s="2"/>
      <c r="Y158" s="2"/>
      <c r="Z158" s="2"/>
    </row>
    <row r="159" ht="13.5" customHeight="1" spans="1:26">
      <c r="A159" s="102" t="s">
        <v>656</v>
      </c>
      <c r="B159" t="s">
        <v>3788</v>
      </c>
      <c r="C159" s="102" t="s">
        <v>658</v>
      </c>
      <c r="D159" s="38"/>
      <c r="E159" s="39"/>
      <c r="F159" s="9" t="str">
        <f>HYPERLINK("https://cdn3.mobiletransaction.org/wp-content/uploads/2015/07/eftpos-logo.png","https://cdn3.mobiletransaction.org/wp-content/uploads/2015/07/eftpos-logo.png")</f>
        <v>https://cdn3.mobiletransaction.org/wp-content/uploads/2015/07/eftpos-logo.png</v>
      </c>
      <c r="G159" s="9" t="str">
        <f>HYPERLINK("https://eftposwin.com.au","https://eftposwin.com.au")</f>
        <v>https://eftposwin.com.au</v>
      </c>
      <c r="H159" s="40"/>
      <c r="I159" s="39"/>
      <c r="J159" s="39"/>
      <c r="K159" s="39"/>
      <c r="L159" s="39"/>
      <c r="M159" s="39"/>
      <c r="N159" s="39"/>
      <c r="O159" s="39"/>
      <c r="P159" s="39"/>
      <c r="Q159" s="39"/>
      <c r="R159" s="39"/>
      <c r="S159" s="2"/>
      <c r="T159" s="2"/>
      <c r="U159" s="2"/>
      <c r="V159" s="2"/>
      <c r="W159" s="2"/>
      <c r="X159" s="2"/>
      <c r="Y159" s="2"/>
      <c r="Z159" s="2"/>
    </row>
    <row r="160" ht="13.5" customHeight="1" spans="1:26">
      <c r="A160" t="s">
        <v>661</v>
      </c>
      <c r="B160" t="s">
        <v>2344</v>
      </c>
      <c r="C160" t="s">
        <v>658</v>
      </c>
      <c r="D160" s="39"/>
      <c r="E160" s="39"/>
      <c r="F160" s="9" t="str">
        <f>HYPERLINK("https://seeklogo.com/images/M/mastercard-logo-473B8726A9-seeklogo.com.png","https://seeklogo.com/images/M/mastercard-logo-473B8726A9-seeklogo.com.png")</f>
        <v>https://seeklogo.com/images/M/mastercard-logo-473B8726A9-seeklogo.com.png</v>
      </c>
      <c r="G160" s="9" t="str">
        <f>HYPERLINK("https://www.mastercard.com.au/en-au.html","https://www.mastercard.com.au/en-au.html")</f>
        <v>https://www.mastercard.com.au/en-au.html</v>
      </c>
      <c r="H160" s="39"/>
      <c r="I160" s="39"/>
      <c r="J160" s="39"/>
      <c r="K160" s="39"/>
      <c r="L160" s="39"/>
      <c r="M160" s="39"/>
      <c r="N160" s="39"/>
      <c r="O160" s="39"/>
      <c r="P160" s="39"/>
      <c r="Q160" s="39"/>
      <c r="R160" s="39"/>
      <c r="S160" s="2"/>
      <c r="T160" s="2"/>
      <c r="U160" s="2"/>
      <c r="V160" s="2"/>
      <c r="W160" s="2"/>
      <c r="X160" s="2"/>
      <c r="Y160" s="2"/>
      <c r="Z160" s="2"/>
    </row>
    <row r="161" ht="13.5" customHeight="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E143">
      <formula1>ValidLondonCounterpartyNames</formula1>
    </dataValidation>
  </dataValidations>
  <pageMargins left="0.75" right="0.75" top="1" bottom="1" header="0.5" footer="0.5"/>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workbookViewId="0">
      <selection activeCell="A1" sqref="A1"/>
    </sheetView>
  </sheetViews>
  <sheetFormatPr defaultColWidth="12.6607142857143" defaultRowHeight="15" customHeight="1"/>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customHeight="1" spans="1:26">
      <c r="A2" s="58" t="s">
        <v>7652</v>
      </c>
      <c r="B2" s="49"/>
      <c r="C2" s="49"/>
      <c r="D2" s="59" t="s">
        <v>2</v>
      </c>
      <c r="E2" s="49"/>
      <c r="F2" s="49"/>
      <c r="G2" s="49"/>
      <c r="H2" s="2"/>
      <c r="I2" s="2"/>
      <c r="J2" s="2"/>
      <c r="K2" s="2"/>
      <c r="L2" s="2"/>
      <c r="M2" s="2"/>
      <c r="N2" s="2"/>
      <c r="O2" s="2"/>
      <c r="P2" s="2"/>
      <c r="Q2" s="2"/>
      <c r="R2" s="2"/>
      <c r="S2" s="2"/>
      <c r="T2" s="2"/>
      <c r="U2" s="2"/>
      <c r="V2" s="2"/>
      <c r="W2" s="2"/>
      <c r="X2" s="2"/>
      <c r="Y2" s="2"/>
      <c r="Z2" s="2"/>
    </row>
    <row r="3"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customHeight="1" spans="1:26">
      <c r="A4" s="52" t="s">
        <v>10</v>
      </c>
      <c r="B4" s="62" t="s">
        <v>7653</v>
      </c>
      <c r="C4" s="13" t="s">
        <v>12</v>
      </c>
      <c r="D4" s="57"/>
      <c r="E4" s="57"/>
      <c r="F4" s="68" t="str">
        <f>HYPERLINK("https://portugalstopover.flytap.com/mediaRep/editors/logos/logo_tap_pt.png","https://portugalstopover.flytap.com/mediaRep/editors/logos/logo_tap_pt.png")</f>
        <v>https://portugalstopover.flytap.com/mediaRep/editors/logos/logo_tap_pt.png</v>
      </c>
      <c r="G4" s="68" t="str">
        <f>HYPERLINK("https://www.flytap.com/pt-pt/","https://www.flytap.com/pt-pt/")</f>
        <v>https://www.flytap.com/pt-pt/</v>
      </c>
      <c r="H4" s="2"/>
      <c r="I4" s="2"/>
      <c r="J4" s="2"/>
      <c r="K4" s="2"/>
      <c r="L4" s="2"/>
      <c r="M4" s="2"/>
      <c r="N4" s="2"/>
      <c r="O4" s="2"/>
      <c r="P4" s="2"/>
      <c r="Q4" s="2"/>
      <c r="R4" s="2"/>
      <c r="S4" s="2"/>
      <c r="T4" s="2"/>
      <c r="U4" s="2"/>
      <c r="V4" s="2"/>
      <c r="W4" s="2"/>
      <c r="X4" s="2"/>
      <c r="Y4" s="2"/>
      <c r="Z4" s="2"/>
    </row>
    <row r="5" customHeight="1" spans="1:26">
      <c r="A5" s="63" t="s">
        <v>15</v>
      </c>
      <c r="B5" s="13" t="s">
        <v>16</v>
      </c>
      <c r="C5" s="13" t="s">
        <v>12</v>
      </c>
      <c r="D5" s="57"/>
      <c r="E5" s="57"/>
      <c r="F5" s="13" t="s">
        <v>17</v>
      </c>
      <c r="G5" s="68" t="str">
        <f>HYPERLINK("https://www.easyjet.com/pt","https://www.easyjet.com/pt")</f>
        <v>https://www.easyjet.com/pt</v>
      </c>
      <c r="H5" s="2"/>
      <c r="I5" s="2"/>
      <c r="J5" s="2"/>
      <c r="K5" s="2"/>
      <c r="L5" s="2"/>
      <c r="M5" s="2"/>
      <c r="N5" s="2"/>
      <c r="O5" s="2"/>
      <c r="P5" s="2"/>
      <c r="Q5" s="2"/>
      <c r="R5" s="2"/>
      <c r="S5" s="2"/>
      <c r="T5" s="2"/>
      <c r="U5" s="2"/>
      <c r="V5" s="2"/>
      <c r="W5" s="2"/>
      <c r="X5" s="2"/>
      <c r="Y5" s="2"/>
      <c r="Z5" s="2"/>
    </row>
    <row r="6" customHeight="1" spans="1:26">
      <c r="A6" s="13" t="s">
        <v>18</v>
      </c>
      <c r="B6" s="13" t="s">
        <v>7654</v>
      </c>
      <c r="C6" s="13" t="s">
        <v>20</v>
      </c>
      <c r="D6" s="14">
        <v>340</v>
      </c>
      <c r="E6" s="13" t="s">
        <v>21</v>
      </c>
      <c r="F6" s="68" t="str">
        <f>HYPERLINK("http://www.lisbon-airport.com/images/lisbon-airport-advertising.jpg","http://www.lisbon-airport.com/images/lisbon-airport-advertising.jpg")</f>
        <v>http://www.lisbon-airport.com/images/lisbon-airport-advertising.jpg</v>
      </c>
      <c r="G6" s="68" t="str">
        <f>HYPERLINK("https://www.aeroportolisboa.pt/pt","https://www.aeroportolisboa.pt/pt")</f>
        <v>https://www.aeroportolisboa.pt/pt</v>
      </c>
      <c r="H6" s="2"/>
      <c r="I6" s="2"/>
      <c r="J6" s="2"/>
      <c r="K6" s="2"/>
      <c r="L6" s="2"/>
      <c r="M6" s="2"/>
      <c r="N6" s="2"/>
      <c r="O6" s="2"/>
      <c r="P6" s="2"/>
      <c r="Q6" s="2"/>
      <c r="R6" s="2"/>
      <c r="S6" s="2"/>
      <c r="T6" s="2"/>
      <c r="U6" s="2"/>
      <c r="V6" s="2"/>
      <c r="W6" s="2"/>
      <c r="X6" s="2"/>
      <c r="Y6" s="2"/>
      <c r="Z6" s="2"/>
    </row>
    <row r="7" customHeight="1" spans="1:26">
      <c r="A7" s="13" t="s">
        <v>24</v>
      </c>
      <c r="B7" s="80" t="s">
        <v>7655</v>
      </c>
      <c r="C7" s="13" t="s">
        <v>6965</v>
      </c>
      <c r="D7" s="14">
        <v>85</v>
      </c>
      <c r="E7" s="13" t="s">
        <v>21</v>
      </c>
      <c r="F7" s="68" t="str">
        <f>HYPERLINK("http://lisbontourguides.pt/blog/wp-content/uploads/2017/02/torre-belem-lisboa-1920x1200.jpg","http://lisbontourguides.pt/blog/wp-content/uploads/2017/02/torre-belem-lisboa-1920x1200.jpg")</f>
        <v>http://lisbontourguides.pt/blog/wp-content/uploads/2017/02/torre-belem-lisboa-1920x1200.jpg</v>
      </c>
      <c r="G7" s="68" t="str">
        <f>HYPERLINK("http://www.torrebelem.gov.pt/pt/index.php","http://www.torrebelem.gov.pt/pt/index.php")</f>
        <v>http://www.torrebelem.gov.pt/pt/index.php</v>
      </c>
      <c r="H7" s="2"/>
      <c r="I7" s="2"/>
      <c r="J7" s="2"/>
      <c r="K7" s="2"/>
      <c r="L7" s="2"/>
      <c r="M7" s="2"/>
      <c r="N7" s="2"/>
      <c r="O7" s="2"/>
      <c r="P7" s="2"/>
      <c r="Q7" s="2"/>
      <c r="R7" s="2"/>
      <c r="S7" s="2"/>
      <c r="T7" s="2"/>
      <c r="U7" s="2"/>
      <c r="V7" s="2"/>
      <c r="W7" s="2"/>
      <c r="X7" s="2"/>
      <c r="Y7" s="2"/>
      <c r="Z7" s="2"/>
    </row>
    <row r="8" customHeight="1" spans="1:26">
      <c r="A8" s="64" t="s">
        <v>29</v>
      </c>
      <c r="B8" s="13" t="s">
        <v>2081</v>
      </c>
      <c r="C8" s="13" t="s">
        <v>31</v>
      </c>
      <c r="D8" s="65">
        <v>30</v>
      </c>
      <c r="E8" s="13" t="s">
        <v>32</v>
      </c>
      <c r="F8" s="13" t="s">
        <v>2082</v>
      </c>
      <c r="G8" s="13" t="s">
        <v>2083</v>
      </c>
      <c r="H8" s="2"/>
      <c r="I8" s="2"/>
      <c r="J8" s="2"/>
      <c r="K8" s="2"/>
      <c r="L8" s="2"/>
      <c r="M8" s="2"/>
      <c r="N8" s="2"/>
      <c r="O8" s="2"/>
      <c r="P8" s="2"/>
      <c r="Q8" s="2"/>
      <c r="R8" s="2"/>
      <c r="S8" s="2"/>
      <c r="T8" s="2"/>
      <c r="U8" s="2"/>
      <c r="V8" s="2"/>
      <c r="W8" s="2"/>
      <c r="X8" s="2"/>
      <c r="Y8" s="2"/>
      <c r="Z8" s="2"/>
    </row>
    <row r="9" customHeight="1" spans="1:26">
      <c r="A9" s="64" t="s">
        <v>35</v>
      </c>
      <c r="B9" s="13" t="s">
        <v>2084</v>
      </c>
      <c r="C9" s="13" t="s">
        <v>31</v>
      </c>
      <c r="D9" s="65">
        <v>30</v>
      </c>
      <c r="E9" s="13" t="s">
        <v>37</v>
      </c>
      <c r="F9" s="13" t="s">
        <v>2085</v>
      </c>
      <c r="G9" s="13" t="s">
        <v>2086</v>
      </c>
      <c r="H9" s="2"/>
      <c r="I9" s="2"/>
      <c r="J9" s="2"/>
      <c r="K9" s="2"/>
      <c r="L9" s="2"/>
      <c r="M9" s="2"/>
      <c r="N9" s="2"/>
      <c r="O9" s="2"/>
      <c r="P9" s="2"/>
      <c r="Q9" s="2"/>
      <c r="R9" s="2"/>
      <c r="S9" s="2"/>
      <c r="T9" s="2"/>
      <c r="U9" s="2"/>
      <c r="V9" s="2"/>
      <c r="W9" s="2"/>
      <c r="X9" s="2"/>
      <c r="Y9" s="2"/>
      <c r="Z9" s="2"/>
    </row>
    <row r="10" customHeight="1" spans="1:26">
      <c r="A10" s="64" t="s">
        <v>40</v>
      </c>
      <c r="B10" s="13" t="s">
        <v>41</v>
      </c>
      <c r="C10" s="13" t="s">
        <v>41</v>
      </c>
      <c r="D10" s="65">
        <v>106</v>
      </c>
      <c r="E10" s="13" t="s">
        <v>21</v>
      </c>
      <c r="F10" s="13" t="s">
        <v>42</v>
      </c>
      <c r="G10" s="13" t="s">
        <v>43</v>
      </c>
      <c r="H10" s="2"/>
      <c r="I10" s="2"/>
      <c r="J10" s="2"/>
      <c r="K10" s="2"/>
      <c r="L10" s="2"/>
      <c r="M10" s="2"/>
      <c r="N10" s="2"/>
      <c r="O10" s="2"/>
      <c r="P10" s="2"/>
      <c r="Q10" s="2"/>
      <c r="R10" s="2"/>
      <c r="S10" s="2"/>
      <c r="T10" s="2"/>
      <c r="U10" s="2"/>
      <c r="V10" s="2"/>
      <c r="W10" s="2"/>
      <c r="X10" s="2"/>
      <c r="Y10" s="2"/>
      <c r="Z10" s="2"/>
    </row>
    <row r="11" customHeight="1" spans="1:26">
      <c r="A11" s="13" t="s">
        <v>44</v>
      </c>
      <c r="B11" s="13" t="s">
        <v>893</v>
      </c>
      <c r="C11" s="13" t="s">
        <v>46</v>
      </c>
      <c r="D11" s="57"/>
      <c r="E11" s="57"/>
      <c r="F11" s="13" t="s">
        <v>47</v>
      </c>
      <c r="G11" s="68" t="str">
        <f>HYPERLINK("https://www.mercedes-benz.pt/content/portugal/mpc/mpc_portugal_website/ptng/home_mpc/passengercars.html","https://www.mercedes-benz.pt/content/portugal/mpc/mpc_portugal_website/ptng/home_mpc/passengercars.html")</f>
        <v>https://www.mercedes-benz.pt/content/portugal/mpc/mpc_portugal_website/ptng/home_mpc/passengercars.html</v>
      </c>
      <c r="H11" s="2"/>
      <c r="I11" s="2"/>
      <c r="J11" s="2"/>
      <c r="K11" s="2"/>
      <c r="L11" s="2"/>
      <c r="M11" s="2"/>
      <c r="N11" s="2"/>
      <c r="O11" s="2"/>
      <c r="P11" s="2"/>
      <c r="Q11" s="2"/>
      <c r="R11" s="2"/>
      <c r="S11" s="2"/>
      <c r="T11" s="2"/>
      <c r="U11" s="2"/>
      <c r="V11" s="2"/>
      <c r="W11" s="2"/>
      <c r="X11" s="2"/>
      <c r="Y11" s="2"/>
      <c r="Z11" s="2"/>
    </row>
    <row r="12" customHeight="1" spans="1:26">
      <c r="A12" s="13" t="s">
        <v>49</v>
      </c>
      <c r="B12" s="13" t="s">
        <v>5077</v>
      </c>
      <c r="C12" s="13" t="s">
        <v>3483</v>
      </c>
      <c r="D12" s="57"/>
      <c r="E12" s="57"/>
      <c r="F12" s="68" t="str">
        <f>HYPERLINK("https://s-media-cache-ak0.pinimg.com/736x/5b/fb/9b/5bfb9bc91b3774102aea6928ee1dfd03--unicef-logo-school-attendance.jpg","https://s-media-cache-ak0.pinimg.com/736x/5b/fb/9b/5bfb9bc91b3774102aea6928ee1dfd03--unicef-logo-school-attendance.jpg")</f>
        <v>https://s-media-cache-ak0.pinimg.com/736x/5b/fb/9b/5bfb9bc91b3774102aea6928ee1dfd03--unicef-logo-school-attendance.jpg</v>
      </c>
      <c r="G12" s="68" t="str">
        <f>HYPERLINK("http://www.unicef.pt","http://www.unicef.pt")</f>
        <v>http://www.unicef.pt</v>
      </c>
      <c r="H12" s="2"/>
      <c r="I12" s="2"/>
      <c r="J12" s="2"/>
      <c r="K12" s="2"/>
      <c r="L12" s="2"/>
      <c r="M12" s="2"/>
      <c r="N12" s="2"/>
      <c r="O12" s="2"/>
      <c r="P12" s="2"/>
      <c r="Q12" s="2"/>
      <c r="R12" s="2"/>
      <c r="S12" s="2"/>
      <c r="T12" s="2"/>
      <c r="U12" s="2"/>
      <c r="V12" s="2"/>
      <c r="W12" s="2"/>
      <c r="X12" s="2"/>
      <c r="Y12" s="2"/>
      <c r="Z12" s="2"/>
    </row>
    <row r="13" customHeight="1" spans="1:26">
      <c r="A13" s="13" t="s">
        <v>54</v>
      </c>
      <c r="B13" s="13" t="s">
        <v>7656</v>
      </c>
      <c r="C13" s="13" t="s">
        <v>56</v>
      </c>
      <c r="D13" s="57"/>
      <c r="E13" s="57"/>
      <c r="F13" s="68" t="str">
        <f>HYPERLINK("https://madeoflisboa.com/imgcache/avatar_teaser/fundacao-da-juventude-EtkVxA33E0YSY4RQ.jpg","https://madeoflisboa.com/imgcache/avatar_teaser/fundacao-da-juventude-EtkVxA33E0YSY4RQ.jpg")</f>
        <v>https://madeoflisboa.com/imgcache/avatar_teaser/fundacao-da-juventude-EtkVxA33E0YSY4RQ.jpg</v>
      </c>
      <c r="G13" s="68" t="str">
        <f>HYPERLINK("http://www.fjuventude.pt/pt/Default.aspx","http://www.fjuventude.pt/pt/Default.aspx")</f>
        <v>http://www.fjuventude.pt/pt/Default.aspx</v>
      </c>
      <c r="H13" s="2"/>
      <c r="I13" s="2"/>
      <c r="J13" s="2"/>
      <c r="K13" s="2"/>
      <c r="L13" s="2"/>
      <c r="M13" s="2"/>
      <c r="N13" s="2"/>
      <c r="O13" s="2"/>
      <c r="P13" s="2"/>
      <c r="Q13" s="2"/>
      <c r="R13" s="2"/>
      <c r="S13" s="2"/>
      <c r="T13" s="2"/>
      <c r="U13" s="2"/>
      <c r="V13" s="2"/>
      <c r="W13" s="2"/>
      <c r="X13" s="2"/>
      <c r="Y13" s="2"/>
      <c r="Z13" s="2"/>
    </row>
    <row r="14" customHeight="1" spans="1:26">
      <c r="A14" s="64" t="s">
        <v>59</v>
      </c>
      <c r="B14" s="13" t="s">
        <v>7657</v>
      </c>
      <c r="C14" s="13" t="s">
        <v>61</v>
      </c>
      <c r="D14" s="65">
        <v>13</v>
      </c>
      <c r="E14" s="13" t="s">
        <v>37</v>
      </c>
      <c r="F14" s="68" t="str">
        <f>HYPERLINK("http://www.livingincascais.com/wp-content/uploads/2014/11/74b_cd.jpg","http://www.livingincascais.com/wp-content/uploads/2014/11/74b_cd.jpg")</f>
        <v>http://www.livingincascais.com/wp-content/uploads/2014/11/74b_cd.jpg</v>
      </c>
      <c r="G14" s="68" t="str">
        <f>HYPERLINK("http://cinemas.nos.pt","http://cinemas.nos.pt")</f>
        <v>http://cinemas.nos.pt</v>
      </c>
      <c r="H14" s="2"/>
      <c r="I14" s="2"/>
      <c r="J14" s="2"/>
      <c r="K14" s="2"/>
      <c r="L14" s="2"/>
      <c r="M14" s="2"/>
      <c r="N14" s="2"/>
      <c r="O14" s="2"/>
      <c r="P14" s="2"/>
      <c r="Q14" s="2"/>
      <c r="R14" s="2"/>
      <c r="S14" s="2"/>
      <c r="T14" s="2"/>
      <c r="U14" s="2"/>
      <c r="V14" s="2"/>
      <c r="W14" s="2"/>
      <c r="X14" s="2"/>
      <c r="Y14" s="2"/>
      <c r="Z14" s="2"/>
    </row>
    <row r="15" customHeight="1" spans="1:26">
      <c r="A15" s="64" t="s">
        <v>64</v>
      </c>
      <c r="B15" s="13" t="s">
        <v>7658</v>
      </c>
      <c r="C15" s="13" t="s">
        <v>66</v>
      </c>
      <c r="D15" s="65">
        <v>13</v>
      </c>
      <c r="E15" s="13" t="s">
        <v>32</v>
      </c>
      <c r="F15" s="68" t="str">
        <f>HYPERLINK("https://s3-media2.fl.yelpcdn.com/bphoto/EIOzr2xzTPrsa96yh2IkdA/o.jpg","https://s3-media2.fl.yelpcdn.com/bphoto/EIOzr2xzTPrsa96yh2IkdA/o.jpg")</f>
        <v>https://s3-media2.fl.yelpcdn.com/bphoto/EIOzr2xzTPrsa96yh2IkdA/o.jpg</v>
      </c>
      <c r="G15" s="68" t="str">
        <f>HYPERLINK("http://www.poiscafe.com","http://www.poiscafe.com")</f>
        <v>http://www.poiscafe.com</v>
      </c>
      <c r="H15" s="2"/>
      <c r="I15" s="2"/>
      <c r="J15" s="2"/>
      <c r="K15" s="2"/>
      <c r="L15" s="2"/>
      <c r="M15" s="2"/>
      <c r="N15" s="2"/>
      <c r="O15" s="2"/>
      <c r="P15" s="2"/>
      <c r="Q15" s="2"/>
      <c r="R15" s="2"/>
      <c r="S15" s="2"/>
      <c r="T15" s="2"/>
      <c r="U15" s="2"/>
      <c r="V15" s="2"/>
      <c r="W15" s="2"/>
      <c r="X15" s="2"/>
      <c r="Y15" s="2"/>
      <c r="Z15" s="2"/>
    </row>
    <row r="16" customHeight="1" spans="1:26">
      <c r="A16" s="64" t="s">
        <v>69</v>
      </c>
      <c r="B16" s="13" t="s">
        <v>7659</v>
      </c>
      <c r="C16" s="13" t="s">
        <v>66</v>
      </c>
      <c r="D16" s="65">
        <v>12</v>
      </c>
      <c r="E16" s="13" t="s">
        <v>71</v>
      </c>
      <c r="F16" s="68" t="str">
        <f>HYPERLINK("https://www.fabricacoffeeroasters.com/wp-content/uploads/2016/03/logo-fabrica-1.png","https://www.fabricacoffeeroasters.com/wp-content/uploads/2016/03/logo-fabrica-1.png")</f>
        <v>https://www.fabricacoffeeroasters.com/wp-content/uploads/2016/03/logo-fabrica-1.png</v>
      </c>
      <c r="G16" s="68" t="str">
        <f>HYPERLINK("http://www.fabricacoffeeroasters.com","http://www.fabricacoffeeroasters.com")</f>
        <v>http://www.fabricacoffeeroasters.com</v>
      </c>
      <c r="H16" s="2"/>
      <c r="I16" s="2"/>
      <c r="J16" s="2"/>
      <c r="K16" s="2"/>
      <c r="L16" s="2"/>
      <c r="M16" s="2"/>
      <c r="N16" s="2"/>
      <c r="O16" s="2"/>
      <c r="P16" s="2"/>
      <c r="Q16" s="2"/>
      <c r="R16" s="2"/>
      <c r="S16" s="2"/>
      <c r="T16" s="2"/>
      <c r="U16" s="2"/>
      <c r="V16" s="2"/>
      <c r="W16" s="2"/>
      <c r="X16" s="2"/>
      <c r="Y16" s="2"/>
      <c r="Z16" s="2"/>
    </row>
    <row r="17" customHeight="1" spans="1:26">
      <c r="A17" s="13" t="s">
        <v>74</v>
      </c>
      <c r="B17" s="13" t="s">
        <v>7660</v>
      </c>
      <c r="C17" s="13" t="s">
        <v>76</v>
      </c>
      <c r="D17" s="57"/>
      <c r="E17" s="57"/>
      <c r="F17" s="68" t="str">
        <f>HYPERLINK("http://homedesignerandarchitect.co.uk/wp-content/uploads/2015/11/Vicaima-logo-1024x306.jpg","http://homedesignerandarchitect.co.uk/wp-content/uploads/2015/11/Vicaima-logo-1024x306.jpg")</f>
        <v>http://homedesignerandarchitect.co.uk/wp-content/uploads/2015/11/Vicaima-logo-1024x306.jpg</v>
      </c>
      <c r="G17" s="68" t="str">
        <f>HYPERLINK("http://www.vicaima.com/pt","http://www.vicaima.com/pt")</f>
        <v>http://www.vicaima.com/pt</v>
      </c>
      <c r="H17" s="2"/>
      <c r="I17" s="2"/>
      <c r="J17" s="2"/>
      <c r="K17" s="2"/>
      <c r="L17" s="2"/>
      <c r="M17" s="2"/>
      <c r="N17" s="2"/>
      <c r="O17" s="2"/>
      <c r="P17" s="2"/>
      <c r="Q17" s="2"/>
      <c r="R17" s="2"/>
      <c r="S17" s="2"/>
      <c r="T17" s="2"/>
      <c r="U17" s="2"/>
      <c r="V17" s="2"/>
      <c r="W17" s="2"/>
      <c r="X17" s="2"/>
      <c r="Y17" s="2"/>
      <c r="Z17" s="2"/>
    </row>
    <row r="18" customHeight="1" spans="1:26">
      <c r="A18" s="64" t="s">
        <v>79</v>
      </c>
      <c r="B18" s="13" t="s">
        <v>7661</v>
      </c>
      <c r="C18" s="13" t="s">
        <v>81</v>
      </c>
      <c r="D18" s="65">
        <v>30</v>
      </c>
      <c r="E18" s="13" t="s">
        <v>37</v>
      </c>
      <c r="F18" s="68" t="str">
        <f>HYPERLINK("http://www.portaldasfinancas.gov.pt/at/html/static/arrendamento.jpg","http://www.portaldasfinancas.gov.pt/at/html/static/arrendamento.jpg")</f>
        <v>http://www.portaldasfinancas.gov.pt/at/html/static/arrendamento.jpg</v>
      </c>
      <c r="G18" s="68" t="str">
        <f>HYPERLINK("http://www.portaldasfinancas.gov.pt/pt/main.jsp?body=/de/menuDownSimulador.jsp","http://www.portaldasfinancas.gov.pt/pt/main.jsp?body=/de/menuDownSimulador.jsp")</f>
        <v>http://www.portaldasfinancas.gov.pt/pt/main.jsp?body=/de/menuDownSimulador.jsp</v>
      </c>
      <c r="H18" s="2"/>
      <c r="I18" s="2"/>
      <c r="J18" s="2"/>
      <c r="K18" s="2"/>
      <c r="L18" s="2"/>
      <c r="M18" s="2"/>
      <c r="N18" s="2"/>
      <c r="O18" s="2"/>
      <c r="P18" s="2"/>
      <c r="Q18" s="2"/>
      <c r="R18" s="2"/>
      <c r="S18" s="2"/>
      <c r="T18" s="2"/>
      <c r="U18" s="2"/>
      <c r="V18" s="2"/>
      <c r="W18" s="2"/>
      <c r="X18" s="2"/>
      <c r="Y18" s="2"/>
      <c r="Z18" s="2"/>
    </row>
    <row r="19" customHeight="1" spans="1:26">
      <c r="A19" s="13" t="s">
        <v>84</v>
      </c>
      <c r="B19" s="13" t="s">
        <v>7662</v>
      </c>
      <c r="C19" s="13" t="s">
        <v>86</v>
      </c>
      <c r="D19" s="14">
        <v>134</v>
      </c>
      <c r="E19" s="13" t="s">
        <v>21</v>
      </c>
      <c r="F19" s="68" t="str">
        <f>HYPERLINK("http://www.maloclinics.com/images/nova02-over.png","http://www.maloclinics.com/images/nova02-over.png")</f>
        <v>http://www.maloclinics.com/images/nova02-over.png</v>
      </c>
      <c r="G19" s="68" t="str">
        <f>HYPERLINK("http://dental.maloclinics.com/pt-pt/home.aspx","http://dental.maloclinics.com/pt-pt/home.aspx")</f>
        <v>http://dental.maloclinics.com/pt-pt/home.aspx</v>
      </c>
      <c r="H19" s="2"/>
      <c r="I19" s="2"/>
      <c r="J19" s="2"/>
      <c r="K19" s="2"/>
      <c r="L19" s="2"/>
      <c r="M19" s="2"/>
      <c r="N19" s="2"/>
      <c r="O19" s="2"/>
      <c r="P19" s="2"/>
      <c r="Q19" s="2"/>
      <c r="R19" s="2"/>
      <c r="S19" s="2"/>
      <c r="T19" s="2"/>
      <c r="U19" s="2"/>
      <c r="V19" s="2"/>
      <c r="W19" s="2"/>
      <c r="X19" s="2"/>
      <c r="Y19" s="2"/>
      <c r="Z19" s="2"/>
    </row>
    <row r="20" customHeight="1" spans="1:26">
      <c r="A20" s="13" t="s">
        <v>89</v>
      </c>
      <c r="B20" s="13" t="s">
        <v>7663</v>
      </c>
      <c r="C20" s="13" t="s">
        <v>91</v>
      </c>
      <c r="D20" s="57"/>
      <c r="E20" s="57"/>
      <c r="F20" s="13" t="s">
        <v>7664</v>
      </c>
      <c r="G20" s="68" t="str">
        <f>HYPERLINK("https://www.engelvoelkers.com/en-pt/lisboa/","https://www.engelvoelkers.com/en-pt/lisboa/")</f>
        <v>https://www.engelvoelkers.com/en-pt/lisboa/</v>
      </c>
      <c r="H20" s="2"/>
      <c r="I20" s="2"/>
      <c r="J20" s="2"/>
      <c r="K20" s="2"/>
      <c r="L20" s="2"/>
      <c r="M20" s="2"/>
      <c r="N20" s="2"/>
      <c r="O20" s="2"/>
      <c r="P20" s="2"/>
      <c r="Q20" s="2"/>
      <c r="R20" s="2"/>
      <c r="S20" s="2"/>
      <c r="T20" s="2"/>
      <c r="U20" s="2"/>
      <c r="V20" s="2"/>
      <c r="W20" s="2"/>
      <c r="X20" s="2"/>
      <c r="Y20" s="2"/>
      <c r="Z20" s="2"/>
    </row>
    <row r="21" customHeight="1" spans="1:26">
      <c r="A21" s="64" t="s">
        <v>94</v>
      </c>
      <c r="B21" s="13" t="s">
        <v>7665</v>
      </c>
      <c r="C21" s="13" t="s">
        <v>925</v>
      </c>
      <c r="D21" s="65">
        <v>60</v>
      </c>
      <c r="E21" s="13" t="s">
        <v>71</v>
      </c>
      <c r="F21" s="68" t="str">
        <f>HYPERLINK("http://www.bp.com/content/dam/bp/images/general/graphics/1-1/bp-logo.jpg","http://www.bp.com/content/dam/bp/images/general/graphics/1-1/bp-logo.jpg")</f>
        <v>http://www.bp.com/content/dam/bp/images/general/graphics/1-1/bp-logo.jpg</v>
      </c>
      <c r="G21" s="68" t="str">
        <f>HYPERLINK("http://www.bp.com","http://www.bp.com")</f>
        <v>http://www.bp.com</v>
      </c>
      <c r="H21" s="2"/>
      <c r="I21" s="2"/>
      <c r="J21" s="2"/>
      <c r="K21" s="2"/>
      <c r="L21" s="2"/>
      <c r="M21" s="2"/>
      <c r="N21" s="2"/>
      <c r="O21" s="2"/>
      <c r="P21" s="2"/>
      <c r="Q21" s="2"/>
      <c r="R21" s="2"/>
      <c r="S21" s="2"/>
      <c r="T21" s="2"/>
      <c r="U21" s="2"/>
      <c r="V21" s="2"/>
      <c r="W21" s="2"/>
      <c r="X21" s="2"/>
      <c r="Y21" s="2"/>
      <c r="Z21" s="2"/>
    </row>
    <row r="22" customHeight="1" spans="1:26">
      <c r="A22" s="64" t="s">
        <v>99</v>
      </c>
      <c r="B22" s="13" t="s">
        <v>7666</v>
      </c>
      <c r="C22" s="13" t="s">
        <v>925</v>
      </c>
      <c r="D22" s="65">
        <v>70</v>
      </c>
      <c r="E22" s="13" t="s">
        <v>32</v>
      </c>
      <c r="F22" s="68" t="str">
        <f>HYPERLINK("http://www.galpenergia.com/EN/Media/Galeria/Brand/PublishingImages/MarcaGalp_Vert_MEDIUM.png","http://www.galpenergia.com/EN/Media/Galeria/Brand/PublishingImages/MarcaGalp_Vert_MEDIUM.png")</f>
        <v>http://www.galpenergia.com/EN/Media/Galeria/Brand/PublishingImages/MarcaGalp_Vert_MEDIUM.png</v>
      </c>
      <c r="G22" s="68" t="str">
        <f>HYPERLINK("http://www.galpenergia.com/PT/Paginas/Home.aspx","http://www.galpenergia.com/PT/Paginas/Home.aspx")</f>
        <v>http://www.galpenergia.com/PT/Paginas/Home.aspx</v>
      </c>
      <c r="H22" s="2"/>
      <c r="I22" s="2"/>
      <c r="J22" s="2"/>
      <c r="K22" s="2"/>
      <c r="L22" s="2"/>
      <c r="M22" s="2"/>
      <c r="N22" s="2"/>
      <c r="O22" s="2"/>
      <c r="P22" s="2"/>
      <c r="Q22" s="2"/>
      <c r="R22" s="2"/>
      <c r="S22" s="2"/>
      <c r="T22" s="2"/>
      <c r="U22" s="2"/>
      <c r="V22" s="2"/>
      <c r="W22" s="2"/>
      <c r="X22" s="2"/>
      <c r="Y22" s="2"/>
      <c r="Z22" s="2"/>
    </row>
    <row r="23" customHeight="1" spans="1:26">
      <c r="A23" s="64" t="s">
        <v>102</v>
      </c>
      <c r="B23" s="13" t="s">
        <v>16</v>
      </c>
      <c r="C23" s="13" t="s">
        <v>108</v>
      </c>
      <c r="D23" s="65">
        <v>123</v>
      </c>
      <c r="E23" s="13" t="s">
        <v>21</v>
      </c>
      <c r="F23" s="13" t="s">
        <v>109</v>
      </c>
      <c r="G23" s="68" t="str">
        <f>HYPERLINK("https://www.easyjet.com/pt","https://www.easyjet.com/pt")</f>
        <v>https://www.easyjet.com/pt</v>
      </c>
      <c r="H23" s="2"/>
      <c r="I23" s="2"/>
      <c r="J23" s="2"/>
      <c r="K23" s="2"/>
      <c r="L23" s="2"/>
      <c r="M23" s="2"/>
      <c r="N23" s="2"/>
      <c r="O23" s="2"/>
      <c r="P23" s="2"/>
      <c r="Q23" s="2"/>
      <c r="R23" s="2"/>
      <c r="S23" s="2"/>
      <c r="T23" s="2"/>
      <c r="U23" s="2"/>
      <c r="V23" s="2"/>
      <c r="W23" s="2"/>
      <c r="X23" s="2"/>
      <c r="Y23" s="2"/>
      <c r="Z23" s="2"/>
    </row>
    <row r="24" customHeight="1" spans="1:26">
      <c r="A24" s="13" t="s">
        <v>107</v>
      </c>
      <c r="B24" s="13" t="s">
        <v>931</v>
      </c>
      <c r="C24" s="13" t="s">
        <v>104</v>
      </c>
      <c r="D24" s="57"/>
      <c r="E24" s="57"/>
      <c r="F24" s="13" t="s">
        <v>932</v>
      </c>
      <c r="G24" s="68" t="str">
        <f>HYPERLINK("https://www.skyscanner.pt/voos-de/uk/voos-baratos-de-reino-unido.html?_ga=2.66990119.889881551.1501591354-1936328149.1483972248&amp;_mp=0efb9a81-8a29-4f00-f525-fffbfe7437e9_1501591363927","https://www.skyscanner.pt/voos-de/uk/voos-baratos-de-reino-unido.html?_ga=2.66990119.889881551.1501591354-1936328149.1483972248&amp;_mp=0efb9a81-8a29-4f00-f525-fffbfe7437e9_1501591363927")</f>
        <v>https://www.skyscanner.pt/voos-de/uk/voos-baratos-de-reino-unido.html?_ga=2.66990119.889881551.1501591354-1936328149.1483972248&amp;_mp=0efb9a81-8a29-4f00-f525-fffbfe7437e9_1501591363927</v>
      </c>
      <c r="H24" s="2"/>
      <c r="I24" s="2"/>
      <c r="J24" s="2"/>
      <c r="K24" s="2"/>
      <c r="L24" s="2"/>
      <c r="M24" s="2"/>
      <c r="N24" s="2"/>
      <c r="O24" s="2"/>
      <c r="P24" s="2"/>
      <c r="Q24" s="2"/>
      <c r="R24" s="2"/>
      <c r="S24" s="2"/>
      <c r="T24" s="2"/>
      <c r="U24" s="2"/>
      <c r="V24" s="2"/>
      <c r="W24" s="2"/>
      <c r="X24" s="2"/>
      <c r="Y24" s="2"/>
      <c r="Z24" s="2"/>
    </row>
    <row r="25" customHeight="1" spans="1:26">
      <c r="A25" s="52" t="s">
        <v>110</v>
      </c>
      <c r="B25" s="81" t="s">
        <v>7667</v>
      </c>
      <c r="C25" s="81" t="s">
        <v>112</v>
      </c>
      <c r="D25" s="82"/>
      <c r="E25" s="88"/>
      <c r="F25" s="89" t="str">
        <f>HYPERLINK("https://media.licdn.com/mpr/mpr/shrink_200_200/AAEAAQAAAAAAAAvMAAAAJGNhMTUyMDIwLTNkOWItNGI3Ni04YzYyLTY5YTU0Y2Y4ODAxZg.png","https://media.licdn.com/mpr/mpr/shrink_200_200/AAEAAQAAAAAAAAvMAAAAJGNhMTUyMDIwLTNkOWItNGI3Ni04YzYyLTY5YTU0Y2Y4ODAxZg.png")</f>
        <v>https://media.licdn.com/mpr/mpr/shrink_200_200/AAEAAQAAAAAAAAvMAAAAJGNhMTUyMDIwLTNkOWItNGI3Ni04YzYyLTY5YTU0Y2Y4ODAxZg.png</v>
      </c>
      <c r="G25" s="89" t="str">
        <f>HYPERLINK("http://www.tibagroup.com/pt/","http://www.tibagroup.com/pt/")</f>
        <v>http://www.tibagroup.com/pt/</v>
      </c>
      <c r="H25" s="39"/>
      <c r="I25" s="39"/>
      <c r="J25" s="39"/>
      <c r="K25" s="39"/>
      <c r="L25" s="39"/>
      <c r="M25" s="39"/>
      <c r="N25" s="39"/>
      <c r="O25" s="39"/>
      <c r="P25" s="39"/>
      <c r="Q25" s="39"/>
      <c r="R25" s="2"/>
      <c r="S25" s="2"/>
      <c r="T25" s="2"/>
      <c r="U25" s="2"/>
      <c r="V25" s="2"/>
      <c r="W25" s="2"/>
      <c r="X25" s="2"/>
      <c r="Y25" s="2"/>
      <c r="Z25" s="2"/>
    </row>
    <row r="26" customHeight="1" spans="1:26">
      <c r="A26" s="83" t="s">
        <v>7668</v>
      </c>
      <c r="B26" s="84" t="s">
        <v>1709</v>
      </c>
      <c r="C26" s="84" t="s">
        <v>117</v>
      </c>
      <c r="D26" s="39"/>
      <c r="E26" s="90"/>
      <c r="F26" s="91" t="str">
        <f>HYPERLINK("https://www.aldi.fr/images/aldi-logo-big.png","https://www.aldi.fr/images/aldi-logo-big.png")</f>
        <v>https://www.aldi.fr/images/aldi-logo-big.png</v>
      </c>
      <c r="G26" s="91" t="str">
        <f>HYPERLINK("https://www.aldi.pt","https://www.aldi.pt")</f>
        <v>https://www.aldi.pt</v>
      </c>
      <c r="H26" s="39"/>
      <c r="I26" s="39"/>
      <c r="J26" s="39"/>
      <c r="K26" s="39"/>
      <c r="L26" s="39"/>
      <c r="M26" s="39"/>
      <c r="N26" s="39"/>
      <c r="O26" s="39"/>
      <c r="P26" s="39"/>
      <c r="Q26" s="39"/>
      <c r="R26" s="2"/>
      <c r="S26" s="2"/>
      <c r="T26" s="2"/>
      <c r="U26" s="2"/>
      <c r="V26" s="2"/>
      <c r="W26" s="2"/>
      <c r="X26" s="2"/>
      <c r="Y26" s="2"/>
      <c r="Z26" s="2"/>
    </row>
    <row r="27" customHeight="1" spans="1:26">
      <c r="A27" s="83" t="s">
        <v>115</v>
      </c>
      <c r="B27" s="84" t="s">
        <v>7669</v>
      </c>
      <c r="C27" s="84" t="s">
        <v>117</v>
      </c>
      <c r="D27" s="39"/>
      <c r="E27" s="90"/>
      <c r="F27" s="91" t="str">
        <f>HYPERLINK("http://www.almaplaza.com/logo-apolonia.jpg","http://www.almaplaza.com/logo-apolonia.jpg")</f>
        <v>http://www.almaplaza.com/logo-apolonia.jpg</v>
      </c>
      <c r="G27" s="92" t="str">
        <f>HYPERLINK("https://apolonia.com","https://apolonia.com")</f>
        <v>https://apolonia.com</v>
      </c>
      <c r="H27" s="39"/>
      <c r="I27" s="39"/>
      <c r="J27" s="39"/>
      <c r="K27" s="39"/>
      <c r="L27" s="39"/>
      <c r="M27" s="39"/>
      <c r="N27" s="39"/>
      <c r="O27" s="39"/>
      <c r="P27" s="39"/>
      <c r="Q27" s="39"/>
      <c r="R27" s="2"/>
      <c r="S27" s="2"/>
      <c r="T27" s="2"/>
      <c r="U27" s="2"/>
      <c r="V27" s="2"/>
      <c r="W27" s="2"/>
      <c r="X27" s="2"/>
      <c r="Y27" s="2"/>
      <c r="Z27" s="2"/>
    </row>
    <row r="28" customHeight="1" spans="1:26">
      <c r="A28" s="83" t="s">
        <v>7670</v>
      </c>
      <c r="B28" s="84" t="s">
        <v>7671</v>
      </c>
      <c r="C28" s="84" t="s">
        <v>117</v>
      </c>
      <c r="D28" s="39"/>
      <c r="E28" s="90"/>
      <c r="F28" s="91" t="str">
        <f>HYPERLINK("https://www.brandsoftheworld.com/sites/default/files/styles/logo-thumbnail/public/122010/vale_do_lobo.png?itok=qr2C6DEq","https://www.brandsoftheworld.com/sites/default/files/styles/logo-thumbnail/public/122010/vale_do_lobo.png?itok=qr2C6DEq")</f>
        <v>https://www.brandsoftheworld.com/sites/default/files/styles/logo-thumbnail/public/122010/vale_do_lobo.png?itok=qr2C6DEq</v>
      </c>
      <c r="G28" s="91" t="str">
        <f>HYPERLINK("https://www.valedolobo.com/pt/vale-do-lobo/instalacoes/supermercado-pingo-doce/","https://www.valedolobo.com/pt/vale-do-lobo/instalacoes/supermercado-pingo-doce/")</f>
        <v>https://www.valedolobo.com/pt/vale-do-lobo/instalacoes/supermercado-pingo-doce/</v>
      </c>
      <c r="H28" s="39"/>
      <c r="I28" s="39"/>
      <c r="J28" s="39"/>
      <c r="K28" s="39"/>
      <c r="L28" s="39"/>
      <c r="M28" s="39"/>
      <c r="N28" s="39"/>
      <c r="O28" s="39"/>
      <c r="P28" s="39"/>
      <c r="Q28" s="39"/>
      <c r="R28" s="2"/>
      <c r="S28" s="2"/>
      <c r="T28" s="2"/>
      <c r="U28" s="2"/>
      <c r="V28" s="2"/>
      <c r="W28" s="2"/>
      <c r="X28" s="2"/>
      <c r="Y28" s="2"/>
      <c r="Z28" s="2"/>
    </row>
    <row r="29" customHeight="1" spans="1:26">
      <c r="A29" s="83" t="s">
        <v>3800</v>
      </c>
      <c r="B29" s="84" t="s">
        <v>7672</v>
      </c>
      <c r="C29" s="84" t="s">
        <v>117</v>
      </c>
      <c r="D29" s="39"/>
      <c r="E29" s="90"/>
      <c r="F29" s="91" t="str">
        <f>HYPERLINK("https://upload.wikimedia.org/wikipedia/commons/9/9d/Logocontinente.jpg","https://upload.wikimedia.org/wikipedia/commons/9/9d/Logocontinente.jpg")</f>
        <v>https://upload.wikimedia.org/wikipedia/commons/9/9d/Logocontinente.jpg</v>
      </c>
      <c r="G29" s="91" t="str">
        <f>HYPERLINK("https://www.continente.pt/pt-pt/public/Pages/homepage.aspx","https://www.continente.pt/pt-pt/public/Pages/homepage.aspx")</f>
        <v>https://www.continente.pt/pt-pt/public/Pages/homepage.aspx</v>
      </c>
      <c r="H29" s="39"/>
      <c r="I29" s="39"/>
      <c r="J29" s="39"/>
      <c r="K29" s="39"/>
      <c r="L29" s="39"/>
      <c r="M29" s="39"/>
      <c r="N29" s="39"/>
      <c r="O29" s="39"/>
      <c r="P29" s="39"/>
      <c r="Q29" s="39"/>
      <c r="R29" s="2"/>
      <c r="S29" s="2"/>
      <c r="T29" s="2"/>
      <c r="U29" s="2"/>
      <c r="V29" s="2"/>
      <c r="W29" s="2"/>
      <c r="X29" s="2"/>
      <c r="Y29" s="2"/>
      <c r="Z29" s="2"/>
    </row>
    <row r="30" customHeight="1" spans="1:26">
      <c r="A30" s="83" t="s">
        <v>120</v>
      </c>
      <c r="B30" s="84" t="s">
        <v>7673</v>
      </c>
      <c r="C30" s="84" t="s">
        <v>117</v>
      </c>
      <c r="D30" s="39"/>
      <c r="E30" s="90"/>
      <c r="F30" s="91" t="str">
        <f>HYPERLINK("http://www.lisbon-id.com/upload4mail/magnolia-portugal/b_86476_pingo_doce_.jpg","http://www.lisbon-id.com/upload4mail/magnolia-portugal/b_86476_pingo_doce_.jpg")</f>
        <v>http://www.lisbon-id.com/upload4mail/magnolia-portugal/b_86476_pingo_doce_.jpg</v>
      </c>
      <c r="G30" s="91" t="str">
        <f>HYPERLINK("https://www.pingodoce.pt","https://www.pingodoce.pt")</f>
        <v>https://www.pingodoce.pt</v>
      </c>
      <c r="H30" s="39"/>
      <c r="I30" s="39"/>
      <c r="J30" s="39"/>
      <c r="K30" s="39"/>
      <c r="L30" s="39"/>
      <c r="M30" s="39"/>
      <c r="N30" s="39"/>
      <c r="O30" s="39"/>
      <c r="P30" s="39"/>
      <c r="Q30" s="39"/>
      <c r="R30" s="2"/>
      <c r="S30" s="2"/>
      <c r="T30" s="2"/>
      <c r="U30" s="2"/>
      <c r="V30" s="2"/>
      <c r="W30" s="2"/>
      <c r="X30" s="2"/>
      <c r="Y30" s="2"/>
      <c r="Z30" s="2"/>
    </row>
    <row r="31" customHeight="1" spans="1:26">
      <c r="A31" s="83" t="s">
        <v>123</v>
      </c>
      <c r="B31" s="84" t="s">
        <v>7674</v>
      </c>
      <c r="C31" s="84" t="s">
        <v>117</v>
      </c>
      <c r="D31" s="85"/>
      <c r="E31" s="93"/>
      <c r="F31" s="91" t="str">
        <f>HYPERLINK("https://www.brandsoftheworld.com/sites/default/files/styles/logo-thumbnail/public/0019/0021/brand.gif?itok=2OJeDKKI","https://www.brandsoftheworld.com/sites/default/files/styles/logo-thumbnail/public/0019/0021/brand.gif?itok=2OJeDKKI")</f>
        <v>https://www.brandsoftheworld.com/sites/default/files/styles/logo-thumbnail/public/0019/0021/brand.gif?itok=2OJeDKKI</v>
      </c>
      <c r="G31" s="91" t="str">
        <f>HYPERLINK("https://www.jumbo.pt/Frontoffice/","https://www.jumbo.pt/Frontoffice/")</f>
        <v>https://www.jumbo.pt/Frontoffice/</v>
      </c>
      <c r="H31" s="39"/>
      <c r="I31" s="39"/>
      <c r="J31" s="39"/>
      <c r="K31" s="39"/>
      <c r="L31" s="39"/>
      <c r="M31" s="39"/>
      <c r="N31" s="39"/>
      <c r="O31" s="39"/>
      <c r="P31" s="39"/>
      <c r="Q31" s="39"/>
      <c r="R31" s="2"/>
      <c r="S31" s="2"/>
      <c r="T31" s="2"/>
      <c r="U31" s="2"/>
      <c r="V31" s="2"/>
      <c r="W31" s="2"/>
      <c r="X31" s="2"/>
      <c r="Y31" s="2"/>
      <c r="Z31" s="2"/>
    </row>
    <row r="32" customHeight="1" spans="1:26">
      <c r="A32" s="83" t="s">
        <v>139</v>
      </c>
      <c r="B32" s="84" t="s">
        <v>7675</v>
      </c>
      <c r="C32" s="84" t="s">
        <v>141</v>
      </c>
      <c r="D32" s="86"/>
      <c r="E32" s="84"/>
      <c r="F32" s="91" t="str">
        <f>HYPERLINK("https://www.leisurejobs.com/getasset/7a2ca57f-8ccf-4e6c-884a-4c3b082f4e2c/","https://www.leisurejobs.com/getasset/7a2ca57f-8ccf-4e6c-884a-4c3b082f4e2c/")</f>
        <v>https://www.leisurejobs.com/getasset/7a2ca57f-8ccf-4e6c-884a-4c3b082f4e2c/</v>
      </c>
      <c r="G32" s="91" t="str">
        <f>HYPERLINK("https://www.virginactive.pt/ginasios/ginasio-lisboa-palacio-sottomayor","https://www.virginactive.pt/ginasios/ginasio-lisboa-palacio-sottomayor")</f>
        <v>https://www.virginactive.pt/ginasios/ginasio-lisboa-palacio-sottomayor</v>
      </c>
      <c r="H32" s="39"/>
      <c r="I32" s="39"/>
      <c r="J32" s="39"/>
      <c r="K32" s="39"/>
      <c r="L32" s="39"/>
      <c r="M32" s="39"/>
      <c r="N32" s="39"/>
      <c r="O32" s="39"/>
      <c r="P32" s="39"/>
      <c r="Q32" s="39"/>
      <c r="R32" s="2"/>
      <c r="S32" s="2"/>
      <c r="T32" s="2"/>
      <c r="U32" s="2"/>
      <c r="V32" s="2"/>
      <c r="W32" s="2"/>
      <c r="X32" s="2"/>
      <c r="Y32" s="2"/>
      <c r="Z32" s="2"/>
    </row>
    <row r="33" customHeight="1" spans="1:26">
      <c r="A33" s="13" t="s">
        <v>144</v>
      </c>
      <c r="B33" s="13" t="s">
        <v>7676</v>
      </c>
      <c r="C33" s="13" t="s">
        <v>146</v>
      </c>
      <c r="D33" s="57"/>
      <c r="E33" s="57"/>
      <c r="F33" s="68" t="str">
        <f>HYPERLINK("http://www.navattagroup.com/wp-content/uploads/2013/06/logo600-NGlogo.png","http://www.navattagroup.com/wp-content/uploads/2013/06/logo600-NGlogo.png")</f>
        <v>http://www.navattagroup.com/wp-content/uploads/2013/06/logo600-NGlogo.png</v>
      </c>
      <c r="G33" s="68" t="str">
        <f>HYPERLINK("http://www.navattagroup.com/pt/","http://www.navattagroup.com/pt/")</f>
        <v>http://www.navattagroup.com/pt/</v>
      </c>
      <c r="H33" s="2"/>
      <c r="I33" s="2"/>
      <c r="J33" s="2"/>
      <c r="K33" s="2"/>
      <c r="L33" s="2"/>
      <c r="M33" s="2"/>
      <c r="N33" s="2"/>
      <c r="O33" s="2"/>
      <c r="P33" s="2"/>
      <c r="Q33" s="2"/>
      <c r="R33" s="2"/>
      <c r="S33" s="2"/>
      <c r="T33" s="2"/>
      <c r="U33" s="2"/>
      <c r="V33" s="2"/>
      <c r="W33" s="2"/>
      <c r="X33" s="2"/>
      <c r="Y33" s="2"/>
      <c r="Z33" s="2"/>
    </row>
    <row r="34" customHeight="1" spans="1:26">
      <c r="A34" s="13" t="s">
        <v>149</v>
      </c>
      <c r="B34" s="13" t="s">
        <v>7677</v>
      </c>
      <c r="C34" s="13" t="s">
        <v>151</v>
      </c>
      <c r="D34" s="57"/>
      <c r="E34" s="57"/>
      <c r="F34" s="68" t="str">
        <f>HYPERLINK("http://www.cmsmachine.com/themes/cms/img/logo/cms.jpg","http://www.cmsmachine.com/themes/cms/img/logo/cms.jpg")</f>
        <v>http://www.cmsmachine.com/themes/cms/img/logo/cms.jpg</v>
      </c>
      <c r="G34" s="68" t="str">
        <f>HYPERLINK("http://www.cmsmachine.com/pagina-inicial-2/","http://www.cmsmachine.com/pagina-inicial-2/")</f>
        <v>http://www.cmsmachine.com/pagina-inicial-2/</v>
      </c>
      <c r="H34" s="2"/>
      <c r="I34" s="2"/>
      <c r="J34" s="2"/>
      <c r="K34" s="2"/>
      <c r="L34" s="2"/>
      <c r="M34" s="2"/>
      <c r="N34" s="2"/>
      <c r="O34" s="2"/>
      <c r="P34" s="2"/>
      <c r="Q34" s="2"/>
      <c r="R34" s="2"/>
      <c r="S34" s="2"/>
      <c r="T34" s="2"/>
      <c r="U34" s="2"/>
      <c r="V34" s="2"/>
      <c r="W34" s="2"/>
      <c r="X34" s="2"/>
      <c r="Y34" s="2"/>
      <c r="Z34" s="2"/>
    </row>
    <row r="35" customHeight="1" spans="1:26">
      <c r="A35" s="64" t="s">
        <v>154</v>
      </c>
      <c r="B35" s="13" t="s">
        <v>3785</v>
      </c>
      <c r="C35" s="13" t="s">
        <v>156</v>
      </c>
      <c r="D35" s="65">
        <v>30</v>
      </c>
      <c r="E35" s="13" t="s">
        <v>37</v>
      </c>
      <c r="F35" s="68" t="str">
        <f>HYPERLINK("https://upload.wikimedia.org/wikipedia/en/thumb/3/33/Hiscox_%28logo%29.svg/1024px-Hiscox_%28logo%29.svg.png","https://upload.wikimedia.org/wikipedia/en/thumb/3/33/Hiscox_%28logo%29.svg/1024px-Hiscox_%28logo%29.svg.png")</f>
        <v>https://upload.wikimedia.org/wikipedia/en/thumb/3/33/Hiscox_%28logo%29.svg/1024px-Hiscox_%28logo%29.svg.png</v>
      </c>
      <c r="G35" s="68" t="str">
        <f>HYPERLINK("http://www.hiscox.pt","http://www.hiscox.pt")</f>
        <v>http://www.hiscox.pt</v>
      </c>
      <c r="H35" s="2"/>
      <c r="I35" s="2"/>
      <c r="J35" s="2"/>
      <c r="K35" s="2"/>
      <c r="L35" s="2"/>
      <c r="M35" s="2"/>
      <c r="N35" s="2"/>
      <c r="O35" s="2"/>
      <c r="P35" s="2"/>
      <c r="Q35" s="2"/>
      <c r="R35" s="2"/>
      <c r="S35" s="2"/>
      <c r="T35" s="2"/>
      <c r="U35" s="2"/>
      <c r="V35" s="2"/>
      <c r="W35" s="2"/>
      <c r="X35" s="2"/>
      <c r="Y35" s="2"/>
      <c r="Z35" s="2"/>
    </row>
    <row r="36" customHeight="1" spans="1:26">
      <c r="A36" s="13" t="s">
        <v>159</v>
      </c>
      <c r="B36" s="13" t="s">
        <v>7678</v>
      </c>
      <c r="C36" s="13" t="s">
        <v>161</v>
      </c>
      <c r="D36" s="57"/>
      <c r="E36" s="57"/>
      <c r="F36" s="68" t="str">
        <f>HYPERLINK("https://pbs.twimg.com/profile_images/872743039156047872/PcAP--8s.jpg","https://pbs.twimg.com/profile_images/872743039156047872/PcAP--8s.jpg")</f>
        <v>https://pbs.twimg.com/profile_images/872743039156047872/PcAP--8s.jpg</v>
      </c>
      <c r="G36" s="68" t="str">
        <f>HYPERLINK("http://gpa-global.org/portugal/","http://gpa-global.org/portugal/")</f>
        <v>http://gpa-global.org/portugal/</v>
      </c>
      <c r="H36" s="2"/>
      <c r="I36" s="2"/>
      <c r="J36" s="2"/>
      <c r="K36" s="2"/>
      <c r="L36" s="2"/>
      <c r="M36" s="2"/>
      <c r="N36" s="2"/>
      <c r="O36" s="2"/>
      <c r="P36" s="2"/>
      <c r="Q36" s="2"/>
      <c r="R36" s="2"/>
      <c r="S36" s="2"/>
      <c r="T36" s="2"/>
      <c r="U36" s="2"/>
      <c r="V36" s="2"/>
      <c r="W36" s="2"/>
      <c r="X36" s="2"/>
      <c r="Y36" s="2"/>
      <c r="Z36" s="2"/>
    </row>
    <row r="37" customHeight="1" spans="1:26">
      <c r="A37" s="13" t="s">
        <v>164</v>
      </c>
      <c r="B37" s="13" t="s">
        <v>7679</v>
      </c>
      <c r="C37" s="13" t="s">
        <v>166</v>
      </c>
      <c r="D37" s="57"/>
      <c r="E37" s="57"/>
      <c r="F37" s="68" t="str">
        <f>HYPERLINK("http://www.gbis.pt/wp-content/uploads/2016/03/Logo-Normal-300dpi-300x139.png","http://www.gbis.pt/wp-content/uploads/2016/03/Logo-Normal-300dpi-300x139.png")</f>
        <v>http://www.gbis.pt/wp-content/uploads/2016/03/Logo-Normal-300dpi-300x139.png</v>
      </c>
      <c r="G37" s="68" t="str">
        <f>HYPERLINK("http://www.gbis.pt/?lang=pt","http://www.gbis.pt/?lang=pt")</f>
        <v>http://www.gbis.pt/?lang=pt</v>
      </c>
      <c r="H37" s="2"/>
      <c r="I37" s="2"/>
      <c r="J37" s="2"/>
      <c r="K37" s="2"/>
      <c r="L37" s="2"/>
      <c r="M37" s="2"/>
      <c r="N37" s="2"/>
      <c r="O37" s="2"/>
      <c r="P37" s="2"/>
      <c r="Q37" s="2"/>
      <c r="R37" s="2"/>
      <c r="S37" s="2"/>
      <c r="T37" s="2"/>
      <c r="U37" s="2"/>
      <c r="V37" s="2"/>
      <c r="W37" s="2"/>
      <c r="X37" s="2"/>
      <c r="Y37" s="2"/>
      <c r="Z37" s="2"/>
    </row>
    <row r="38" customHeight="1" spans="1:26">
      <c r="A38" s="64" t="s">
        <v>169</v>
      </c>
      <c r="B38" s="13" t="s">
        <v>972</v>
      </c>
      <c r="C38" s="13" t="s">
        <v>171</v>
      </c>
      <c r="D38" s="65">
        <v>46</v>
      </c>
      <c r="E38" s="13" t="s">
        <v>37</v>
      </c>
      <c r="F38" s="68" t="str">
        <f>HYPERLINK("http://adslfibra.pt/sites/all/themes/1287x929_vodafone_logo.jpg","http://adslfibra.pt/sites/all/themes/1287x929_vodafone_logo.jpg")</f>
        <v>http://adslfibra.pt/sites/all/themes/1287x929_vodafone_logo.jpg</v>
      </c>
      <c r="G38" s="68" t="str">
        <f>HYPERLINK("http://www.vodafone.pt/main/particulares/","http://www.vodafone.pt/main/particulares/")</f>
        <v>http://www.vodafone.pt/main/particulares/</v>
      </c>
      <c r="H38" s="2"/>
      <c r="I38" s="2"/>
      <c r="J38" s="2"/>
      <c r="K38" s="2"/>
      <c r="L38" s="2"/>
      <c r="M38" s="2"/>
      <c r="N38" s="2"/>
      <c r="O38" s="2"/>
      <c r="P38" s="2"/>
      <c r="Q38" s="2"/>
      <c r="R38" s="2"/>
      <c r="S38" s="2"/>
      <c r="T38" s="2"/>
      <c r="U38" s="2"/>
      <c r="V38" s="2"/>
      <c r="W38" s="2"/>
      <c r="X38" s="2"/>
      <c r="Y38" s="2"/>
      <c r="Z38" s="2"/>
    </row>
    <row r="39" customHeight="1" spans="1:26">
      <c r="A39" s="64" t="s">
        <v>174</v>
      </c>
      <c r="B39" s="13" t="s">
        <v>7657</v>
      </c>
      <c r="C39" s="13" t="s">
        <v>171</v>
      </c>
      <c r="D39" s="65">
        <v>30</v>
      </c>
      <c r="E39" s="13" t="s">
        <v>37</v>
      </c>
      <c r="F39" s="68" t="str">
        <f>HYPERLINK("http://www.underconsideration.com/brandnew/archives/nos_logo_detail.png","http://www.underconsideration.com/brandnew/archives/nos_logo_detail.png")</f>
        <v>http://www.underconsideration.com/brandnew/archives/nos_logo_detail.png</v>
      </c>
      <c r="G39" s="68" t="str">
        <f>HYPERLINK("http://www.nos.pt","http://www.nos.pt")</f>
        <v>http://www.nos.pt</v>
      </c>
      <c r="H39" s="2"/>
      <c r="I39" s="2"/>
      <c r="J39" s="2"/>
      <c r="K39" s="2"/>
      <c r="L39" s="2"/>
      <c r="M39" s="2"/>
      <c r="N39" s="2"/>
      <c r="O39" s="2"/>
      <c r="P39" s="2"/>
      <c r="Q39" s="2"/>
      <c r="R39" s="2"/>
      <c r="S39" s="2"/>
      <c r="T39" s="2"/>
      <c r="U39" s="2"/>
      <c r="V39" s="2"/>
      <c r="W39" s="2"/>
      <c r="X39" s="2"/>
      <c r="Y39" s="2"/>
      <c r="Z39" s="2"/>
    </row>
    <row r="40" customHeight="1" spans="1:26">
      <c r="A40" s="64" t="s">
        <v>178</v>
      </c>
      <c r="B40" s="13" t="s">
        <v>7680</v>
      </c>
      <c r="C40" s="13" t="s">
        <v>180</v>
      </c>
      <c r="D40" s="65">
        <v>45</v>
      </c>
      <c r="E40" s="13" t="s">
        <v>37</v>
      </c>
      <c r="F40" s="94" t="str">
        <f>HYPERLINK("http://www.sanlorenzogolfcourse.com/umbraco/ImageGen.ashx?image=/media/261387/jjw-san-lorenzo-golf-course-5th-hole-05.jpg&amp;overlayimage=/images/generic/icons/watermark.png&amp;align=right&amp;valign=bottom","http://www.sanlorenzogolfcourse.com/umbraco/ImageGen.ashx?image=/media/261387/jjw-san-lorenzo-golf-course-5th-hole-05.jpg&amp;overlayimage=/images/generic/icons/watermark.png&amp;align=right&amp;valign=bottom")</f>
        <v>http://www.sanlorenzogolfcourse.com/umbraco/ImageGen.ashx?image=/media/261387/jjw-san-lorenzo-golf-course-5th-hole-05.jpg&amp;overlayimage=/images/generic/icons/watermark.png&amp;align=right&amp;valign=bottom</v>
      </c>
      <c r="G40" s="68" t="str">
        <f>HYPERLINK("http://www.sanlorenzogolfcourse.com","http://www.sanlorenzogolfcourse.com")</f>
        <v>http://www.sanlorenzogolfcourse.com</v>
      </c>
      <c r="H40" s="2"/>
      <c r="I40" s="2"/>
      <c r="J40" s="2"/>
      <c r="K40" s="2"/>
      <c r="L40" s="2"/>
      <c r="M40" s="2"/>
      <c r="N40" s="2"/>
      <c r="O40" s="2"/>
      <c r="P40" s="2"/>
      <c r="Q40" s="2"/>
      <c r="R40" s="2"/>
      <c r="S40" s="2"/>
      <c r="T40" s="2"/>
      <c r="U40" s="2"/>
      <c r="V40" s="2"/>
      <c r="W40" s="2"/>
      <c r="X40" s="2"/>
      <c r="Y40" s="2"/>
      <c r="Z40" s="2"/>
    </row>
    <row r="41"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customHeight="1" spans="1:26">
      <c r="A42" s="64" t="s">
        <v>188</v>
      </c>
      <c r="B42" s="13" t="s">
        <v>189</v>
      </c>
      <c r="C42" s="13" t="s">
        <v>190</v>
      </c>
      <c r="D42" s="65">
        <v>650</v>
      </c>
      <c r="E42" s="13" t="s">
        <v>37</v>
      </c>
      <c r="F42" s="13" t="s">
        <v>191</v>
      </c>
      <c r="G42" s="13" t="s">
        <v>192</v>
      </c>
      <c r="H42" s="2"/>
      <c r="I42" s="2"/>
      <c r="J42" s="2"/>
      <c r="K42" s="2"/>
      <c r="L42" s="2"/>
      <c r="M42" s="2"/>
      <c r="N42" s="2"/>
      <c r="O42" s="2"/>
      <c r="P42" s="2"/>
      <c r="Q42" s="2"/>
      <c r="R42" s="2"/>
      <c r="S42" s="2"/>
      <c r="T42" s="2"/>
      <c r="U42" s="2"/>
      <c r="V42" s="2"/>
      <c r="W42" s="2"/>
      <c r="X42" s="2"/>
      <c r="Y42" s="2"/>
      <c r="Z42" s="2"/>
    </row>
    <row r="43" customHeight="1" spans="1:26">
      <c r="A43" s="13" t="s">
        <v>193</v>
      </c>
      <c r="B43" s="13" t="s">
        <v>1326</v>
      </c>
      <c r="C43" s="13" t="s">
        <v>195</v>
      </c>
      <c r="D43" s="57"/>
      <c r="E43" s="57"/>
      <c r="F43" s="68" t="str">
        <f>HYPERLINK("http://cdn3.bigcommerce.com/s-w5j1can/product_images/uploaded_images/staples-large.jpg?t=1475854392","http://cdn3.bigcommerce.com/s-w5j1can/product_images/uploaded_images/staples-large.jpg?t=1475854392")</f>
        <v>http://cdn3.bigcommerce.com/s-w5j1can/product_images/uploaded_images/staples-large.jpg?t=1475854392</v>
      </c>
      <c r="G43" s="68" t="str">
        <f>HYPERLINK("https://www.staples.pt","https://www.staples.pt")</f>
        <v>https://www.staples.pt</v>
      </c>
      <c r="H43" s="2"/>
      <c r="I43" s="2"/>
      <c r="J43" s="2"/>
      <c r="K43" s="2"/>
      <c r="L43" s="2"/>
      <c r="M43" s="2"/>
      <c r="N43" s="2"/>
      <c r="O43" s="2"/>
      <c r="P43" s="2"/>
      <c r="Q43" s="2"/>
      <c r="R43" s="2"/>
      <c r="S43" s="2"/>
      <c r="T43" s="2"/>
      <c r="U43" s="2"/>
      <c r="V43" s="2"/>
      <c r="W43" s="2"/>
      <c r="X43" s="2"/>
      <c r="Y43" s="2"/>
      <c r="Z43" s="2"/>
    </row>
    <row r="44" customHeight="1" spans="1:26">
      <c r="A44" s="64" t="s">
        <v>198</v>
      </c>
      <c r="B44" s="13" t="s">
        <v>7681</v>
      </c>
      <c r="C44" s="13" t="s">
        <v>200</v>
      </c>
      <c r="D44" s="65">
        <v>30</v>
      </c>
      <c r="E44" s="13" t="s">
        <v>21</v>
      </c>
      <c r="F44" s="68" t="str">
        <f>HYPERLINK("https://eyezen.es/opticas/uploads/shop/logo/1717/logo-opticlia-florit.jpg","https://eyezen.es/opticas/uploads/shop/logo/1717/logo-opticlia-florit.jpg")</f>
        <v>https://eyezen.es/opticas/uploads/shop/logo/1717/logo-opticlia-florit.jpg</v>
      </c>
      <c r="G44" s="68" t="str">
        <f>HYPERLINK("http://www.opticalia.pt/localiza.html?cp=Lisboa&amp;audiocalia=1&amp;oculto=ok","http://www.opticalia.pt/localiza.html?cp=Lisboa&amp;audiocalia=1&amp;oculto=ok")</f>
        <v>http://www.opticalia.pt/localiza.html?cp=Lisboa&amp;audiocalia=1&amp;oculto=ok</v>
      </c>
      <c r="H44" s="2"/>
      <c r="I44" s="2"/>
      <c r="J44" s="2"/>
      <c r="K44" s="2"/>
      <c r="L44" s="2"/>
      <c r="M44" s="2"/>
      <c r="N44" s="2"/>
      <c r="O44" s="2"/>
      <c r="P44" s="2"/>
      <c r="Q44" s="2"/>
      <c r="R44" s="2"/>
      <c r="S44" s="2"/>
      <c r="T44" s="2"/>
      <c r="U44" s="2"/>
      <c r="V44" s="2"/>
      <c r="W44" s="2"/>
      <c r="X44" s="2"/>
      <c r="Y44" s="2"/>
      <c r="Z44" s="2"/>
    </row>
    <row r="45" customHeight="1" spans="1:26">
      <c r="A45" s="13" t="s">
        <v>203</v>
      </c>
      <c r="B45" s="13" t="s">
        <v>7682</v>
      </c>
      <c r="C45" s="13" t="s">
        <v>200</v>
      </c>
      <c r="D45" s="14">
        <v>80</v>
      </c>
      <c r="E45" s="13" t="s">
        <v>21</v>
      </c>
      <c r="F45" s="68" t="str">
        <f>HYPERLINK("https://pbs.twimg.com/profile_images/610805336774213632/Co-6oZPi.png","https://pbs.twimg.com/profile_images/610805336774213632/Co-6oZPi.png")</f>
        <v>https://pbs.twimg.com/profile_images/610805336774213632/Co-6oZPi.png</v>
      </c>
      <c r="G45" s="68" t="str">
        <f>HYPERLINK("http://www.visionlab.pt","http://www.visionlab.pt")</f>
        <v>http://www.visionlab.pt</v>
      </c>
      <c r="H45" s="2"/>
      <c r="I45" s="2"/>
      <c r="J45" s="2"/>
      <c r="K45" s="2"/>
      <c r="L45" s="2"/>
      <c r="M45" s="2"/>
      <c r="N45" s="2"/>
      <c r="O45" s="2"/>
      <c r="P45" s="2"/>
      <c r="Q45" s="2"/>
      <c r="R45" s="2"/>
      <c r="S45" s="2"/>
      <c r="T45" s="2"/>
      <c r="U45" s="2"/>
      <c r="V45" s="2"/>
      <c r="W45" s="2"/>
      <c r="X45" s="2"/>
      <c r="Y45" s="2"/>
      <c r="Z45" s="2"/>
    </row>
    <row r="46" customHeight="1" spans="1:26">
      <c r="A46" s="64" t="s">
        <v>207</v>
      </c>
      <c r="B46" s="13" t="s">
        <v>7683</v>
      </c>
      <c r="C46" s="13" t="s">
        <v>209</v>
      </c>
      <c r="D46" s="65">
        <v>5</v>
      </c>
      <c r="E46" s="13" t="s">
        <v>37</v>
      </c>
      <c r="F46" s="68" t="str">
        <f>HYPERLINK("http://www.smtmgroup.co.uk/wp-content/uploads/2013/03/ParkopediaLogo.png","http://www.smtmgroup.co.uk/wp-content/uploads/2013/03/ParkopediaLogo.png")</f>
        <v>http://www.smtmgroup.co.uk/wp-content/uploads/2013/03/ParkopediaLogo.png</v>
      </c>
      <c r="G46" s="68" t="str">
        <f>HYPERLINK("https://en.parkopedia.pt/parking/lisbon/?arriving=201708021200&amp;leaving=201708021400","https://en.parkopedia.pt/parking/lisbon/?arriving=201708021200&amp;leaving=201708021400")</f>
        <v>https://en.parkopedia.pt/parking/lisbon/?arriving=201708021200&amp;leaving=201708021400</v>
      </c>
      <c r="H46" s="2"/>
      <c r="I46" s="2"/>
      <c r="J46" s="2"/>
      <c r="K46" s="2"/>
      <c r="L46" s="2"/>
      <c r="M46" s="2"/>
      <c r="N46" s="2"/>
      <c r="O46" s="2"/>
      <c r="P46" s="2"/>
      <c r="Q46" s="2"/>
      <c r="R46" s="2"/>
      <c r="S46" s="2"/>
      <c r="T46" s="2"/>
      <c r="U46" s="2"/>
      <c r="V46" s="2"/>
      <c r="W46" s="2"/>
      <c r="X46" s="2"/>
      <c r="Y46" s="2"/>
      <c r="Z46" s="2"/>
    </row>
    <row r="47" customHeight="1" spans="1:26">
      <c r="A47" s="13" t="s">
        <v>212</v>
      </c>
      <c r="B47" s="13" t="s">
        <v>7684</v>
      </c>
      <c r="C47" s="13" t="s">
        <v>214</v>
      </c>
      <c r="D47" s="14">
        <v>20</v>
      </c>
      <c r="E47" s="13" t="s">
        <v>37</v>
      </c>
      <c r="F47" s="68" t="str">
        <f>HYPERLINK("https://s-media-cache-ak0.pinimg.com/236x/44/29/43/442943600e3126eb60f34fcd7b90ae00.jpg","https://s-media-cache-ak0.pinimg.com/236x/44/29/43/442943600e3126eb60f34fcd7b90ae00.jpg")</f>
        <v>https://s-media-cache-ak0.pinimg.com/236x/44/29/43/442943600e3126eb60f34fcd7b90ae00.jpg</v>
      </c>
      <c r="G47" s="68" t="str">
        <f>HYPERLINK("http://farmaciaalgarve.pt/pt","http://farmaciaalgarve.pt/pt")</f>
        <v>http://farmaciaalgarve.pt/pt</v>
      </c>
      <c r="H47" s="2"/>
      <c r="I47" s="2"/>
      <c r="J47" s="2"/>
      <c r="K47" s="2"/>
      <c r="L47" s="2"/>
      <c r="M47" s="2"/>
      <c r="N47" s="2"/>
      <c r="O47" s="2"/>
      <c r="P47" s="2"/>
      <c r="Q47" s="2"/>
      <c r="R47" s="2"/>
      <c r="S47" s="2"/>
      <c r="T47" s="2"/>
      <c r="U47" s="2"/>
      <c r="V47" s="2"/>
      <c r="W47" s="2"/>
      <c r="X47" s="2"/>
      <c r="Y47" s="2"/>
      <c r="Z47" s="2"/>
    </row>
    <row r="48" customHeight="1" spans="1:26">
      <c r="A48" s="13" t="s">
        <v>217</v>
      </c>
      <c r="B48" s="13" t="s">
        <v>7685</v>
      </c>
      <c r="C48" s="13" t="s">
        <v>219</v>
      </c>
      <c r="D48" s="57"/>
      <c r="E48" s="57"/>
      <c r="F48" s="68" t="str">
        <f>HYPERLINK("http://www.steeltubesindia.net/images/inconel/inconel718.jpg","http://www.steeltubesindia.net/images/inconel/inconel718.jpg")</f>
        <v>http://www.steeltubesindia.net/images/inconel/inconel718.jpg</v>
      </c>
      <c r="G48" s="68" t="str">
        <f>HYPERLINK("http://www.steeltubesindia.net/api5lx52-api5lx65-api-5l-grade-b-pipe-suppliers-in-portugal.html","http://www.steeltubesindia.net/api5lx52-api5lx65-api-5l-grade-b-pipe-suppliers-in-portugal.html")</f>
        <v>http://www.steeltubesindia.net/api5lx52-api5lx65-api-5l-grade-b-pipe-suppliers-in-portugal.html</v>
      </c>
      <c r="H48" s="2"/>
      <c r="I48" s="2"/>
      <c r="J48" s="2"/>
      <c r="K48" s="2"/>
      <c r="L48" s="2"/>
      <c r="M48" s="2"/>
      <c r="N48" s="2"/>
      <c r="O48" s="2"/>
      <c r="P48" s="2"/>
      <c r="Q48" s="2"/>
      <c r="R48" s="2"/>
      <c r="S48" s="2"/>
      <c r="T48" s="2"/>
      <c r="U48" s="2"/>
      <c r="V48" s="2"/>
      <c r="W48" s="2"/>
      <c r="X48" s="2"/>
      <c r="Y48" s="2"/>
      <c r="Z48" s="2"/>
    </row>
    <row r="49" customHeight="1" spans="1:26">
      <c r="A49" s="13" t="s">
        <v>222</v>
      </c>
      <c r="B49" s="13" t="s">
        <v>7686</v>
      </c>
      <c r="C49" s="13" t="s">
        <v>224</v>
      </c>
      <c r="D49" s="14">
        <v>96</v>
      </c>
      <c r="E49" s="13" t="s">
        <v>21</v>
      </c>
      <c r="F49" s="68" t="str">
        <f>HYPERLINK("https://video.whirlpool.eu/vod/wplayer/indesit.png","https://video.whirlpool.eu/vod/wplayer/indesit.png")</f>
        <v>https://video.whirlpool.eu/vod/wplayer/indesit.png</v>
      </c>
      <c r="G49" s="68" t="str">
        <f>HYPERLINK("http://www.indesit.pt/indesit/entryPoint.do","http://www.indesit.pt/indesit/entryPoint.do")</f>
        <v>http://www.indesit.pt/indesit/entryPoint.do</v>
      </c>
      <c r="H49" s="2"/>
      <c r="I49" s="2"/>
      <c r="J49" s="2"/>
      <c r="K49" s="2"/>
      <c r="L49" s="2"/>
      <c r="M49" s="2"/>
      <c r="N49" s="2"/>
      <c r="O49" s="2"/>
      <c r="P49" s="2"/>
      <c r="Q49" s="2"/>
      <c r="R49" s="2"/>
      <c r="S49" s="2"/>
      <c r="T49" s="2"/>
      <c r="U49" s="2"/>
      <c r="V49" s="2"/>
      <c r="W49" s="2"/>
      <c r="X49" s="2"/>
      <c r="Y49" s="2"/>
      <c r="Z49" s="2"/>
    </row>
    <row r="50" customHeight="1" spans="1:26">
      <c r="A50" s="13" t="s">
        <v>227</v>
      </c>
      <c r="B50" s="13" t="s">
        <v>7687</v>
      </c>
      <c r="C50" s="13" t="s">
        <v>229</v>
      </c>
      <c r="D50" s="14">
        <v>66</v>
      </c>
      <c r="E50" s="13" t="s">
        <v>21</v>
      </c>
      <c r="F50" s="68" t="str">
        <f>HYPERLINK("https://cdn1.desidime.com/merchants/1317/medium/Mr-Right-Logo.jpg?1456387157","https://cdn1.desidime.com/merchants/1317/medium/Mr-Right-Logo.jpg?1456387157")</f>
        <v>https://cdn1.desidime.com/merchants/1317/medium/Mr-Right-Logo.jpg?1456387157</v>
      </c>
      <c r="G50" s="68" t="str">
        <f>HYPERLINK("http://mrright.pt","http://mrright.pt")</f>
        <v>http://mrright.pt</v>
      </c>
      <c r="H50" s="2"/>
      <c r="I50" s="2"/>
      <c r="J50" s="2"/>
      <c r="K50" s="2"/>
      <c r="L50" s="2"/>
      <c r="M50" s="2"/>
      <c r="N50" s="2"/>
      <c r="O50" s="2"/>
      <c r="P50" s="2"/>
      <c r="Q50" s="2"/>
      <c r="R50" s="2"/>
      <c r="S50" s="2"/>
      <c r="T50" s="2"/>
      <c r="U50" s="2"/>
      <c r="V50" s="2"/>
      <c r="W50" s="2"/>
      <c r="X50" s="2"/>
      <c r="Y50" s="2"/>
      <c r="Z50" s="2"/>
    </row>
    <row r="51" customHeight="1" spans="1:26">
      <c r="A51" s="13" t="s">
        <v>231</v>
      </c>
      <c r="B51" s="13" t="s">
        <v>7688</v>
      </c>
      <c r="C51" s="13" t="s">
        <v>224</v>
      </c>
      <c r="D51" s="14">
        <v>156</v>
      </c>
      <c r="E51" s="13" t="s">
        <v>21</v>
      </c>
      <c r="F51" s="68" t="str">
        <f>HYPERLINK("http://www.fagorindustrial.com/uploads/documentacion/imagenes/pt/logo-fagor-industrial.jpg","http://www.fagorindustrial.com/uploads/documentacion/imagenes/pt/logo-fagor-industrial.jpg")</f>
        <v>http://www.fagorindustrial.com/uploads/documentacion/imagenes/pt/logo-fagor-industrial.jpg</v>
      </c>
      <c r="G51" s="68" t="str">
        <f>HYPERLINK("http://www.fagorindustrial.com/pt","http://www.fagorindustrial.com/pt")</f>
        <v>http://www.fagorindustrial.com/pt</v>
      </c>
      <c r="H51" s="2"/>
      <c r="I51" s="2"/>
      <c r="J51" s="2"/>
      <c r="K51" s="2"/>
      <c r="L51" s="2"/>
      <c r="M51" s="2"/>
      <c r="N51" s="2"/>
      <c r="O51" s="2"/>
      <c r="P51" s="2"/>
      <c r="Q51" s="2"/>
      <c r="R51" s="2"/>
      <c r="S51" s="2"/>
      <c r="T51" s="2"/>
      <c r="U51" s="2"/>
      <c r="V51" s="2"/>
      <c r="W51" s="2"/>
      <c r="X51" s="2"/>
      <c r="Y51" s="2"/>
      <c r="Z51" s="2"/>
    </row>
    <row r="52" customHeight="1" spans="1:26">
      <c r="A52" s="64" t="s">
        <v>234</v>
      </c>
      <c r="B52" s="87" t="s">
        <v>7689</v>
      </c>
      <c r="C52" s="13" t="s">
        <v>236</v>
      </c>
      <c r="D52" s="65">
        <v>30</v>
      </c>
      <c r="E52" s="13" t="s">
        <v>37</v>
      </c>
      <c r="F52" s="68" t="str">
        <f>HYPERLINK("http://www.travessadaermida.com/imagens/navErmida.png","http://www.travessadaermida.com/imagens/navErmida.png")</f>
        <v>http://www.travessadaermida.com/imagens/navErmida.png</v>
      </c>
      <c r="G52" s="94" t="str">
        <f>HYPERLINK("http://www.travessadaermida.com","http://www.travessadaermida.com")</f>
        <v>http://www.travessadaermida.com</v>
      </c>
      <c r="H52" s="2"/>
      <c r="I52" s="2"/>
      <c r="J52" s="2"/>
      <c r="K52" s="2"/>
      <c r="L52" s="2"/>
      <c r="M52" s="2"/>
      <c r="N52" s="2"/>
      <c r="O52" s="2"/>
      <c r="P52" s="2"/>
      <c r="Q52" s="2"/>
      <c r="R52" s="2"/>
      <c r="S52" s="2"/>
      <c r="T52" s="2"/>
      <c r="U52" s="2"/>
      <c r="V52" s="2"/>
      <c r="W52" s="2"/>
      <c r="X52" s="2"/>
      <c r="Y52" s="2"/>
      <c r="Z52" s="2"/>
    </row>
    <row r="53" customHeight="1" spans="1:26">
      <c r="A53" s="13" t="s">
        <v>239</v>
      </c>
      <c r="B53" s="13" t="s">
        <v>7690</v>
      </c>
      <c r="C53" s="13" t="s">
        <v>236</v>
      </c>
      <c r="D53" s="14">
        <v>230</v>
      </c>
      <c r="E53" s="13" t="s">
        <v>21</v>
      </c>
      <c r="F53" s="68" t="str">
        <f>HYPERLINK("http://www.casadacomida.pt/wp-content/uploads/elementor/thumbs/2_Eventos_zMockUp-n9xbh1mhiack1ddpg6t9j50gwzgoqovki63nnb823k.jpg","http://www.casadacomida.pt/wp-content/uploads/elementor/thumbs/2_Eventos_zMockUp-n9xbh1mhiack1ddpg6t9j50gwzgoqovki63nnb823k.jpg")</f>
        <v>http://www.casadacomida.pt/wp-content/uploads/elementor/thumbs/2_Eventos_zMockUp-n9xbh1mhiack1ddpg6t9j50gwzgoqovki63nnb823k.jpg</v>
      </c>
      <c r="G53" s="68" t="str">
        <f>HYPERLINK("http://www.casadacomida.pt","http://www.casadacomida.pt")</f>
        <v>http://www.casadacomida.pt</v>
      </c>
      <c r="H53" s="2"/>
      <c r="I53" s="2"/>
      <c r="J53" s="2"/>
      <c r="K53" s="2"/>
      <c r="L53" s="2"/>
      <c r="M53" s="2"/>
      <c r="N53" s="2"/>
      <c r="O53" s="2"/>
      <c r="P53" s="2"/>
      <c r="Q53" s="2"/>
      <c r="R53" s="2"/>
      <c r="S53" s="2"/>
      <c r="T53" s="2"/>
      <c r="U53" s="2"/>
      <c r="V53" s="2"/>
      <c r="W53" s="2"/>
      <c r="X53" s="2"/>
      <c r="Y53" s="2"/>
      <c r="Z53" s="2"/>
    </row>
    <row r="54" customHeight="1" spans="1:26">
      <c r="A54" s="13" t="s">
        <v>243</v>
      </c>
      <c r="B54" s="13" t="s">
        <v>7691</v>
      </c>
      <c r="C54" s="13" t="s">
        <v>236</v>
      </c>
      <c r="D54" s="14">
        <v>100</v>
      </c>
      <c r="E54" s="13" t="s">
        <v>245</v>
      </c>
      <c r="F54" s="94" t="str">
        <f>HYPERLINK("http://snughughome.com/wp-content/uploads/2016/05/Belcanto.jpg","http://snughughome.com/wp-content/uploads/2016/05/Belcanto.jpg")</f>
        <v>http://snughughome.com/wp-content/uploads/2016/05/Belcanto.jpg</v>
      </c>
      <c r="G54" s="94" t="str">
        <f>HYPERLINK("http://belcanto.pt/PT/","http://belcanto.pt/PT/")</f>
        <v>http://belcanto.pt/PT/</v>
      </c>
      <c r="H54" s="2"/>
      <c r="I54" s="2"/>
      <c r="J54" s="2"/>
      <c r="K54" s="2"/>
      <c r="L54" s="2"/>
      <c r="M54" s="2"/>
      <c r="N54" s="2"/>
      <c r="O54" s="2"/>
      <c r="P54" s="2"/>
      <c r="Q54" s="2"/>
      <c r="R54" s="2"/>
      <c r="S54" s="2"/>
      <c r="T54" s="2"/>
      <c r="U54" s="2"/>
      <c r="V54" s="2"/>
      <c r="W54" s="2"/>
      <c r="X54" s="2"/>
      <c r="Y54" s="2"/>
      <c r="Z54" s="2"/>
    </row>
    <row r="55" customHeight="1" spans="1:26">
      <c r="A55" s="13" t="s">
        <v>248</v>
      </c>
      <c r="B55" s="13" t="s">
        <v>7692</v>
      </c>
      <c r="C55" s="13" t="s">
        <v>236</v>
      </c>
      <c r="D55" s="14">
        <v>100</v>
      </c>
      <c r="E55" s="13" t="s">
        <v>245</v>
      </c>
      <c r="F55" s="94" t="str">
        <f>HYPERLINK("http://www.tascadaesquina.com/assets/logo-6bbdc84d9225461a9758f96b28b2149e.png","http://www.tascadaesquina.com/assets/logo-6bbdc84d9225461a9758f96b28b2149e.png")</f>
        <v>http://www.tascadaesquina.com/assets/logo-6bbdc84d9225461a9758f96b28b2149e.png</v>
      </c>
      <c r="G55" s="94" t="str">
        <f>HYPERLINK("http://www.tascadaesquina.com","http://www.tascadaesquina.com")</f>
        <v>http://www.tascadaesquina.com</v>
      </c>
      <c r="H55" s="2"/>
      <c r="I55" s="2"/>
      <c r="J55" s="2"/>
      <c r="K55" s="2"/>
      <c r="L55" s="2"/>
      <c r="M55" s="2"/>
      <c r="N55" s="2"/>
      <c r="O55" s="2"/>
      <c r="P55" s="2"/>
      <c r="Q55" s="2"/>
      <c r="R55" s="2"/>
      <c r="S55" s="2"/>
      <c r="T55" s="2"/>
      <c r="U55" s="2"/>
      <c r="V55" s="2"/>
      <c r="W55" s="2"/>
      <c r="X55" s="2"/>
      <c r="Y55" s="2"/>
      <c r="Z55" s="2"/>
    </row>
    <row r="56" customHeight="1" spans="1:26">
      <c r="A56" s="64" t="s">
        <v>252</v>
      </c>
      <c r="B56" s="13" t="s">
        <v>7693</v>
      </c>
      <c r="C56" s="13" t="s">
        <v>236</v>
      </c>
      <c r="D56" s="65">
        <v>35</v>
      </c>
      <c r="E56" s="13" t="s">
        <v>37</v>
      </c>
      <c r="F56" s="68" t="str">
        <f>HYPERLINK("https://restaurants.accorhotels.com/imagerie/content/daniel-01-art_1024.jpg","https://restaurants.accorhotels.com/imagerie/content/daniel-01-art_1024.jpg")</f>
        <v>https://restaurants.accorhotels.com/imagerie/content/daniel-01-art_1024.jpg</v>
      </c>
      <c r="G56" s="68" t="str">
        <f>HYPERLINK("https://restaurants.accorhotels.com/pt/restaurant-1319_R001-ADLIB-LISBOA.shtml","https://restaurants.accorhotels.com/pt/restaurant-1319_R001-ADLIB-LISBOA.shtml")</f>
        <v>https://restaurants.accorhotels.com/pt/restaurant-1319_R001-ADLIB-LISBOA.shtml</v>
      </c>
      <c r="H56" s="2"/>
      <c r="I56" s="2"/>
      <c r="J56" s="2"/>
      <c r="K56" s="2"/>
      <c r="L56" s="2"/>
      <c r="M56" s="2"/>
      <c r="N56" s="2"/>
      <c r="O56" s="2"/>
      <c r="P56" s="2"/>
      <c r="Q56" s="2"/>
      <c r="R56" s="2"/>
      <c r="S56" s="2"/>
      <c r="T56" s="2"/>
      <c r="U56" s="2"/>
      <c r="V56" s="2"/>
      <c r="W56" s="2"/>
      <c r="X56" s="2"/>
      <c r="Y56" s="2"/>
      <c r="Z56" s="2"/>
    </row>
    <row r="57" customHeight="1" spans="1:26">
      <c r="A57" s="64" t="s">
        <v>256</v>
      </c>
      <c r="B57" s="13" t="s">
        <v>7694</v>
      </c>
      <c r="C57" s="13" t="s">
        <v>236</v>
      </c>
      <c r="D57" s="65">
        <v>40</v>
      </c>
      <c r="E57" s="13" t="s">
        <v>37</v>
      </c>
      <c r="F57" s="68" t="str">
        <f>HYPERLINK("http://www.sacramentodochiado.com/pt/wp-content/uploads/2013/06/sacramento.png","http://www.sacramentodochiado.com/pt/wp-content/uploads/2013/06/sacramento.png")</f>
        <v>http://www.sacramentodochiado.com/pt/wp-content/uploads/2013/06/sacramento.png</v>
      </c>
      <c r="G57" s="68" t="str">
        <f>HYPERLINK("http://www.sacramentodochiado.com/pt/","http://www.sacramentodochiado.com/pt/")</f>
        <v>http://www.sacramentodochiado.com/pt/</v>
      </c>
      <c r="H57" s="2"/>
      <c r="I57" s="2"/>
      <c r="J57" s="2"/>
      <c r="K57" s="2"/>
      <c r="L57" s="2"/>
      <c r="M57" s="2"/>
      <c r="N57" s="2"/>
      <c r="O57" s="2"/>
      <c r="P57" s="2"/>
      <c r="Q57" s="2"/>
      <c r="R57" s="2"/>
      <c r="S57" s="2"/>
      <c r="T57" s="2"/>
      <c r="U57" s="2"/>
      <c r="V57" s="2"/>
      <c r="W57" s="2"/>
      <c r="X57" s="2"/>
      <c r="Y57" s="2"/>
      <c r="Z57" s="2"/>
    </row>
    <row r="58" customHeight="1" spans="1:26">
      <c r="A58" s="64" t="s">
        <v>260</v>
      </c>
      <c r="B58" s="13" t="s">
        <v>261</v>
      </c>
      <c r="C58" s="13" t="s">
        <v>236</v>
      </c>
      <c r="D58" s="65">
        <v>8</v>
      </c>
      <c r="E58" s="13" t="s">
        <v>262</v>
      </c>
      <c r="F58" s="13" t="s">
        <v>263</v>
      </c>
      <c r="G58" s="68" t="str">
        <f>HYPERLINK("http://www.burgerking.pt","http://www.burgerking.pt")</f>
        <v>http://www.burgerking.pt</v>
      </c>
      <c r="H58" s="2"/>
      <c r="I58" s="2"/>
      <c r="J58" s="2"/>
      <c r="K58" s="2"/>
      <c r="L58" s="2"/>
      <c r="M58" s="2"/>
      <c r="N58" s="2"/>
      <c r="O58" s="2"/>
      <c r="P58" s="2"/>
      <c r="Q58" s="2"/>
      <c r="R58" s="2"/>
      <c r="S58" s="2"/>
      <c r="T58" s="2"/>
      <c r="U58" s="2"/>
      <c r="V58" s="2"/>
      <c r="W58" s="2"/>
      <c r="X58" s="2"/>
      <c r="Y58" s="2"/>
      <c r="Z58" s="2"/>
    </row>
    <row r="59" customHeight="1" spans="1:26">
      <c r="A59" s="64" t="s">
        <v>265</v>
      </c>
      <c r="B59" s="13" t="s">
        <v>7695</v>
      </c>
      <c r="C59" s="13" t="s">
        <v>236</v>
      </c>
      <c r="D59" s="65">
        <v>30</v>
      </c>
      <c r="E59" s="13" t="s">
        <v>37</v>
      </c>
      <c r="F59" s="68" t="str">
        <f>HYPERLINK("http://www.fornodoro.pt/images/fornodoro-logo-home.jpg","http://www.fornodoro.pt/images/fornodoro-logo-home.jpg")</f>
        <v>http://www.fornodoro.pt/images/fornodoro-logo-home.jpg</v>
      </c>
      <c r="G59" s="68" t="str">
        <f>HYPERLINK("http://www.fornodoro.pt","http://www.fornodoro.pt")</f>
        <v>http://www.fornodoro.pt</v>
      </c>
      <c r="H59" s="2"/>
      <c r="I59" s="2"/>
      <c r="J59" s="2"/>
      <c r="K59" s="2"/>
      <c r="L59" s="2"/>
      <c r="M59" s="2"/>
      <c r="N59" s="2"/>
      <c r="O59" s="2"/>
      <c r="P59" s="2"/>
      <c r="Q59" s="2"/>
      <c r="R59" s="2"/>
      <c r="S59" s="2"/>
      <c r="T59" s="2"/>
      <c r="U59" s="2"/>
      <c r="V59" s="2"/>
      <c r="W59" s="2"/>
      <c r="X59" s="2"/>
      <c r="Y59" s="2"/>
      <c r="Z59" s="2"/>
    </row>
    <row r="60" customHeight="1" spans="1:26">
      <c r="A60" s="64" t="s">
        <v>269</v>
      </c>
      <c r="B60" s="13" t="s">
        <v>270</v>
      </c>
      <c r="C60" s="13" t="s">
        <v>236</v>
      </c>
      <c r="D60" s="65">
        <v>35</v>
      </c>
      <c r="E60" s="13" t="s">
        <v>37</v>
      </c>
      <c r="F60" s="13" t="s">
        <v>271</v>
      </c>
      <c r="G60" s="68" t="str">
        <f>HYPERLINK("http://www.pizzahut.pt","http://www.pizzahut.pt")</f>
        <v>http://www.pizzahut.pt</v>
      </c>
      <c r="H60" s="2"/>
      <c r="I60" s="2"/>
      <c r="J60" s="2"/>
      <c r="K60" s="2"/>
      <c r="L60" s="2"/>
      <c r="M60" s="2"/>
      <c r="N60" s="2"/>
      <c r="O60" s="2"/>
      <c r="P60" s="2"/>
      <c r="Q60" s="2"/>
      <c r="R60" s="2"/>
      <c r="S60" s="2"/>
      <c r="T60" s="2"/>
      <c r="U60" s="2"/>
      <c r="V60" s="2"/>
      <c r="W60" s="2"/>
      <c r="X60" s="2"/>
      <c r="Y60" s="2"/>
      <c r="Z60" s="2"/>
    </row>
    <row r="61" customHeight="1" spans="1:26">
      <c r="A61" s="64" t="s">
        <v>273</v>
      </c>
      <c r="B61" s="13" t="s">
        <v>274</v>
      </c>
      <c r="C61" s="13" t="s">
        <v>236</v>
      </c>
      <c r="D61" s="65">
        <v>30</v>
      </c>
      <c r="E61" s="13" t="s">
        <v>32</v>
      </c>
      <c r="F61" s="13" t="s">
        <v>275</v>
      </c>
      <c r="G61" s="68" t="str">
        <f>HYPERLINK("https://www.mcdonalds.pt","https://www.mcdonalds.pt")</f>
        <v>https://www.mcdonalds.pt</v>
      </c>
      <c r="H61" s="2"/>
      <c r="I61" s="2"/>
      <c r="J61" s="2"/>
      <c r="K61" s="2"/>
      <c r="L61" s="2"/>
      <c r="M61" s="2"/>
      <c r="N61" s="2"/>
      <c r="O61" s="2"/>
      <c r="P61" s="2"/>
      <c r="Q61" s="2"/>
      <c r="R61" s="2"/>
      <c r="S61" s="2"/>
      <c r="T61" s="2"/>
      <c r="U61" s="2"/>
      <c r="V61" s="2"/>
      <c r="W61" s="2"/>
      <c r="X61" s="2"/>
      <c r="Y61" s="2"/>
      <c r="Z61" s="2"/>
    </row>
    <row r="62" ht="16.5" customHeight="1" spans="1:26">
      <c r="A62" s="64" t="s">
        <v>277</v>
      </c>
      <c r="B62" s="13" t="s">
        <v>7696</v>
      </c>
      <c r="C62" s="13" t="s">
        <v>236</v>
      </c>
      <c r="D62" s="65">
        <v>37</v>
      </c>
      <c r="E62" s="13" t="s">
        <v>37</v>
      </c>
      <c r="F62" s="68" t="str">
        <f>HYPERLINK("http://www.pizzarialisboa.pt/images/logo.png","http://www.pizzarialisboa.pt/images/logo.png")</f>
        <v>http://www.pizzarialisboa.pt/images/logo.png</v>
      </c>
      <c r="G62" s="68" t="str">
        <f>HYPERLINK("http://www.pizzarialisboa.pt/en/","http://www.pizzarialisboa.pt/en/")</f>
        <v>http://www.pizzarialisboa.pt/en/</v>
      </c>
      <c r="H62" s="2"/>
      <c r="I62" s="2"/>
      <c r="J62" s="2"/>
      <c r="K62" s="2"/>
      <c r="L62" s="2"/>
      <c r="M62" s="2"/>
      <c r="N62" s="2"/>
      <c r="O62" s="2"/>
      <c r="P62" s="2"/>
      <c r="Q62" s="2"/>
      <c r="R62" s="2"/>
      <c r="S62" s="2"/>
      <c r="T62" s="2"/>
      <c r="U62" s="2"/>
      <c r="V62" s="2"/>
      <c r="W62" s="2"/>
      <c r="X62" s="2"/>
      <c r="Y62" s="2"/>
      <c r="Z62" s="2"/>
    </row>
    <row r="63" customHeight="1" spans="1:26">
      <c r="A63" s="64" t="s">
        <v>281</v>
      </c>
      <c r="B63" s="13" t="s">
        <v>7697</v>
      </c>
      <c r="C63" s="13" t="s">
        <v>236</v>
      </c>
      <c r="D63" s="65">
        <v>40</v>
      </c>
      <c r="E63" s="13" t="s">
        <v>37</v>
      </c>
      <c r="F63" s="68" t="str">
        <f>HYPERLINK("http://madpizza.pt/assets/logo-madpizza-v2-392x125-6e77bda01b12543dcf58dc42e014adb5d9ae3545118604db312ef392cf4e308d.png","http://madpizza.pt/assets/logo-madpizza-v2-392x125-6e77bda01b12543dcf58dc42e014adb5d9ae3545118604db312ef392cf4e308d.png")</f>
        <v>http://madpizza.pt/assets/logo-madpizza-v2-392x125-6e77bda01b12543dcf58dc42e014adb5d9ae3545118604db312ef392cf4e308d.png</v>
      </c>
      <c r="G63" s="68" t="str">
        <f>HYPERLINK("http://madpizza.pt","http://madpizza.pt")</f>
        <v>http://madpizza.pt</v>
      </c>
      <c r="H63" s="2"/>
      <c r="I63" s="2"/>
      <c r="J63" s="2"/>
      <c r="K63" s="2"/>
      <c r="L63" s="2"/>
      <c r="M63" s="2"/>
      <c r="N63" s="2"/>
      <c r="O63" s="2"/>
      <c r="P63" s="2"/>
      <c r="Q63" s="2"/>
      <c r="R63" s="2"/>
      <c r="S63" s="2"/>
      <c r="T63" s="2"/>
      <c r="U63" s="2"/>
      <c r="V63" s="2"/>
      <c r="W63" s="2"/>
      <c r="X63" s="2"/>
      <c r="Y63" s="2"/>
      <c r="Z63" s="2"/>
    </row>
    <row r="64" customHeight="1" spans="1:26">
      <c r="A64" s="13" t="s">
        <v>285</v>
      </c>
      <c r="B64" s="13" t="s">
        <v>7661</v>
      </c>
      <c r="C64" s="13" t="s">
        <v>286</v>
      </c>
      <c r="D64" s="14">
        <v>35</v>
      </c>
      <c r="E64" s="13" t="s">
        <v>37</v>
      </c>
      <c r="F64" s="68" t="str">
        <f>HYPERLINK("http://www.portaldasfinancas.gov.pt/at/html/static/arrendamento.jpg","http://www.portaldasfinancas.gov.pt/at/html/static/arrendamento.jpg")</f>
        <v>http://www.portaldasfinancas.gov.pt/at/html/static/arrendamento.jpg</v>
      </c>
      <c r="G64" s="68" t="str">
        <f>HYPERLINK("http://www.portaldasfinancas.gov.pt/pt/home.action","http://www.portaldasfinancas.gov.pt/pt/home.action")</f>
        <v>http://www.portaldasfinancas.gov.pt/pt/home.action</v>
      </c>
      <c r="H64" s="2"/>
      <c r="I64" s="2"/>
      <c r="J64" s="2"/>
      <c r="K64" s="2"/>
      <c r="L64" s="2"/>
      <c r="M64" s="2"/>
      <c r="N64" s="2"/>
      <c r="O64" s="2"/>
      <c r="P64" s="2"/>
      <c r="Q64" s="2"/>
      <c r="R64" s="2"/>
      <c r="S64" s="2"/>
      <c r="T64" s="2"/>
      <c r="U64" s="2"/>
      <c r="V64" s="2"/>
      <c r="W64" s="2"/>
      <c r="X64" s="2"/>
      <c r="Y64" s="2"/>
      <c r="Z64" s="2"/>
    </row>
    <row r="65" customHeight="1" spans="1:26">
      <c r="A65" s="64" t="s">
        <v>288</v>
      </c>
      <c r="B65" s="13" t="s">
        <v>7698</v>
      </c>
      <c r="C65" s="13" t="s">
        <v>290</v>
      </c>
      <c r="D65" s="65">
        <v>300</v>
      </c>
      <c r="E65" s="13" t="s">
        <v>37</v>
      </c>
      <c r="F65" s="68" t="str">
        <f>HYPERLINK("https://www.financial.com/wp-content/uploads/2014/11/web_logo_v5.png","https://www.financial.com/wp-content/uploads/2014/11/web_logo_v5.png")</f>
        <v>https://www.financial.com/wp-content/uploads/2014/11/web_logo_v5.png</v>
      </c>
      <c r="G65" s="68" t="str">
        <f>HYPERLINK("https://www.finantia.com/homepage.aspx","https://www.finantia.com/homepage.aspx")</f>
        <v>https://www.finantia.com/homepage.aspx</v>
      </c>
      <c r="H65" s="2"/>
      <c r="I65" s="2"/>
      <c r="J65" s="2"/>
      <c r="K65" s="2"/>
      <c r="L65" s="2"/>
      <c r="M65" s="2"/>
      <c r="N65" s="2"/>
      <c r="O65" s="2"/>
      <c r="P65" s="2"/>
      <c r="Q65" s="2"/>
      <c r="R65" s="2"/>
      <c r="S65" s="2"/>
      <c r="T65" s="2"/>
      <c r="U65" s="2"/>
      <c r="V65" s="2"/>
      <c r="W65" s="2"/>
      <c r="X65" s="2"/>
      <c r="Y65" s="2"/>
      <c r="Z65" s="2"/>
    </row>
    <row r="66" customHeight="1" spans="1:26">
      <c r="A66" s="64" t="s">
        <v>293</v>
      </c>
      <c r="B66" s="13" t="s">
        <v>7699</v>
      </c>
      <c r="C66" s="13" t="s">
        <v>290</v>
      </c>
      <c r="D66" s="65">
        <v>35</v>
      </c>
      <c r="E66" s="13" t="s">
        <v>37</v>
      </c>
      <c r="F66" s="68" t="str">
        <f>HYPERLINK("http://content.bancobpi.pt/cs/idcplg?IdcService=GET_FILE&amp;dDocName=pr_wcs01_ucm01004323&amp;RevisionSelectionMethod=LatestReleased","http://content.bancobpi.pt/cs/idcplg?IdcService=GET_FILE&amp;dDocName=pr_wcs01_ucm01004323&amp;RevisionSelectionMethod=LatestReleased")</f>
        <v>http://content.bancobpi.pt/cs/idcplg?IdcService=GET_FILE&amp;dDocName=pr_wcs01_ucm01004323&amp;RevisionSelectionMethod=LatestReleased</v>
      </c>
      <c r="G66" s="68" t="str">
        <f>HYPERLINK("http://www.bancobpi.pt/empresas","http://www.bancobpi.pt/empresas")</f>
        <v>http://www.bancobpi.pt/empresas</v>
      </c>
      <c r="H66" s="2"/>
      <c r="I66" s="2"/>
      <c r="J66" s="2"/>
      <c r="K66" s="2"/>
      <c r="L66" s="2"/>
      <c r="M66" s="2"/>
      <c r="N66" s="2"/>
      <c r="O66" s="2"/>
      <c r="P66" s="2"/>
      <c r="Q66" s="2"/>
      <c r="R66" s="2"/>
      <c r="S66" s="2"/>
      <c r="T66" s="2"/>
      <c r="U66" s="2"/>
      <c r="V66" s="2"/>
      <c r="W66" s="2"/>
      <c r="X66" s="2"/>
      <c r="Y66" s="2"/>
      <c r="Z66" s="2"/>
    </row>
    <row r="67" customHeight="1" spans="1:26">
      <c r="A67" s="13" t="s">
        <v>297</v>
      </c>
      <c r="B67" s="13" t="s">
        <v>7700</v>
      </c>
      <c r="C67" s="13" t="s">
        <v>1807</v>
      </c>
      <c r="D67" s="14">
        <v>1000</v>
      </c>
      <c r="E67" s="13" t="s">
        <v>37</v>
      </c>
      <c r="F67" s="68" t="str">
        <f>HYPERLINK("https://portal.stjulians.com/files/parentportal/images/main-logo.png","https://portal.stjulians.com/files/parentportal/images/main-logo.png")</f>
        <v>https://portal.stjulians.com/files/parentportal/images/main-logo.png</v>
      </c>
      <c r="G67" s="68" t="str">
        <f>HYPERLINK("http://www.stjulians.com","http://www.stjulians.com")</f>
        <v>http://www.stjulians.com</v>
      </c>
      <c r="H67" s="2"/>
      <c r="I67" s="2"/>
      <c r="J67" s="2"/>
      <c r="K67" s="2"/>
      <c r="L67" s="2"/>
      <c r="M67" s="2"/>
      <c r="N67" s="2"/>
      <c r="O67" s="2"/>
      <c r="P67" s="2"/>
      <c r="Q67" s="2"/>
      <c r="R67" s="2"/>
      <c r="S67" s="2"/>
      <c r="T67" s="2"/>
      <c r="U67" s="2"/>
      <c r="V67" s="2"/>
      <c r="W67" s="2"/>
      <c r="X67" s="2"/>
      <c r="Y67" s="2"/>
      <c r="Z67" s="2"/>
    </row>
    <row r="68" customHeight="1" spans="1:26">
      <c r="A68" s="13" t="s">
        <v>302</v>
      </c>
      <c r="B68" s="13" t="s">
        <v>5222</v>
      </c>
      <c r="C68" s="13" t="s">
        <v>304</v>
      </c>
      <c r="D68" s="57"/>
      <c r="E68" s="57"/>
      <c r="F68" s="68" t="str">
        <f>HYPERLINK("https://www.msc.com/getattachment/d548938d-05f7-4f9a-9f55-c07c1cb0e779/636197535376906958","https://www.msc.com/getattachment/d548938d-05f7-4f9a-9f55-c07c1cb0e779/636197535376906958")</f>
        <v>https://www.msc.com/getattachment/d548938d-05f7-4f9a-9f55-c07c1cb0e779/636197535376906958</v>
      </c>
      <c r="G68" s="68" t="str">
        <f>HYPERLINK("https://www.msc.com/prt?lang=pt-br","https://www.msc.com/prt?lang=pt-br")</f>
        <v>https://www.msc.com/prt?lang=pt-br</v>
      </c>
      <c r="H68" s="2"/>
      <c r="I68" s="2"/>
      <c r="J68" s="2"/>
      <c r="K68" s="2"/>
      <c r="L68" s="2"/>
      <c r="M68" s="2"/>
      <c r="N68" s="2"/>
      <c r="O68" s="2"/>
      <c r="P68" s="2"/>
      <c r="Q68" s="2"/>
      <c r="R68" s="2"/>
      <c r="S68" s="2"/>
      <c r="T68" s="2"/>
      <c r="U68" s="2"/>
      <c r="V68" s="2"/>
      <c r="W68" s="2"/>
      <c r="X68" s="2"/>
      <c r="Y68" s="2"/>
      <c r="Z68" s="2"/>
    </row>
    <row r="69" customHeight="1" spans="1:26">
      <c r="A69" s="70" t="s">
        <v>307</v>
      </c>
      <c r="B69" s="63" t="s">
        <v>308</v>
      </c>
      <c r="C69" s="63" t="s">
        <v>309</v>
      </c>
      <c r="D69" s="71">
        <v>45</v>
      </c>
      <c r="E69" s="63" t="s">
        <v>310</v>
      </c>
      <c r="F69" s="63" t="s">
        <v>311</v>
      </c>
      <c r="G69" s="95" t="str">
        <f>HYPERLINK("http://www.accessorizeportugal.com","http://www.accessorizeportugal.com")</f>
        <v>http://www.accessorizeportugal.com</v>
      </c>
      <c r="H69" s="2"/>
      <c r="I69" s="2"/>
      <c r="J69" s="2"/>
      <c r="K69" s="2"/>
      <c r="L69" s="2"/>
      <c r="M69" s="2"/>
      <c r="N69" s="2"/>
      <c r="O69" s="2"/>
      <c r="P69" s="2"/>
      <c r="Q69" s="2"/>
      <c r="R69" s="2"/>
      <c r="S69" s="2"/>
      <c r="T69" s="2"/>
      <c r="U69" s="2"/>
      <c r="V69" s="2"/>
      <c r="W69" s="2"/>
      <c r="X69" s="2"/>
      <c r="Y69" s="2"/>
      <c r="Z69" s="2"/>
    </row>
    <row r="70" customHeight="1" spans="1:26">
      <c r="A70" s="13" t="s">
        <v>313</v>
      </c>
      <c r="B70" s="13" t="s">
        <v>314</v>
      </c>
      <c r="C70" s="13" t="s">
        <v>315</v>
      </c>
      <c r="D70" s="65">
        <v>90</v>
      </c>
      <c r="E70" s="13" t="s">
        <v>32</v>
      </c>
      <c r="F70" s="73" t="s">
        <v>316</v>
      </c>
      <c r="G70" s="68" t="str">
        <f>HYPERLINK("http://www.disneystore.pt","http://www.disneystore.pt")</f>
        <v>http://www.disneystore.pt</v>
      </c>
      <c r="H70" s="2"/>
      <c r="I70" s="2"/>
      <c r="J70" s="2"/>
      <c r="K70" s="2"/>
      <c r="L70" s="2"/>
      <c r="M70" s="2"/>
      <c r="N70" s="2"/>
      <c r="O70" s="2"/>
      <c r="P70" s="2"/>
      <c r="Q70" s="2"/>
      <c r="R70" s="2"/>
      <c r="S70" s="2"/>
      <c r="T70" s="2"/>
      <c r="U70" s="2"/>
      <c r="V70" s="2"/>
      <c r="W70" s="2"/>
      <c r="X70" s="2"/>
      <c r="Y70" s="2"/>
      <c r="Z70" s="2"/>
    </row>
    <row r="71" customHeight="1" spans="1:26">
      <c r="A71" s="13" t="s">
        <v>317</v>
      </c>
      <c r="B71" s="13" t="s">
        <v>7701</v>
      </c>
      <c r="C71" s="13" t="s">
        <v>319</v>
      </c>
      <c r="D71" s="65">
        <v>400</v>
      </c>
      <c r="E71" s="13" t="s">
        <v>245</v>
      </c>
      <c r="F71" s="68" t="str">
        <f>HYPERLINK("http://www.toysrus.com/images/tru_hdrLogo.gif","http://www.toysrus.com/images/tru_hdrLogo.gif")</f>
        <v>http://www.toysrus.com/images/tru_hdrLogo.gif</v>
      </c>
      <c r="G71" s="68" t="str">
        <f>HYPERLINK("http://www.toysrus.pt/home/index.jsp?categoryId=4599081","http://www.toysrus.pt/home/index.jsp?categoryId=4599081")</f>
        <v>http://www.toysrus.pt/home/index.jsp?categoryId=4599081</v>
      </c>
      <c r="H71" s="2"/>
      <c r="I71" s="2"/>
      <c r="J71" s="2"/>
      <c r="K71" s="2"/>
      <c r="L71" s="2"/>
      <c r="M71" s="2"/>
      <c r="N71" s="2"/>
      <c r="O71" s="2"/>
      <c r="P71" s="2"/>
      <c r="Q71" s="2"/>
      <c r="R71" s="2"/>
      <c r="S71" s="2"/>
      <c r="T71" s="2"/>
      <c r="U71" s="2"/>
      <c r="V71" s="2"/>
      <c r="W71" s="2"/>
      <c r="X71" s="2"/>
      <c r="Y71" s="2"/>
      <c r="Z71" s="2"/>
    </row>
    <row r="72" customHeight="1" spans="1:26">
      <c r="A72" s="64" t="s">
        <v>321</v>
      </c>
      <c r="B72" s="13" t="s">
        <v>7702</v>
      </c>
      <c r="C72" s="13" t="s">
        <v>315</v>
      </c>
      <c r="D72" s="65">
        <v>13</v>
      </c>
      <c r="E72" s="13" t="s">
        <v>262</v>
      </c>
      <c r="F72" s="68" t="str">
        <f>HYPERLINK("http://witspress.co.za/wp-content/uploads/2011/03/Large-Eurospanbookstore.com-logo-28cm-wide-300dpi.png","http://witspress.co.za/wp-content/uploads/2011/03/Large-Eurospanbookstore.com-logo-28cm-wide-300dpi.png")</f>
        <v>http://witspress.co.za/wp-content/uploads/2011/03/Large-Eurospanbookstore.com-logo-28cm-wide-300dpi.png</v>
      </c>
      <c r="G72" s="68" t="str">
        <f>HYPERLINK("https://www.eurospanbookstore.com","https://www.eurospanbookstore.com")</f>
        <v>https://www.eurospanbookstore.com</v>
      </c>
      <c r="H72" s="2"/>
      <c r="I72" s="2"/>
      <c r="J72" s="2"/>
      <c r="K72" s="2"/>
      <c r="L72" s="2"/>
      <c r="M72" s="2"/>
      <c r="N72" s="2"/>
      <c r="O72" s="2"/>
      <c r="P72" s="2"/>
      <c r="Q72" s="2"/>
      <c r="R72" s="2"/>
      <c r="S72" s="2"/>
      <c r="T72" s="2"/>
      <c r="U72" s="2"/>
      <c r="V72" s="2"/>
      <c r="W72" s="2"/>
      <c r="X72" s="2"/>
      <c r="Y72" s="2"/>
      <c r="Z72" s="2"/>
    </row>
    <row r="73" customHeight="1" spans="1:26">
      <c r="A73" s="13" t="s">
        <v>325</v>
      </c>
      <c r="B73" s="13" t="s">
        <v>7703</v>
      </c>
      <c r="C73" s="13" t="s">
        <v>327</v>
      </c>
      <c r="D73" s="14">
        <v>25</v>
      </c>
      <c r="E73" s="13" t="s">
        <v>310</v>
      </c>
      <c r="F73" s="68" t="str">
        <f>HYPERLINK("http://www.denegro.pt/imagens/uploads/7b0b1d08294ad4419184d9c2ece74fb1.jpg","http://www.denegro.pt/imagens/uploads/7b0b1d08294ad4419184d9c2ece74fb1.jpg")</f>
        <v>http://www.denegro.pt/imagens/uploads/7b0b1d08294ad4419184d9c2ece74fb1.jpg</v>
      </c>
      <c r="G73" s="68" t="str">
        <f>HYPERLINK("http://www.denegro.pt","http://www.denegro.pt")</f>
        <v>http://www.denegro.pt</v>
      </c>
      <c r="H73" s="2"/>
      <c r="I73" s="2"/>
      <c r="J73" s="2"/>
      <c r="K73" s="2"/>
      <c r="L73" s="2"/>
      <c r="M73" s="2"/>
      <c r="N73" s="2"/>
      <c r="O73" s="2"/>
      <c r="P73" s="2"/>
      <c r="Q73" s="2"/>
      <c r="R73" s="2"/>
      <c r="S73" s="2"/>
      <c r="T73" s="2"/>
      <c r="U73" s="2"/>
      <c r="V73" s="2"/>
      <c r="W73" s="2"/>
      <c r="X73" s="2"/>
      <c r="Y73" s="2"/>
      <c r="Z73" s="2"/>
    </row>
    <row r="74" customHeight="1" spans="1:26">
      <c r="A74" s="64" t="s">
        <v>330</v>
      </c>
      <c r="B74" s="13" t="s">
        <v>331</v>
      </c>
      <c r="C74" s="13" t="s">
        <v>315</v>
      </c>
      <c r="D74" s="65">
        <v>50</v>
      </c>
      <c r="E74" s="13" t="s">
        <v>37</v>
      </c>
      <c r="F74" s="13" t="s">
        <v>332</v>
      </c>
      <c r="G74" s="68" t="str">
        <f>HYPERLINK("http://www.topman.com/","www.topman.com")</f>
        <v>www.topman.com</v>
      </c>
      <c r="H74" s="2"/>
      <c r="I74" s="2"/>
      <c r="J74" s="2"/>
      <c r="K74" s="2"/>
      <c r="L74" s="2"/>
      <c r="M74" s="2"/>
      <c r="N74" s="2"/>
      <c r="O74" s="2"/>
      <c r="P74" s="2"/>
      <c r="Q74" s="2"/>
      <c r="R74" s="2"/>
      <c r="S74" s="2"/>
      <c r="T74" s="2"/>
      <c r="U74" s="2"/>
      <c r="V74" s="2"/>
      <c r="W74" s="2"/>
      <c r="X74" s="2"/>
      <c r="Y74" s="2"/>
      <c r="Z74" s="2"/>
    </row>
    <row r="75" customHeight="1" spans="1:26">
      <c r="A75" s="64" t="s">
        <v>334</v>
      </c>
      <c r="B75" s="13" t="s">
        <v>335</v>
      </c>
      <c r="C75" s="13" t="s">
        <v>315</v>
      </c>
      <c r="D75" s="65">
        <v>50</v>
      </c>
      <c r="E75" s="13" t="s">
        <v>37</v>
      </c>
      <c r="F75" s="13" t="s">
        <v>336</v>
      </c>
      <c r="G75" s="74" t="s">
        <v>2212</v>
      </c>
      <c r="H75" s="2"/>
      <c r="I75" s="2"/>
      <c r="J75" s="2"/>
      <c r="K75" s="2"/>
      <c r="L75" s="2"/>
      <c r="M75" s="2"/>
      <c r="N75" s="2"/>
      <c r="O75" s="2"/>
      <c r="P75" s="2"/>
      <c r="Q75" s="2"/>
      <c r="R75" s="2"/>
      <c r="S75" s="2"/>
      <c r="T75" s="2"/>
      <c r="U75" s="2"/>
      <c r="V75" s="2"/>
      <c r="W75" s="2"/>
      <c r="X75" s="2"/>
      <c r="Y75" s="2"/>
      <c r="Z75" s="2"/>
    </row>
    <row r="76" customHeight="1" spans="1:26">
      <c r="A76" s="64" t="s">
        <v>338</v>
      </c>
      <c r="B76" s="13" t="s">
        <v>339</v>
      </c>
      <c r="C76" s="13" t="s">
        <v>315</v>
      </c>
      <c r="D76" s="65">
        <v>125</v>
      </c>
      <c r="E76" s="13" t="s">
        <v>262</v>
      </c>
      <c r="F76" s="13" t="s">
        <v>340</v>
      </c>
      <c r="G76" s="13" t="s">
        <v>2213</v>
      </c>
      <c r="H76" s="2"/>
      <c r="I76" s="2"/>
      <c r="J76" s="2"/>
      <c r="K76" s="2"/>
      <c r="L76" s="2"/>
      <c r="M76" s="2"/>
      <c r="N76" s="2"/>
      <c r="O76" s="2"/>
      <c r="P76" s="2"/>
      <c r="Q76" s="2"/>
      <c r="R76" s="2"/>
      <c r="S76" s="2"/>
      <c r="T76" s="2"/>
      <c r="U76" s="2"/>
      <c r="V76" s="2"/>
      <c r="W76" s="2"/>
      <c r="X76" s="2"/>
      <c r="Y76" s="2"/>
      <c r="Z76" s="2"/>
    </row>
    <row r="77" customHeight="1" spans="1:26">
      <c r="A77" s="64" t="s">
        <v>342</v>
      </c>
      <c r="B77" s="13" t="s">
        <v>343</v>
      </c>
      <c r="C77" s="13" t="s">
        <v>315</v>
      </c>
      <c r="D77" s="65">
        <v>45</v>
      </c>
      <c r="E77" s="13" t="s">
        <v>262</v>
      </c>
      <c r="F77" s="13" t="s">
        <v>344</v>
      </c>
      <c r="G77" s="13" t="s">
        <v>2214</v>
      </c>
      <c r="H77" s="2"/>
      <c r="I77" s="2"/>
      <c r="J77" s="2"/>
      <c r="K77" s="2"/>
      <c r="L77" s="2"/>
      <c r="M77" s="2"/>
      <c r="N77" s="2"/>
      <c r="O77" s="2"/>
      <c r="P77" s="2"/>
      <c r="Q77" s="2"/>
      <c r="R77" s="2"/>
      <c r="S77" s="2"/>
      <c r="T77" s="2"/>
      <c r="U77" s="2"/>
      <c r="V77" s="2"/>
      <c r="W77" s="2"/>
      <c r="X77" s="2"/>
      <c r="Y77" s="2"/>
      <c r="Z77" s="2"/>
    </row>
    <row r="78" customHeight="1" spans="1:26">
      <c r="A78" s="64" t="s">
        <v>346</v>
      </c>
      <c r="B78" s="13" t="s">
        <v>347</v>
      </c>
      <c r="C78" s="13" t="s">
        <v>315</v>
      </c>
      <c r="D78" s="65">
        <v>55</v>
      </c>
      <c r="E78" s="13" t="s">
        <v>37</v>
      </c>
      <c r="F78" s="13" t="s">
        <v>348</v>
      </c>
      <c r="G78" s="96" t="str">
        <f>HYPERLINK("https://www.zara.com/pt/","https://www.zara.com/pt/")</f>
        <v>https://www.zara.com/pt/</v>
      </c>
      <c r="H78" s="2"/>
      <c r="I78" s="2"/>
      <c r="J78" s="2"/>
      <c r="K78" s="2"/>
      <c r="L78" s="2"/>
      <c r="M78" s="2"/>
      <c r="N78" s="2"/>
      <c r="O78" s="2"/>
      <c r="P78" s="2"/>
      <c r="Q78" s="2"/>
      <c r="R78" s="2"/>
      <c r="S78" s="2"/>
      <c r="T78" s="2"/>
      <c r="U78" s="2"/>
      <c r="V78" s="2"/>
      <c r="W78" s="2"/>
      <c r="X78" s="2"/>
      <c r="Y78" s="2"/>
      <c r="Z78" s="2"/>
    </row>
    <row r="79" customHeight="1" spans="1:26">
      <c r="A79" s="64" t="s">
        <v>350</v>
      </c>
      <c r="B79" s="13" t="s">
        <v>351</v>
      </c>
      <c r="C79" s="13" t="s">
        <v>315</v>
      </c>
      <c r="D79" s="65">
        <v>20</v>
      </c>
      <c r="E79" s="13" t="s">
        <v>262</v>
      </c>
      <c r="F79" s="13" t="s">
        <v>352</v>
      </c>
      <c r="G79" s="68" t="str">
        <f>HYPERLINK("https://www.thebodyshop.com/es-es/","https://www.thebodyshop.com/es-es/")</f>
        <v>https://www.thebodyshop.com/es-es/</v>
      </c>
      <c r="H79" s="2"/>
      <c r="I79" s="2"/>
      <c r="J79" s="2"/>
      <c r="K79" s="2"/>
      <c r="L79" s="2"/>
      <c r="M79" s="2"/>
      <c r="N79" s="2"/>
      <c r="O79" s="2"/>
      <c r="P79" s="2"/>
      <c r="Q79" s="2"/>
      <c r="R79" s="2"/>
      <c r="S79" s="2"/>
      <c r="T79" s="2"/>
      <c r="U79" s="2"/>
      <c r="V79" s="2"/>
      <c r="W79" s="2"/>
      <c r="X79" s="2"/>
      <c r="Y79" s="2"/>
      <c r="Z79" s="2"/>
    </row>
    <row r="80" customHeight="1" spans="1:26">
      <c r="A80" s="13" t="s">
        <v>354</v>
      </c>
      <c r="B80" s="13" t="s">
        <v>355</v>
      </c>
      <c r="C80" s="13" t="s">
        <v>356</v>
      </c>
      <c r="D80" s="65">
        <v>123</v>
      </c>
      <c r="E80" s="13" t="s">
        <v>310</v>
      </c>
      <c r="F80" s="13" t="s">
        <v>357</v>
      </c>
      <c r="G80" s="68" t="str">
        <f>HYPERLINK("http://www.maccosmetics.com","http://www.maccosmetics.com")</f>
        <v>http://www.maccosmetics.com</v>
      </c>
      <c r="H80" s="2"/>
      <c r="I80" s="2"/>
      <c r="J80" s="2"/>
      <c r="K80" s="2"/>
      <c r="L80" s="2"/>
      <c r="M80" s="2"/>
      <c r="N80" s="2"/>
      <c r="O80" s="2"/>
      <c r="P80" s="2"/>
      <c r="Q80" s="2"/>
      <c r="R80" s="2"/>
      <c r="S80" s="2"/>
      <c r="T80" s="2"/>
      <c r="U80" s="2"/>
      <c r="V80" s="2"/>
      <c r="W80" s="2"/>
      <c r="X80" s="2"/>
      <c r="Y80" s="2"/>
      <c r="Z80" s="2"/>
    </row>
    <row r="81" customHeight="1" spans="1:26">
      <c r="A81" s="13" t="s">
        <v>359</v>
      </c>
      <c r="B81" s="13" t="s">
        <v>1077</v>
      </c>
      <c r="C81" s="13" t="s">
        <v>361</v>
      </c>
      <c r="D81" s="65">
        <v>55</v>
      </c>
      <c r="E81" s="13" t="s">
        <v>310</v>
      </c>
      <c r="F81" s="68" t="str">
        <f>HYPERLINK("https://whippedgreengirl.com/wp-content/uploads/2015/09/lush-logo.png","https://whippedgreengirl.com/wp-content/uploads/2015/09/lush-logo.png")</f>
        <v>https://whippedgreengirl.com/wp-content/uploads/2015/09/lush-logo.png</v>
      </c>
      <c r="G81" s="68" t="str">
        <f>HYPERLINK("https://pt.lush.com/shop/lisboa","https://pt.lush.com/shop/lisboa")</f>
        <v>https://pt.lush.com/shop/lisboa</v>
      </c>
      <c r="H81" s="2"/>
      <c r="I81" s="2"/>
      <c r="J81" s="2"/>
      <c r="K81" s="2"/>
      <c r="L81" s="2"/>
      <c r="M81" s="2"/>
      <c r="N81" s="2"/>
      <c r="O81" s="2"/>
      <c r="P81" s="2"/>
      <c r="Q81" s="2"/>
      <c r="R81" s="2"/>
      <c r="S81" s="2"/>
      <c r="T81" s="2"/>
      <c r="U81" s="2"/>
      <c r="V81" s="2"/>
      <c r="W81" s="2"/>
      <c r="X81" s="2"/>
      <c r="Y81" s="2"/>
      <c r="Z81" s="2"/>
    </row>
    <row r="82" customHeight="1" spans="1:26">
      <c r="A82" s="64" t="s">
        <v>364</v>
      </c>
      <c r="B82" s="13" t="s">
        <v>7704</v>
      </c>
      <c r="C82" s="13" t="s">
        <v>366</v>
      </c>
      <c r="D82" s="65">
        <v>35</v>
      </c>
      <c r="E82" s="13" t="s">
        <v>262</v>
      </c>
      <c r="F82" s="68" t="str">
        <f>HYPERLINK("http://www.petdeception.org/sites/default/files/OLX_Logo.jpg","http://www.petdeception.org/sites/default/files/OLX_Logo.jpg")</f>
        <v>http://www.petdeception.org/sites/default/files/OLX_Logo.jpg</v>
      </c>
      <c r="G82" s="68" t="str">
        <f>HYPERLINK("https://www.olx.pt/ads/q-ebay/","https://www.olx.pt/ads/q-ebay/")</f>
        <v>https://www.olx.pt/ads/q-ebay/</v>
      </c>
      <c r="H82" s="2"/>
      <c r="I82" s="2"/>
      <c r="J82" s="2"/>
      <c r="K82" s="2"/>
      <c r="L82" s="2"/>
      <c r="M82" s="2"/>
      <c r="N82" s="2"/>
      <c r="O82" s="2"/>
      <c r="P82" s="2"/>
      <c r="Q82" s="2"/>
      <c r="R82" s="2"/>
      <c r="S82" s="2"/>
      <c r="T82" s="2"/>
      <c r="U82" s="2"/>
      <c r="V82" s="2"/>
      <c r="W82" s="2"/>
      <c r="X82" s="2"/>
      <c r="Y82" s="2"/>
      <c r="Z82" s="2"/>
    </row>
    <row r="83" customHeight="1" spans="1:26">
      <c r="A83" s="64" t="s">
        <v>368</v>
      </c>
      <c r="B83" s="13" t="s">
        <v>369</v>
      </c>
      <c r="C83" s="13" t="s">
        <v>366</v>
      </c>
      <c r="D83" s="65">
        <v>30</v>
      </c>
      <c r="E83" s="13" t="s">
        <v>262</v>
      </c>
      <c r="F83" s="13" t="s">
        <v>370</v>
      </c>
      <c r="G83" s="68" t="str">
        <f>HYPERLINK("https://www.amazon.es","https://www.amazon.es")</f>
        <v>https://www.amazon.es</v>
      </c>
      <c r="H83" s="2"/>
      <c r="I83" s="2"/>
      <c r="J83" s="2"/>
      <c r="K83" s="2"/>
      <c r="L83" s="2"/>
      <c r="M83" s="2"/>
      <c r="N83" s="2"/>
      <c r="O83" s="2"/>
      <c r="P83" s="2"/>
      <c r="Q83" s="2"/>
      <c r="R83" s="2"/>
      <c r="S83" s="2"/>
      <c r="T83" s="2"/>
      <c r="U83" s="2"/>
      <c r="V83" s="2"/>
      <c r="W83" s="2"/>
      <c r="X83" s="2"/>
      <c r="Y83" s="2"/>
      <c r="Z83" s="2"/>
    </row>
    <row r="84" customHeight="1" spans="1:26">
      <c r="A84" s="64" t="s">
        <v>371</v>
      </c>
      <c r="B84" s="13" t="s">
        <v>372</v>
      </c>
      <c r="C84" s="13" t="s">
        <v>373</v>
      </c>
      <c r="D84" s="65">
        <v>35</v>
      </c>
      <c r="E84" s="13" t="s">
        <v>37</v>
      </c>
      <c r="F84" s="13" t="s">
        <v>374</v>
      </c>
      <c r="G84" s="68" t="str">
        <f>HYPERLINK("http://www.nextdirect.com/pt/en","http://www.nextdirect.com/pt/en")</f>
        <v>http://www.nextdirect.com/pt/en</v>
      </c>
      <c r="H84" s="2"/>
      <c r="I84" s="2"/>
      <c r="J84" s="2"/>
      <c r="K84" s="2"/>
      <c r="L84" s="2"/>
      <c r="M84" s="2"/>
      <c r="N84" s="2"/>
      <c r="O84" s="2"/>
      <c r="P84" s="2"/>
      <c r="Q84" s="2"/>
      <c r="R84" s="2"/>
      <c r="S84" s="2"/>
      <c r="T84" s="2"/>
      <c r="U84" s="2"/>
      <c r="V84" s="2"/>
      <c r="W84" s="2"/>
      <c r="X84" s="2"/>
      <c r="Y84" s="2"/>
      <c r="Z84" s="2"/>
    </row>
    <row r="85" customHeight="1" spans="1:26">
      <c r="A85" s="64" t="s">
        <v>375</v>
      </c>
      <c r="B85" s="13" t="s">
        <v>7705</v>
      </c>
      <c r="C85" s="13" t="s">
        <v>373</v>
      </c>
      <c r="D85" s="65">
        <v>90</v>
      </c>
      <c r="E85" s="13" t="s">
        <v>37</v>
      </c>
      <c r="F85" s="13" t="s">
        <v>7706</v>
      </c>
      <c r="G85" s="68" t="str">
        <f>HYPERLINK("http://www.elcorteingles.pt","http://www.elcorteingles.pt")</f>
        <v>http://www.elcorteingles.pt</v>
      </c>
      <c r="H85" s="2"/>
      <c r="I85" s="2"/>
      <c r="J85" s="2"/>
      <c r="K85" s="2"/>
      <c r="L85" s="2"/>
      <c r="M85" s="2"/>
      <c r="N85" s="2"/>
      <c r="O85" s="2"/>
      <c r="P85" s="2"/>
      <c r="Q85" s="2"/>
      <c r="R85" s="2"/>
      <c r="S85" s="2"/>
      <c r="T85" s="2"/>
      <c r="U85" s="2"/>
      <c r="V85" s="2"/>
      <c r="W85" s="2"/>
      <c r="X85" s="2"/>
      <c r="Y85" s="2"/>
      <c r="Z85" s="2"/>
    </row>
    <row r="86" customHeight="1" spans="1:26">
      <c r="A86" s="64" t="s">
        <v>379</v>
      </c>
      <c r="B86" s="13" t="s">
        <v>7707</v>
      </c>
      <c r="C86" s="13" t="s">
        <v>373</v>
      </c>
      <c r="D86" s="65">
        <v>66</v>
      </c>
      <c r="E86" s="13" t="s">
        <v>21</v>
      </c>
      <c r="F86" s="68" t="str">
        <f>HYPERLINK("http://www.apcc.pt/folder/centro/logotipo/76_spacio.jpg","http://www.apcc.pt/folder/centro/logotipo/76_spacio.jpg")</f>
        <v>http://www.apcc.pt/folder/centro/logotipo/76_spacio.jpg</v>
      </c>
      <c r="G86" s="68" t="str">
        <f>HYPERLINK("http://www.spacioshopping.pt","http://www.spacioshopping.pt")</f>
        <v>http://www.spacioshopping.pt</v>
      </c>
      <c r="H86" s="2"/>
      <c r="I86" s="2"/>
      <c r="J86" s="2"/>
      <c r="K86" s="2"/>
      <c r="L86" s="2"/>
      <c r="M86" s="2"/>
      <c r="N86" s="2"/>
      <c r="O86" s="2"/>
      <c r="P86" s="2"/>
      <c r="Q86" s="2"/>
      <c r="R86" s="2"/>
      <c r="S86" s="2"/>
      <c r="T86" s="2"/>
      <c r="U86" s="2"/>
      <c r="V86" s="2"/>
      <c r="W86" s="2"/>
      <c r="X86" s="2"/>
      <c r="Y86" s="2"/>
      <c r="Z86" s="2"/>
    </row>
    <row r="87" customHeight="1" spans="1:26">
      <c r="A87" s="13" t="s">
        <v>383</v>
      </c>
      <c r="B87" s="13" t="s">
        <v>7708</v>
      </c>
      <c r="C87" s="13" t="s">
        <v>373</v>
      </c>
      <c r="D87" s="65">
        <v>150</v>
      </c>
      <c r="E87" s="13" t="s">
        <v>310</v>
      </c>
      <c r="F87" s="68" t="str">
        <f>HYPERLINK("https://www.askmelisboa.com/media/catalog/product/c/a/casafrasao.jpg","https://www.askmelisboa.com/media/catalog/product/c/a/casafrasao.jpg")</f>
        <v>https://www.askmelisboa.com/media/catalog/product/c/a/casafrasao.jpg</v>
      </c>
      <c r="G87" s="68" t="str">
        <f>HYPERLINK("http://casafrazao.pt/pt","http://casafrazao.pt/pt")</f>
        <v>http://casafrazao.pt/pt</v>
      </c>
      <c r="H87" s="2"/>
      <c r="I87" s="2"/>
      <c r="J87" s="2"/>
      <c r="K87" s="2"/>
      <c r="L87" s="2"/>
      <c r="M87" s="2"/>
      <c r="N87" s="2"/>
      <c r="O87" s="2"/>
      <c r="P87" s="2"/>
      <c r="Q87" s="2"/>
      <c r="R87" s="2"/>
      <c r="S87" s="2"/>
      <c r="T87" s="2"/>
      <c r="U87" s="2"/>
      <c r="V87" s="2"/>
      <c r="W87" s="2"/>
      <c r="X87" s="2"/>
      <c r="Y87" s="2"/>
      <c r="Z87" s="2"/>
    </row>
    <row r="88" customHeight="1" spans="1:26">
      <c r="A88" s="13" t="s">
        <v>387</v>
      </c>
      <c r="B88" s="13" t="s">
        <v>7709</v>
      </c>
      <c r="C88" s="13" t="s">
        <v>373</v>
      </c>
      <c r="D88" s="65">
        <v>76</v>
      </c>
      <c r="E88" s="13" t="s">
        <v>37</v>
      </c>
      <c r="F88" s="68" t="str">
        <f>HYPERLINK("https://media.licdn.com/mpr/mpr/shrink_200_200/AAEAAQAAAAAAAAj6AAAAJDZkOTFmYjA4LWQ2MTItNDE2Mi1iYmYzLWY4MjJjMTI3Y2RkYg.png","https://media.licdn.com/mpr/mpr/shrink_200_200/AAEAAQAAAAAAAAj6AAAAJDZkOTFmYjA4LWQ2MTItNDE2Mi1iYmYzLWY4MjJjMTI3Y2RkYg.png")</f>
        <v>https://media.licdn.com/mpr/mpr/shrink_200_200/AAEAAQAAAAAAAAj6AAAAJDZkOTFmYjA4LWQ2MTItNDE2Mi1iYmYzLWY4MjJjMTI3Y2RkYg.png</v>
      </c>
      <c r="G88" s="68" t="str">
        <f>HYPERLINK("https://pt.flyingtiger.com","https://pt.flyingtiger.com")</f>
        <v>https://pt.flyingtiger.com</v>
      </c>
      <c r="H88" s="2"/>
      <c r="I88" s="2"/>
      <c r="J88" s="2"/>
      <c r="K88" s="2"/>
      <c r="L88" s="2"/>
      <c r="M88" s="2"/>
      <c r="N88" s="2"/>
      <c r="O88" s="2"/>
      <c r="P88" s="2"/>
      <c r="Q88" s="2"/>
      <c r="R88" s="2"/>
      <c r="S88" s="2"/>
      <c r="T88" s="2"/>
      <c r="U88" s="2"/>
      <c r="V88" s="2"/>
      <c r="W88" s="2"/>
      <c r="X88" s="2"/>
      <c r="Y88" s="2"/>
      <c r="Z88" s="2"/>
    </row>
    <row r="89" customHeight="1" spans="1:26">
      <c r="A89" s="13" t="s">
        <v>391</v>
      </c>
      <c r="B89" s="13" t="s">
        <v>392</v>
      </c>
      <c r="C89" s="13" t="s">
        <v>393</v>
      </c>
      <c r="D89" s="14">
        <v>3500</v>
      </c>
      <c r="E89" s="13" t="s">
        <v>21</v>
      </c>
      <c r="F89" s="13" t="s">
        <v>394</v>
      </c>
      <c r="G89" s="68" t="str">
        <f>HYPERLINK("http://www.chanel.com","http://www.chanel.com")</f>
        <v>http://www.chanel.com</v>
      </c>
      <c r="H89" s="2"/>
      <c r="I89" s="2"/>
      <c r="J89" s="2"/>
      <c r="K89" s="2"/>
      <c r="L89" s="2"/>
      <c r="M89" s="2"/>
      <c r="N89" s="2"/>
      <c r="O89" s="2"/>
      <c r="P89" s="2"/>
      <c r="Q89" s="2"/>
      <c r="R89" s="2"/>
      <c r="S89" s="2"/>
      <c r="T89" s="2"/>
      <c r="U89" s="2"/>
      <c r="V89" s="2"/>
      <c r="W89" s="2"/>
      <c r="X89" s="2"/>
      <c r="Y89" s="2"/>
      <c r="Z89" s="2"/>
    </row>
    <row r="90" customHeight="1" spans="1:26">
      <c r="A90" s="13" t="s">
        <v>395</v>
      </c>
      <c r="B90" s="13" t="s">
        <v>396</v>
      </c>
      <c r="C90" s="13" t="s">
        <v>393</v>
      </c>
      <c r="D90" s="14">
        <v>1230</v>
      </c>
      <c r="E90" s="13" t="s">
        <v>21</v>
      </c>
      <c r="F90" s="13" t="s">
        <v>397</v>
      </c>
      <c r="G90" s="13" t="s">
        <v>398</v>
      </c>
      <c r="H90" s="2"/>
      <c r="I90" s="2"/>
      <c r="J90" s="2"/>
      <c r="K90" s="2"/>
      <c r="L90" s="2"/>
      <c r="M90" s="2"/>
      <c r="N90" s="2"/>
      <c r="O90" s="2"/>
      <c r="P90" s="2"/>
      <c r="Q90" s="2"/>
      <c r="R90" s="2"/>
      <c r="S90" s="2"/>
      <c r="T90" s="2"/>
      <c r="U90" s="2"/>
      <c r="V90" s="2"/>
      <c r="W90" s="2"/>
      <c r="X90" s="2"/>
      <c r="Y90" s="2"/>
      <c r="Z90" s="2"/>
    </row>
    <row r="91" customHeight="1" spans="1:26">
      <c r="A91" s="13" t="s">
        <v>399</v>
      </c>
      <c r="B91" s="13" t="s">
        <v>7710</v>
      </c>
      <c r="C91" s="13" t="s">
        <v>224</v>
      </c>
      <c r="D91" s="65">
        <v>130</v>
      </c>
      <c r="E91" s="13" t="s">
        <v>262</v>
      </c>
      <c r="F91" s="13" t="s">
        <v>7711</v>
      </c>
      <c r="G91" s="68" t="str">
        <f>HYPERLINK("https://mauser.pt","https://mauser.pt")</f>
        <v>https://mauser.pt</v>
      </c>
      <c r="H91" s="2"/>
      <c r="I91" s="2"/>
      <c r="J91" s="2"/>
      <c r="K91" s="2"/>
      <c r="L91" s="2"/>
      <c r="M91" s="2"/>
      <c r="N91" s="2"/>
      <c r="O91" s="2"/>
      <c r="P91" s="2"/>
      <c r="Q91" s="2"/>
      <c r="R91" s="2"/>
      <c r="S91" s="2"/>
      <c r="T91" s="2"/>
      <c r="U91" s="2"/>
      <c r="V91" s="2"/>
      <c r="W91" s="2"/>
      <c r="X91" s="2"/>
      <c r="Y91" s="2"/>
      <c r="Z91" s="2"/>
    </row>
    <row r="92" customHeight="1" spans="1:26">
      <c r="A92" s="13" t="s">
        <v>403</v>
      </c>
      <c r="B92" s="13" t="s">
        <v>7712</v>
      </c>
      <c r="C92" s="13" t="s">
        <v>229</v>
      </c>
      <c r="D92" s="65">
        <v>500</v>
      </c>
      <c r="E92" s="13" t="s">
        <v>21</v>
      </c>
      <c r="F92" s="68" t="str">
        <f>HYPERLINK("http://media.portaldaqueixa.com/l/b85653e8133500845cfa10e7abda1a84.jpg","http://media.portaldaqueixa.com/l/b85653e8133500845cfa10e7abda1a84.jpg")</f>
        <v>http://media.portaldaqueixa.com/l/b85653e8133500845cfa10e7abda1a84.jpg</v>
      </c>
      <c r="G92" s="68" t="str">
        <f>HYPERLINK("https://www.worten.pt","https://www.worten.pt")</f>
        <v>https://www.worten.pt</v>
      </c>
      <c r="H92" s="2"/>
      <c r="I92" s="2"/>
      <c r="J92" s="2"/>
      <c r="K92" s="2"/>
      <c r="L92" s="2"/>
      <c r="M92" s="2"/>
      <c r="N92" s="2"/>
      <c r="O92" s="2"/>
      <c r="P92" s="2"/>
      <c r="Q92" s="2"/>
      <c r="R92" s="2"/>
      <c r="S92" s="2"/>
      <c r="T92" s="2"/>
      <c r="U92" s="2"/>
      <c r="V92" s="2"/>
      <c r="W92" s="2"/>
      <c r="X92" s="2"/>
      <c r="Y92" s="2"/>
      <c r="Z92" s="2"/>
    </row>
    <row r="93" customHeight="1" spans="1:26">
      <c r="A93" s="13" t="s">
        <v>407</v>
      </c>
      <c r="B93" s="13" t="s">
        <v>1103</v>
      </c>
      <c r="C93" s="13" t="s">
        <v>229</v>
      </c>
      <c r="D93" s="65">
        <v>350</v>
      </c>
      <c r="E93" s="13" t="s">
        <v>21</v>
      </c>
      <c r="F93" s="13" t="s">
        <v>1104</v>
      </c>
      <c r="G93" s="68" t="str">
        <f>HYPERLINK("https://www.euronics.pt/pt/","https://www.euronics.pt/pt/")</f>
        <v>https://www.euronics.pt/pt/</v>
      </c>
      <c r="H93" s="2"/>
      <c r="I93" s="2"/>
      <c r="J93" s="2"/>
      <c r="K93" s="2"/>
      <c r="L93" s="2"/>
      <c r="M93" s="2"/>
      <c r="N93" s="2"/>
      <c r="O93" s="2"/>
      <c r="P93" s="2"/>
      <c r="Q93" s="2"/>
      <c r="R93" s="2"/>
      <c r="S93" s="2"/>
      <c r="T93" s="2"/>
      <c r="U93" s="2"/>
      <c r="V93" s="2"/>
      <c r="W93" s="2"/>
      <c r="X93" s="2"/>
      <c r="Y93" s="2"/>
      <c r="Z93" s="2"/>
    </row>
    <row r="94" customHeight="1" spans="1:26">
      <c r="A94" s="13" t="s">
        <v>411</v>
      </c>
      <c r="B94" s="13" t="s">
        <v>2239</v>
      </c>
      <c r="C94" s="13" t="s">
        <v>413</v>
      </c>
      <c r="D94" s="14">
        <v>50</v>
      </c>
      <c r="E94" s="13" t="s">
        <v>310</v>
      </c>
      <c r="F94" s="13" t="s">
        <v>2240</v>
      </c>
      <c r="G94" s="68" t="str">
        <f>HYPERLINK("https://www.interflora.pt","https://www.interflora.pt")</f>
        <v>https://www.interflora.pt</v>
      </c>
      <c r="H94" s="2"/>
      <c r="I94" s="2"/>
      <c r="J94" s="2"/>
      <c r="K94" s="2"/>
      <c r="L94" s="2"/>
      <c r="M94" s="2"/>
      <c r="N94" s="2"/>
      <c r="O94" s="2"/>
      <c r="P94" s="2"/>
      <c r="Q94" s="2"/>
      <c r="R94" s="2"/>
      <c r="S94" s="2"/>
      <c r="T94" s="2"/>
      <c r="U94" s="2"/>
      <c r="V94" s="2"/>
      <c r="W94" s="2"/>
      <c r="X94" s="2"/>
      <c r="Y94" s="2"/>
      <c r="Z94" s="2"/>
    </row>
    <row r="95" customHeight="1" spans="1:26">
      <c r="A95" s="13" t="s">
        <v>416</v>
      </c>
      <c r="B95" s="13" t="s">
        <v>7713</v>
      </c>
      <c r="C95" s="13" t="s">
        <v>418</v>
      </c>
      <c r="D95" s="14">
        <v>35</v>
      </c>
      <c r="E95" s="13" t="s">
        <v>310</v>
      </c>
      <c r="F95" s="68" t="str">
        <f>HYPERLINK("https://s3-media3.fl.yelpcdn.com/bphoto/MoUQJVabDdTY_wPDY12tcQ/258s.jpg","https://s3-media3.fl.yelpcdn.com/bphoto/MoUQJVabDdTY_wPDY12tcQ/258s.jpg")</f>
        <v>https://s3-media3.fl.yelpcdn.com/bphoto/MoUQJVabDdTY_wPDY12tcQ/258s.jpg</v>
      </c>
      <c r="G95" s="68" t="str">
        <f>HYPERLINK("http://www.bairroarte.com","http://www.bairroarte.com")</f>
        <v>http://www.bairroarte.com</v>
      </c>
      <c r="H95" s="2"/>
      <c r="I95" s="2"/>
      <c r="J95" s="2"/>
      <c r="K95" s="2"/>
      <c r="L95" s="2"/>
      <c r="M95" s="2"/>
      <c r="N95" s="2"/>
      <c r="O95" s="2"/>
      <c r="P95" s="2"/>
      <c r="Q95" s="2"/>
      <c r="R95" s="2"/>
      <c r="S95" s="2"/>
      <c r="T95" s="2"/>
      <c r="U95" s="2"/>
      <c r="V95" s="2"/>
      <c r="W95" s="2"/>
      <c r="X95" s="2"/>
      <c r="Y95" s="2"/>
      <c r="Z95" s="2"/>
    </row>
    <row r="96" customHeight="1" spans="1:26">
      <c r="A96" s="13" t="s">
        <v>421</v>
      </c>
      <c r="B96" s="13" t="s">
        <v>7714</v>
      </c>
      <c r="C96" s="13" t="s">
        <v>423</v>
      </c>
      <c r="D96" s="14">
        <v>67</v>
      </c>
      <c r="E96" s="13" t="s">
        <v>310</v>
      </c>
      <c r="F96" s="68" t="str">
        <f>HYPERLINK("https://thetomatos.com/wp-content/uploads/2016/11/black-hammer-clipart.png","https://thetomatos.com/wp-content/uploads/2016/11/black-hammer-clipart.png")</f>
        <v>https://thetomatos.com/wp-content/uploads/2016/11/black-hammer-clipart.png</v>
      </c>
      <c r="G96" s="68" t="str">
        <f>HYPERLINK("http://www.viuva.com","http://www.viuva.com")</f>
        <v>http://www.viuva.com</v>
      </c>
      <c r="H96" s="2"/>
      <c r="I96" s="2"/>
      <c r="J96" s="2"/>
      <c r="K96" s="2"/>
      <c r="L96" s="2"/>
      <c r="M96" s="2"/>
      <c r="N96" s="2"/>
      <c r="O96" s="2"/>
      <c r="P96" s="2"/>
      <c r="Q96" s="2"/>
      <c r="R96" s="2"/>
      <c r="S96" s="2"/>
      <c r="T96" s="2"/>
      <c r="U96" s="2"/>
      <c r="V96" s="2"/>
      <c r="W96" s="2"/>
      <c r="X96" s="2"/>
      <c r="Y96" s="2"/>
      <c r="Z96" s="2"/>
    </row>
    <row r="97" customHeight="1" spans="1:26">
      <c r="A97" s="13" t="s">
        <v>426</v>
      </c>
      <c r="B97" s="13" t="s">
        <v>4381</v>
      </c>
      <c r="C97" s="13" t="s">
        <v>428</v>
      </c>
      <c r="D97" s="65">
        <v>13</v>
      </c>
      <c r="E97" s="13" t="s">
        <v>262</v>
      </c>
      <c r="F97" s="68" t="str">
        <f>HYPERLINK("http://www.kare24.pl/microsite_picture_picture/full_size/8bb2e94d6ad9ab6337c3744ff68006ba.jpg","http://www.kare24.pl/microsite_picture_picture/full_size/8bb2e94d6ad9ab6337c3744ff68006ba.jpg")</f>
        <v>http://www.kare24.pl/microsite_picture_picture/full_size/8bb2e94d6ad9ab6337c3744ff68006ba.jpg</v>
      </c>
      <c r="G97" s="68" t="str">
        <f>HYPERLINK("https://www.kare-design.com/pt/pt/","https://www.kare-design.com/pt/pt/")</f>
        <v>https://www.kare-design.com/pt/pt/</v>
      </c>
      <c r="H97" s="2"/>
      <c r="I97" s="2"/>
      <c r="J97" s="2"/>
      <c r="K97" s="2"/>
      <c r="L97" s="2"/>
      <c r="M97" s="2"/>
      <c r="N97" s="2"/>
      <c r="O97" s="2"/>
      <c r="P97" s="2"/>
      <c r="Q97" s="2"/>
      <c r="R97" s="2"/>
      <c r="S97" s="2"/>
      <c r="T97" s="2"/>
      <c r="U97" s="2"/>
      <c r="V97" s="2"/>
      <c r="W97" s="2"/>
      <c r="X97" s="2"/>
      <c r="Y97" s="2"/>
      <c r="Z97" s="2"/>
    </row>
    <row r="98" customHeight="1" spans="1:26">
      <c r="A98" s="13" t="s">
        <v>431</v>
      </c>
      <c r="B98" s="13" t="s">
        <v>7715</v>
      </c>
      <c r="C98" s="13" t="s">
        <v>428</v>
      </c>
      <c r="D98" s="65">
        <v>879</v>
      </c>
      <c r="E98" s="13" t="s">
        <v>21</v>
      </c>
      <c r="F98" s="68" t="str">
        <f>HYPERLINK("https://i1.wp.com/janelaurbana.com/wp-content/uploads/2012/02/mobler.gif?resize=570%2C381","https://i1.wp.com/janelaurbana.com/wp-content/uploads/2012/02/mobler.gif?resize=570%2C381")</f>
        <v>https://i1.wp.com/janelaurbana.com/wp-content/uploads/2012/02/mobler.gif?resize=570%2C381</v>
      </c>
      <c r="G98" s="68" t="str">
        <f>HYPERLINK("http://www.moblerstore.com","http://www.moblerstore.com")</f>
        <v>http://www.moblerstore.com</v>
      </c>
      <c r="H98" s="2"/>
      <c r="I98" s="2"/>
      <c r="J98" s="2"/>
      <c r="K98" s="2"/>
      <c r="L98" s="2"/>
      <c r="M98" s="2"/>
      <c r="N98" s="2"/>
      <c r="O98" s="2"/>
      <c r="P98" s="2"/>
      <c r="Q98" s="2"/>
      <c r="R98" s="2"/>
      <c r="S98" s="2"/>
      <c r="T98" s="2"/>
      <c r="U98" s="2"/>
      <c r="V98" s="2"/>
      <c r="W98" s="2"/>
      <c r="X98" s="2"/>
      <c r="Y98" s="2"/>
      <c r="Z98" s="2"/>
    </row>
    <row r="99" customHeight="1" spans="1:26">
      <c r="A99" s="13" t="s">
        <v>435</v>
      </c>
      <c r="B99" s="13" t="s">
        <v>7716</v>
      </c>
      <c r="C99" s="13" t="s">
        <v>428</v>
      </c>
      <c r="D99" s="14">
        <v>1000</v>
      </c>
      <c r="E99" s="13" t="s">
        <v>21</v>
      </c>
      <c r="F99" s="68" t="str">
        <f>HYPERLINK("https://cdn.shopify.com/s/files/1/0267/2643/t/2/assets/logo.png?2134381764412913290","https://cdn.shopify.com/s/files/1/0267/2643/t/2/assets/logo.png?2134381764412913290")</f>
        <v>https://cdn.shopify.com/s/files/1/0267/2643/t/2/assets/logo.png?2134381764412913290</v>
      </c>
      <c r="G99" s="68" t="str">
        <f>HYPERLINK("https://www.atelierautentico.pt","https://www.atelierautentico.pt")</f>
        <v>https://www.atelierautentico.pt</v>
      </c>
      <c r="H99" s="2"/>
      <c r="I99" s="2"/>
      <c r="J99" s="2"/>
      <c r="K99" s="2"/>
      <c r="L99" s="2"/>
      <c r="M99" s="2"/>
      <c r="N99" s="2"/>
      <c r="O99" s="2"/>
      <c r="P99" s="2"/>
      <c r="Q99" s="2"/>
      <c r="R99" s="2"/>
      <c r="S99" s="2"/>
      <c r="T99" s="2"/>
      <c r="U99" s="2"/>
      <c r="V99" s="2"/>
      <c r="W99" s="2"/>
      <c r="X99" s="2"/>
      <c r="Y99" s="2"/>
      <c r="Z99" s="2"/>
    </row>
    <row r="100" customHeight="1" spans="1:26">
      <c r="A100" s="64" t="s">
        <v>439</v>
      </c>
      <c r="B100" s="13" t="s">
        <v>7717</v>
      </c>
      <c r="C100" s="13" t="s">
        <v>315</v>
      </c>
      <c r="D100" s="65">
        <v>15</v>
      </c>
      <c r="E100" s="13" t="s">
        <v>37</v>
      </c>
      <c r="F100" s="68" t="str">
        <f>HYPERLINK("http://media.portaldaqueixa.com/l/27d872b4ae732ce93839a0c7cefe99b3.jpg","http://media.portaldaqueixa.com/l/27d872b4ae732ce93839a0c7cefe99b3.jpg")</f>
        <v>http://media.portaldaqueixa.com/l/27d872b4ae732ce93839a0c7cefe99b3.jpg</v>
      </c>
      <c r="G100" s="68" t="str">
        <f>HYPERLINK("https://www.ale-hop.pt","https://www.ale-hop.pt")</f>
        <v>https://www.ale-hop.pt</v>
      </c>
      <c r="H100" s="2"/>
      <c r="I100" s="2"/>
      <c r="J100" s="2"/>
      <c r="K100" s="2"/>
      <c r="L100" s="2"/>
      <c r="M100" s="2"/>
      <c r="N100" s="2"/>
      <c r="O100" s="2"/>
      <c r="P100" s="2"/>
      <c r="Q100" s="2"/>
      <c r="R100" s="2"/>
      <c r="S100" s="2"/>
      <c r="T100" s="2"/>
      <c r="U100" s="2"/>
      <c r="V100" s="2"/>
      <c r="W100" s="2"/>
      <c r="X100" s="2"/>
      <c r="Y100" s="2"/>
      <c r="Z100" s="2"/>
    </row>
    <row r="101" customHeight="1" spans="1:26">
      <c r="A101" s="13" t="s">
        <v>443</v>
      </c>
      <c r="B101" s="13" t="s">
        <v>7718</v>
      </c>
      <c r="C101" s="13" t="s">
        <v>445</v>
      </c>
      <c r="D101" s="14">
        <v>188</v>
      </c>
      <c r="E101" s="13" t="s">
        <v>310</v>
      </c>
      <c r="F101" s="68" t="str">
        <f>HYPERLINK("http://www.torres.pt/wp-content/uploads/2017/01/pol%C3%ADtica-de-privacidade-torres-joalheiros.jpg","http://www.torres.pt/wp-content/uploads/2017/01/pol%C3%ADtica-de-privacidade-torres-joalheiros.jpg")</f>
        <v>http://www.torres.pt/wp-content/uploads/2017/01/pol%C3%ADtica-de-privacidade-torres-joalheiros.jpg</v>
      </c>
      <c r="G101" s="68" t="str">
        <f>HYPERLINK("http://www.torres.pt","http://www.torres.pt")</f>
        <v>http://www.torres.pt</v>
      </c>
      <c r="H101" s="2"/>
      <c r="I101" s="2"/>
      <c r="J101" s="2"/>
      <c r="K101" s="2"/>
      <c r="L101" s="2"/>
      <c r="M101" s="2"/>
      <c r="N101" s="2"/>
      <c r="O101" s="2"/>
      <c r="P101" s="2"/>
      <c r="Q101" s="2"/>
      <c r="R101" s="2"/>
      <c r="S101" s="2"/>
      <c r="T101" s="2"/>
      <c r="U101" s="2"/>
      <c r="V101" s="2"/>
      <c r="W101" s="2"/>
      <c r="X101" s="2"/>
      <c r="Y101" s="2"/>
      <c r="Z101" s="2"/>
    </row>
    <row r="102" customHeight="1" spans="1:26">
      <c r="A102" s="13" t="s">
        <v>448</v>
      </c>
      <c r="B102" s="13" t="s">
        <v>7719</v>
      </c>
      <c r="C102" s="13" t="s">
        <v>450</v>
      </c>
      <c r="D102" s="65">
        <v>95</v>
      </c>
      <c r="E102" s="13" t="s">
        <v>310</v>
      </c>
      <c r="F102" s="68" t="str">
        <f>HYPERLINK("https://s3-media2.fl.yelpcdn.com/bphoto/ECHFUqP37RCGvfQ5S8phlw/ls.jpg","https://s3-media2.fl.yelpcdn.com/bphoto/ECHFUqP37RCGvfQ5S8phlw/ls.jpg")</f>
        <v>https://s3-media2.fl.yelpcdn.com/bphoto/ECHFUqP37RCGvfQ5S8phlw/ls.jpg</v>
      </c>
      <c r="G102" s="68" t="str">
        <f>HYPERLINK("http://kidtokidexpo.business.site","http://kidtokidexpo.business.site")</f>
        <v>http://kidtokidexpo.business.site</v>
      </c>
      <c r="H102" s="2"/>
      <c r="I102" s="2"/>
      <c r="J102" s="2"/>
      <c r="K102" s="2"/>
      <c r="L102" s="2"/>
      <c r="M102" s="2"/>
      <c r="N102" s="2"/>
      <c r="O102" s="2"/>
      <c r="P102" s="2"/>
      <c r="Q102" s="2"/>
      <c r="R102" s="2"/>
      <c r="S102" s="2"/>
      <c r="T102" s="2"/>
      <c r="U102" s="2"/>
      <c r="V102" s="2"/>
      <c r="W102" s="2"/>
      <c r="X102" s="2"/>
      <c r="Y102" s="2"/>
      <c r="Z102" s="2"/>
    </row>
    <row r="103" customHeight="1" spans="1:26">
      <c r="A103" s="13" t="s">
        <v>452</v>
      </c>
      <c r="B103" s="13" t="s">
        <v>314</v>
      </c>
      <c r="C103" s="13" t="s">
        <v>450</v>
      </c>
      <c r="D103" s="65">
        <v>89</v>
      </c>
      <c r="E103" s="13" t="s">
        <v>310</v>
      </c>
      <c r="F103" s="13" t="s">
        <v>1132</v>
      </c>
      <c r="G103" s="68" t="str">
        <f>HYPERLINK("http://www.disneystore.pt","http://www.disneystore.pt")</f>
        <v>http://www.disneystore.pt</v>
      </c>
      <c r="H103" s="2"/>
      <c r="I103" s="2"/>
      <c r="J103" s="2"/>
      <c r="K103" s="2"/>
      <c r="L103" s="2"/>
      <c r="M103" s="2"/>
      <c r="N103" s="2"/>
      <c r="O103" s="2"/>
      <c r="P103" s="2"/>
      <c r="Q103" s="2"/>
      <c r="R103" s="2"/>
      <c r="S103" s="2"/>
      <c r="T103" s="2"/>
      <c r="U103" s="2"/>
      <c r="V103" s="2"/>
      <c r="W103" s="2"/>
      <c r="X103" s="2"/>
      <c r="Y103" s="2"/>
      <c r="Z103" s="2"/>
    </row>
    <row r="104" customHeight="1" spans="1:26">
      <c r="A104" s="13" t="s">
        <v>455</v>
      </c>
      <c r="B104" s="13" t="s">
        <v>7720</v>
      </c>
      <c r="C104" s="13" t="s">
        <v>457</v>
      </c>
      <c r="D104" s="14">
        <v>400</v>
      </c>
      <c r="E104" s="13" t="s">
        <v>21</v>
      </c>
      <c r="F104" s="68" t="str">
        <f>HYPERLINK("http://www.designyourway.net/diverse/awlogoeu/Gillamp.jpg","http://www.designyourway.net/diverse/awlogoeu/Gillamp.jpg")</f>
        <v>http://www.designyourway.net/diverse/awlogoeu/Gillamp.jpg</v>
      </c>
      <c r="G104" s="68" t="str">
        <f>HYPERLINK("http://www.gillamp.pt","http://www.gillamp.pt")</f>
        <v>http://www.gillamp.pt</v>
      </c>
      <c r="H104" s="2"/>
      <c r="I104" s="2"/>
      <c r="J104" s="2"/>
      <c r="K104" s="2"/>
      <c r="L104" s="2"/>
      <c r="M104" s="2"/>
      <c r="N104" s="2"/>
      <c r="O104" s="2"/>
      <c r="P104" s="2"/>
      <c r="Q104" s="2"/>
      <c r="R104" s="2"/>
      <c r="S104" s="2"/>
      <c r="T104" s="2"/>
      <c r="U104" s="2"/>
      <c r="V104" s="2"/>
      <c r="W104" s="2"/>
      <c r="X104" s="2"/>
      <c r="Y104" s="2"/>
      <c r="Z104" s="2"/>
    </row>
    <row r="105" customHeight="1" spans="1:26">
      <c r="A105" s="13" t="s">
        <v>460</v>
      </c>
      <c r="B105" s="13" t="s">
        <v>7721</v>
      </c>
      <c r="C105" s="13" t="s">
        <v>462</v>
      </c>
      <c r="D105" s="14">
        <v>8</v>
      </c>
      <c r="E105" s="13" t="s">
        <v>37</v>
      </c>
      <c r="F105" s="68" t="str">
        <f>HYPERLINK("https://www.bertrand.pt/themes/bertrand/images/bertrandLogo.gif","https://www.bertrand.pt/themes/bertrand/images/bertrandLogo.gif")</f>
        <v>https://www.bertrand.pt/themes/bertrand/images/bertrandLogo.gif</v>
      </c>
      <c r="G105" s="68" t="str">
        <f>HYPERLINK("https://www.bertrand.pt","https://www.bertrand.pt")</f>
        <v>https://www.bertrand.pt</v>
      </c>
      <c r="H105" s="2"/>
      <c r="I105" s="2"/>
      <c r="J105" s="2"/>
      <c r="K105" s="2"/>
      <c r="L105" s="2"/>
      <c r="M105" s="2"/>
      <c r="N105" s="2"/>
      <c r="O105" s="2"/>
      <c r="P105" s="2"/>
      <c r="Q105" s="2"/>
      <c r="R105" s="2"/>
      <c r="S105" s="2"/>
      <c r="T105" s="2"/>
      <c r="U105" s="2"/>
      <c r="V105" s="2"/>
      <c r="W105" s="2"/>
      <c r="X105" s="2"/>
      <c r="Y105" s="2"/>
      <c r="Z105" s="2"/>
    </row>
    <row r="106" customHeight="1" spans="1:26">
      <c r="A106" s="64" t="s">
        <v>465</v>
      </c>
      <c r="B106" s="13" t="s">
        <v>466</v>
      </c>
      <c r="C106" s="13" t="s">
        <v>315</v>
      </c>
      <c r="D106" s="65">
        <v>30</v>
      </c>
      <c r="E106" s="13" t="s">
        <v>21</v>
      </c>
      <c r="F106" s="13" t="s">
        <v>467</v>
      </c>
      <c r="G106" s="68" t="str">
        <f>HYPERLINK("https://www.clarks.eu","https://www.clarks.eu")</f>
        <v>https://www.clarks.eu</v>
      </c>
      <c r="H106" s="2"/>
      <c r="I106" s="2"/>
      <c r="J106" s="2"/>
      <c r="K106" s="2"/>
      <c r="L106" s="2"/>
      <c r="M106" s="2"/>
      <c r="N106" s="2"/>
      <c r="O106" s="2"/>
      <c r="P106" s="2"/>
      <c r="Q106" s="2"/>
      <c r="R106" s="2"/>
      <c r="S106" s="2"/>
      <c r="T106" s="2"/>
      <c r="U106" s="2"/>
      <c r="V106" s="2"/>
      <c r="W106" s="2"/>
      <c r="X106" s="2"/>
      <c r="Y106" s="2"/>
      <c r="Z106" s="2"/>
    </row>
    <row r="107" customHeight="1" spans="1:26">
      <c r="A107" s="13" t="s">
        <v>469</v>
      </c>
      <c r="B107" s="13" t="s">
        <v>7722</v>
      </c>
      <c r="C107" s="13" t="s">
        <v>471</v>
      </c>
      <c r="D107" s="14">
        <v>43</v>
      </c>
      <c r="E107" s="13" t="s">
        <v>310</v>
      </c>
      <c r="F107" s="68" t="str">
        <f>HYPERLINK("http://www.regentstreetonline.com/UploadedImages/e707090f-a89e-487e-849c-835be287c077.jpg","http://www.regentstreetonline.com/UploadedImages/e707090f-a89e-487e-849c-835be287c077.jpg")</f>
        <v>http://www.regentstreetonline.com/UploadedImages/e707090f-a89e-487e-849c-835be287c077.jpg</v>
      </c>
      <c r="G107" s="68" t="str">
        <f>HYPERLINK("https://www.camper.com/pt_PT","https://www.camper.com/pt_PT")</f>
        <v>https://www.camper.com/pt_PT</v>
      </c>
      <c r="H107" s="2"/>
      <c r="I107" s="2"/>
      <c r="J107" s="2"/>
      <c r="K107" s="2"/>
      <c r="L107" s="2"/>
      <c r="M107" s="2"/>
      <c r="N107" s="2"/>
      <c r="O107" s="2"/>
      <c r="P107" s="2"/>
      <c r="Q107" s="2"/>
      <c r="R107" s="2"/>
      <c r="S107" s="2"/>
      <c r="T107" s="2"/>
      <c r="U107" s="2"/>
      <c r="V107" s="2"/>
      <c r="W107" s="2"/>
      <c r="X107" s="2"/>
      <c r="Y107" s="2"/>
      <c r="Z107" s="2"/>
    </row>
    <row r="108" customHeight="1" spans="1:26">
      <c r="A108" s="13" t="s">
        <v>474</v>
      </c>
      <c r="B108" s="13" t="s">
        <v>7723</v>
      </c>
      <c r="C108" s="13" t="s">
        <v>476</v>
      </c>
      <c r="D108" s="65">
        <v>123</v>
      </c>
      <c r="E108" s="13" t="s">
        <v>310</v>
      </c>
      <c r="F108" s="68" t="str">
        <f>HYPERLINK("https://upload.wikimedia.org/wikipedia/commons/thumb/a/a6/Logo_NIKE.svg/1200px-Logo_NIKE.svg.png","https://upload.wikimedia.org/wikipedia/commons/thumb/a/a6/Logo_NIKE.svg/1200px-Logo_NIKE.svg.png")</f>
        <v>https://upload.wikimedia.org/wikipedia/commons/thumb/a/a6/Logo_NIKE.svg/1200px-Logo_NIKE.svg.png</v>
      </c>
      <c r="G108" s="68" t="str">
        <f>HYPERLINK("https://www.nike.com/pt/pt_pt/","https://www.nike.com/pt/pt_pt/")</f>
        <v>https://www.nike.com/pt/pt_pt/</v>
      </c>
      <c r="H108" s="2"/>
      <c r="I108" s="2"/>
      <c r="J108" s="2"/>
      <c r="K108" s="2"/>
      <c r="L108" s="2"/>
      <c r="M108" s="2"/>
      <c r="N108" s="2"/>
      <c r="O108" s="2"/>
      <c r="P108" s="2"/>
      <c r="Q108" s="2"/>
      <c r="R108" s="2"/>
      <c r="S108" s="2"/>
      <c r="T108" s="2"/>
      <c r="U108" s="2"/>
      <c r="V108" s="2"/>
      <c r="W108" s="2"/>
      <c r="X108" s="2"/>
      <c r="Y108" s="2"/>
      <c r="Z108" s="2"/>
    </row>
    <row r="109" customHeight="1" spans="1:26">
      <c r="A109" s="13" t="s">
        <v>479</v>
      </c>
      <c r="B109" s="13" t="s">
        <v>3701</v>
      </c>
      <c r="C109" s="13" t="s">
        <v>476</v>
      </c>
      <c r="D109" s="65">
        <v>76</v>
      </c>
      <c r="E109" s="13" t="s">
        <v>310</v>
      </c>
      <c r="F109" s="68" t="str">
        <f>HYPERLINK("https://upload.wikimedia.org/wikipedia/commons/thumb/2/20/Adidas_Logo.svg/1200px-Adidas_Logo.svg.png","https://upload.wikimedia.org/wikipedia/commons/thumb/2/20/Adidas_Logo.svg/1200px-Adidas_Logo.svg.png")</f>
        <v>https://upload.wikimedia.org/wikipedia/commons/thumb/2/20/Adidas_Logo.svg/1200px-Adidas_Logo.svg.png</v>
      </c>
      <c r="G109" s="68" t="str">
        <f>HYPERLINK("http://www.adidas.com/pt","http://www.adidas.com/pt")</f>
        <v>http://www.adidas.com/pt</v>
      </c>
      <c r="H109" s="2"/>
      <c r="I109" s="2"/>
      <c r="J109" s="2"/>
      <c r="K109" s="2"/>
      <c r="L109" s="2"/>
      <c r="M109" s="2"/>
      <c r="N109" s="2"/>
      <c r="O109" s="2"/>
      <c r="P109" s="2"/>
      <c r="Q109" s="2"/>
      <c r="R109" s="2"/>
      <c r="S109" s="2"/>
      <c r="T109" s="2"/>
      <c r="U109" s="2"/>
      <c r="V109" s="2"/>
      <c r="W109" s="2"/>
      <c r="X109" s="2"/>
      <c r="Y109" s="2"/>
      <c r="Z109" s="2"/>
    </row>
    <row r="110" customHeight="1" spans="1:26">
      <c r="A110" s="64" t="s">
        <v>483</v>
      </c>
      <c r="B110" s="13" t="s">
        <v>484</v>
      </c>
      <c r="C110" s="13" t="s">
        <v>485</v>
      </c>
      <c r="D110" s="65">
        <v>77</v>
      </c>
      <c r="E110" s="13" t="s">
        <v>37</v>
      </c>
      <c r="F110" s="13" t="s">
        <v>486</v>
      </c>
      <c r="G110" s="13" t="s">
        <v>487</v>
      </c>
      <c r="H110" s="2"/>
      <c r="I110" s="2"/>
      <c r="J110" s="2"/>
      <c r="K110" s="2"/>
      <c r="L110" s="2"/>
      <c r="M110" s="2"/>
      <c r="N110" s="2"/>
      <c r="O110" s="2"/>
      <c r="P110" s="2"/>
      <c r="Q110" s="2"/>
      <c r="R110" s="2"/>
      <c r="S110" s="2"/>
      <c r="T110" s="2"/>
      <c r="U110" s="2"/>
      <c r="V110" s="2"/>
      <c r="W110" s="2"/>
      <c r="X110" s="2"/>
      <c r="Y110" s="2"/>
      <c r="Z110" s="2"/>
    </row>
    <row r="111" customHeight="1" spans="1:26">
      <c r="A111" s="13" t="s">
        <v>488</v>
      </c>
      <c r="B111" s="13" t="s">
        <v>7724</v>
      </c>
      <c r="C111" s="13" t="s">
        <v>490</v>
      </c>
      <c r="D111" s="14">
        <v>50</v>
      </c>
      <c r="E111" s="13" t="s">
        <v>37</v>
      </c>
      <c r="F111" s="68" t="str">
        <f>HYPERLINK("https://www.float-in.pt/images/menu-images/media-apresentacao.jpg","https://www.float-in.pt/images/menu-images/media-apresentacao.jpg")</f>
        <v>https://www.float-in.pt/images/menu-images/media-apresentacao.jpg</v>
      </c>
      <c r="G111" s="68" t="str">
        <f>HYPERLINK("https://www.float-in.pt","https://www.float-in.pt")</f>
        <v>https://www.float-in.pt</v>
      </c>
      <c r="H111" s="2"/>
      <c r="I111" s="2"/>
      <c r="J111" s="2"/>
      <c r="K111" s="2"/>
      <c r="L111" s="2"/>
      <c r="M111" s="2"/>
      <c r="N111" s="2"/>
      <c r="O111" s="2"/>
      <c r="P111" s="2"/>
      <c r="Q111" s="2"/>
      <c r="R111" s="2"/>
      <c r="S111" s="2"/>
      <c r="T111" s="2"/>
      <c r="U111" s="2"/>
      <c r="V111" s="2"/>
      <c r="W111" s="2"/>
      <c r="X111" s="2"/>
      <c r="Y111" s="2"/>
      <c r="Z111" s="2"/>
    </row>
    <row r="112" customHeight="1" spans="1:26">
      <c r="A112" s="13" t="s">
        <v>493</v>
      </c>
      <c r="B112" s="13" t="s">
        <v>7725</v>
      </c>
      <c r="C112" s="13" t="s">
        <v>495</v>
      </c>
      <c r="D112" s="57"/>
      <c r="E112" s="57"/>
      <c r="F112" s="68" t="str">
        <f>HYPERLINK("http://zcs-hvacsoftware.com/img/80454104330d76b1.jpg","http://zcs-hvacsoftware.com/img/80454104330d76b1.jpg")</f>
        <v>http://zcs-hvacsoftware.com/img/80454104330d76b1.jpg</v>
      </c>
      <c r="G112" s="68" t="str">
        <f>HYPERLINK("http://www.centauro.pt/index.php/pt/a-empresa/123-company-profile-2","http://www.centauro.pt/index.php/pt/a-empresa/123-company-profile-2")</f>
        <v>http://www.centauro.pt/index.php/pt/a-empresa/123-company-profile-2</v>
      </c>
      <c r="H112" s="2"/>
      <c r="I112" s="2"/>
      <c r="J112" s="2"/>
      <c r="K112" s="2"/>
      <c r="L112" s="2"/>
      <c r="M112" s="2"/>
      <c r="N112" s="2"/>
      <c r="O112" s="2"/>
      <c r="P112" s="2"/>
      <c r="Q112" s="2"/>
      <c r="R112" s="2"/>
      <c r="S112" s="2"/>
      <c r="T112" s="2"/>
      <c r="U112" s="2"/>
      <c r="V112" s="2"/>
      <c r="W112" s="2"/>
      <c r="X112" s="2"/>
      <c r="Y112" s="2"/>
      <c r="Z112" s="2"/>
    </row>
    <row r="113" customHeight="1" spans="1:26">
      <c r="A113" s="13" t="s">
        <v>498</v>
      </c>
      <c r="B113" s="13" t="s">
        <v>499</v>
      </c>
      <c r="C113" s="13" t="s">
        <v>500</v>
      </c>
      <c r="D113" s="57"/>
      <c r="E113" s="57"/>
      <c r="F113" s="13" t="s">
        <v>501</v>
      </c>
      <c r="G113" s="68" t="str">
        <f>HYPERLINK("http://pt.farnell.com","http://pt.farnell.com")</f>
        <v>http://pt.farnell.com</v>
      </c>
      <c r="H113" s="2"/>
      <c r="I113" s="2"/>
      <c r="J113" s="2"/>
      <c r="K113" s="2"/>
      <c r="L113" s="2"/>
      <c r="M113" s="2"/>
      <c r="N113" s="2"/>
      <c r="O113" s="2"/>
      <c r="P113" s="2"/>
      <c r="Q113" s="2"/>
      <c r="R113" s="2"/>
      <c r="S113" s="2"/>
      <c r="T113" s="2"/>
      <c r="U113" s="2"/>
      <c r="V113" s="2"/>
      <c r="W113" s="2"/>
      <c r="X113" s="2"/>
      <c r="Y113" s="2"/>
      <c r="Z113" s="2"/>
    </row>
    <row r="114" customHeight="1" spans="1:26">
      <c r="A114" s="64" t="s">
        <v>503</v>
      </c>
      <c r="B114" s="13" t="s">
        <v>504</v>
      </c>
      <c r="C114" s="13" t="s">
        <v>505</v>
      </c>
      <c r="D114" s="65">
        <v>38</v>
      </c>
      <c r="E114" s="13" t="s">
        <v>37</v>
      </c>
      <c r="F114" s="13" t="s">
        <v>506</v>
      </c>
      <c r="G114" s="68" t="str">
        <f>HYPERLINK("https://www.dominospizza.pt","https://www.dominospizza.pt")</f>
        <v>https://www.dominospizza.pt</v>
      </c>
      <c r="H114" s="2"/>
      <c r="I114" s="2"/>
      <c r="J114" s="2"/>
      <c r="K114" s="2"/>
      <c r="L114" s="2"/>
      <c r="M114" s="2"/>
      <c r="N114" s="2"/>
      <c r="O114" s="2"/>
      <c r="P114" s="2"/>
      <c r="Q114" s="2"/>
      <c r="R114" s="2"/>
      <c r="S114" s="2"/>
      <c r="T114" s="2"/>
      <c r="U114" s="2"/>
      <c r="V114" s="2"/>
      <c r="W114" s="2"/>
      <c r="X114" s="2"/>
      <c r="Y114" s="2"/>
      <c r="Z114" s="2"/>
    </row>
    <row r="115" customHeight="1" spans="1:26">
      <c r="A115" s="13" t="s">
        <v>508</v>
      </c>
      <c r="B115" s="13" t="s">
        <v>7657</v>
      </c>
      <c r="C115" s="13" t="s">
        <v>510</v>
      </c>
      <c r="D115" s="14">
        <v>40</v>
      </c>
      <c r="E115" s="13" t="s">
        <v>37</v>
      </c>
      <c r="F115" s="68" t="str">
        <f>HYPERLINK("http://www.underconsideration.com/brandnew/archives/nos_logo_detail.png","http://www.underconsideration.com/brandnew/archives/nos_logo_detail.png")</f>
        <v>http://www.underconsideration.com/brandnew/archives/nos_logo_detail.png</v>
      </c>
      <c r="G115" s="68" t="str">
        <f>HYPERLINK("https://www.nos.pt/particulares/Pages/home.aspx","https://www.nos.pt/particulares/Pages/home.aspx")</f>
        <v>https://www.nos.pt/particulares/Pages/home.aspx</v>
      </c>
      <c r="H115" s="2"/>
      <c r="I115" s="2"/>
      <c r="J115" s="2"/>
      <c r="K115" s="2"/>
      <c r="L115" s="2"/>
      <c r="M115" s="2"/>
      <c r="N115" s="2"/>
      <c r="O115" s="2"/>
      <c r="P115" s="2"/>
      <c r="Q115" s="2"/>
      <c r="R115" s="2"/>
      <c r="S115" s="2"/>
      <c r="T115" s="2"/>
      <c r="U115" s="2"/>
      <c r="V115" s="2"/>
      <c r="W115" s="2"/>
      <c r="X115" s="2"/>
      <c r="Y115" s="2"/>
      <c r="Z115" s="2"/>
    </row>
    <row r="116" customHeight="1" spans="1:26">
      <c r="A116" s="13" t="s">
        <v>513</v>
      </c>
      <c r="B116" s="13" t="s">
        <v>972</v>
      </c>
      <c r="C116" s="13" t="s">
        <v>515</v>
      </c>
      <c r="D116" s="14">
        <v>40</v>
      </c>
      <c r="E116" s="13" t="s">
        <v>37</v>
      </c>
      <c r="F116" s="13" t="s">
        <v>1167</v>
      </c>
      <c r="G116" s="68" t="str">
        <f>HYPERLINK("http://www.vodafone.pt/main/particulares/","http://www.vodafone.pt/main/particulares/")</f>
        <v>http://www.vodafone.pt/main/particulares/</v>
      </c>
      <c r="H116" s="2"/>
      <c r="I116" s="2"/>
      <c r="J116" s="2"/>
      <c r="K116" s="2"/>
      <c r="L116" s="2"/>
      <c r="M116" s="2"/>
      <c r="N116" s="2"/>
      <c r="O116" s="2"/>
      <c r="P116" s="2"/>
      <c r="Q116" s="2"/>
      <c r="R116" s="2"/>
      <c r="S116" s="2"/>
      <c r="T116" s="2"/>
      <c r="U116" s="2"/>
      <c r="V116" s="2"/>
      <c r="W116" s="2"/>
      <c r="X116" s="2"/>
      <c r="Y116" s="2"/>
      <c r="Z116" s="2"/>
    </row>
    <row r="117" customHeight="1" spans="1:26">
      <c r="A117" s="13" t="s">
        <v>518</v>
      </c>
      <c r="B117" s="13" t="s">
        <v>7726</v>
      </c>
      <c r="C117" s="13" t="s">
        <v>519</v>
      </c>
      <c r="D117" s="14">
        <v>45</v>
      </c>
      <c r="E117" s="13" t="s">
        <v>37</v>
      </c>
      <c r="F117" s="68" t="str">
        <f>HYPERLINK("http://www.multi-eforum.net/static/Brands/Logos/MEO-01.jpg","http://www.multi-eforum.net/static/Brands/Logos/MEO-01.jpg")</f>
        <v>http://www.multi-eforum.net/static/Brands/Logos/MEO-01.jpg</v>
      </c>
      <c r="G117" s="68" t="str">
        <f>HYPERLINK("https://www.meo.pt/l/aderir/meolv1adsl?utm_source=google&amp;utm_medium=adwords&amp;utm_campaign=tecnologia&amp;gclid=CJjg-7W8udUCFQVuGwodo0UJ0Q","https://www.meo.pt/l/aderir/meolv1adsl?utm_source=google&amp;utm_medium=adwords&amp;utm_campaign=tecnologia&amp;gclid=CJjg-7W8udUCFQVuGwodo0UJ0Q")</f>
        <v>https://www.meo.pt/l/aderir/meolv1adsl?utm_source=google&amp;utm_medium=adwords&amp;utm_campaign=tecnologia&amp;gclid=CJjg-7W8udUCFQVuGwodo0UJ0Q</v>
      </c>
      <c r="H117" s="2"/>
      <c r="I117" s="2"/>
      <c r="J117" s="2"/>
      <c r="K117" s="2"/>
      <c r="L117" s="2"/>
      <c r="M117" s="2"/>
      <c r="N117" s="2"/>
      <c r="O117" s="2"/>
      <c r="P117" s="2"/>
      <c r="Q117" s="2"/>
      <c r="R117" s="2"/>
      <c r="S117" s="2"/>
      <c r="T117" s="2"/>
      <c r="U117" s="2"/>
      <c r="V117" s="2"/>
      <c r="W117" s="2"/>
      <c r="X117" s="2"/>
      <c r="Y117" s="2"/>
      <c r="Z117" s="2"/>
    </row>
    <row r="118" customHeight="1" spans="1:26">
      <c r="A118" s="13" t="s">
        <v>520</v>
      </c>
      <c r="B118" s="13" t="s">
        <v>7727</v>
      </c>
      <c r="C118" s="13" t="s">
        <v>515</v>
      </c>
      <c r="D118" s="14">
        <v>50</v>
      </c>
      <c r="E118" s="13" t="s">
        <v>37</v>
      </c>
      <c r="F118" s="68" t="str">
        <f>HYPERLINK("https://www.ez-mobiles.co.uk/wp-content/uploads/2016/06/LycaMobile-logo.png","https://www.ez-mobiles.co.uk/wp-content/uploads/2016/06/LycaMobile-logo.png")</f>
        <v>https://www.ez-mobiles.co.uk/wp-content/uploads/2016/06/LycaMobile-logo.png</v>
      </c>
      <c r="G118" s="68" t="str">
        <f>HYPERLINK("http://www.lycamobile.pt/por/","http://www.lycamobile.pt/por/")</f>
        <v>http://www.lycamobile.pt/por/</v>
      </c>
      <c r="H118" s="2"/>
      <c r="I118" s="2"/>
      <c r="J118" s="2"/>
      <c r="K118" s="2"/>
      <c r="L118" s="2"/>
      <c r="M118" s="2"/>
      <c r="N118" s="2"/>
      <c r="O118" s="2"/>
      <c r="P118" s="2"/>
      <c r="Q118" s="2"/>
      <c r="R118" s="2"/>
      <c r="S118" s="2"/>
      <c r="T118" s="2"/>
      <c r="U118" s="2"/>
      <c r="V118" s="2"/>
      <c r="W118" s="2"/>
      <c r="X118" s="2"/>
      <c r="Y118" s="2"/>
      <c r="Z118" s="2"/>
    </row>
    <row r="119" customHeight="1" spans="1:26">
      <c r="A119" s="64" t="s">
        <v>522</v>
      </c>
      <c r="B119" s="13" t="s">
        <v>523</v>
      </c>
      <c r="C119" s="13" t="s">
        <v>524</v>
      </c>
      <c r="D119" s="65">
        <v>90</v>
      </c>
      <c r="E119" s="13" t="s">
        <v>21</v>
      </c>
      <c r="F119" s="13" t="s">
        <v>525</v>
      </c>
      <c r="G119" s="96" t="str">
        <f>HYPERLINK("http://www.ticketmaster.es/?language=en-us","http://www.ticketmaster.es/?language=en-us")</f>
        <v>http://www.ticketmaster.es/?language=en-us</v>
      </c>
      <c r="H119" s="2"/>
      <c r="I119" s="2"/>
      <c r="J119" s="2"/>
      <c r="K119" s="2"/>
      <c r="L119" s="2"/>
      <c r="M119" s="2"/>
      <c r="N119" s="2"/>
      <c r="O119" s="2"/>
      <c r="P119" s="2"/>
      <c r="Q119" s="2"/>
      <c r="R119" s="2"/>
      <c r="S119" s="2"/>
      <c r="T119" s="2"/>
      <c r="U119" s="2"/>
      <c r="V119" s="2"/>
      <c r="W119" s="2"/>
      <c r="X119" s="2"/>
      <c r="Y119" s="2"/>
      <c r="Z119" s="2"/>
    </row>
    <row r="120" customHeight="1" spans="1:26">
      <c r="A120" s="13" t="s">
        <v>527</v>
      </c>
      <c r="B120" s="13" t="s">
        <v>528</v>
      </c>
      <c r="C120" s="13" t="s">
        <v>529</v>
      </c>
      <c r="D120" s="57"/>
      <c r="E120" s="57"/>
      <c r="F120" s="13" t="s">
        <v>530</v>
      </c>
      <c r="G120" s="13" t="s">
        <v>531</v>
      </c>
      <c r="H120" s="2"/>
      <c r="I120" s="2"/>
      <c r="J120" s="2"/>
      <c r="K120" s="2"/>
      <c r="L120" s="2"/>
      <c r="M120" s="2"/>
      <c r="N120" s="2"/>
      <c r="O120" s="2"/>
      <c r="P120" s="2"/>
      <c r="Q120" s="2"/>
      <c r="R120" s="2"/>
      <c r="S120" s="2"/>
      <c r="T120" s="2"/>
      <c r="U120" s="2"/>
      <c r="V120" s="2"/>
      <c r="W120" s="2"/>
      <c r="X120" s="2"/>
      <c r="Y120" s="2"/>
      <c r="Z120" s="2"/>
    </row>
    <row r="121" customHeight="1" spans="1:26">
      <c r="A121" s="13" t="s">
        <v>532</v>
      </c>
      <c r="B121" s="13" t="s">
        <v>7728</v>
      </c>
      <c r="C121" s="13" t="s">
        <v>534</v>
      </c>
      <c r="D121" s="14">
        <v>120</v>
      </c>
      <c r="E121" s="13" t="s">
        <v>37</v>
      </c>
      <c r="F121" s="68" t="str">
        <f>HYPERLINK("https://upload.wikimedia.org/wikipedia/commons/a/aa/Metro_Lissabon_logo.svg","https://upload.wikimedia.org/wikipedia/commons/a/aa/Metro_Lissabon_logo.svg")</f>
        <v>https://upload.wikimedia.org/wikipedia/commons/a/aa/Metro_Lissabon_logo.svg</v>
      </c>
      <c r="G121" s="68" t="str">
        <f>HYPERLINK("http://www.metrolisboa.pt","http://www.metrolisboa.pt")</f>
        <v>http://www.metrolisboa.pt</v>
      </c>
      <c r="H121" s="2"/>
      <c r="I121" s="2"/>
      <c r="J121" s="2"/>
      <c r="K121" s="2"/>
      <c r="L121" s="2"/>
      <c r="M121" s="2"/>
      <c r="N121" s="2"/>
      <c r="O121" s="2"/>
      <c r="P121" s="2"/>
      <c r="Q121" s="2"/>
      <c r="R121" s="2"/>
      <c r="S121" s="2"/>
      <c r="T121" s="2"/>
      <c r="U121" s="2"/>
      <c r="V121" s="2"/>
      <c r="W121" s="2"/>
      <c r="X121" s="2"/>
      <c r="Y121" s="2"/>
      <c r="Z121" s="2"/>
    </row>
    <row r="122" customHeight="1" spans="1:26">
      <c r="A122" s="64" t="s">
        <v>537</v>
      </c>
      <c r="B122" s="13" t="s">
        <v>7729</v>
      </c>
      <c r="C122" s="13" t="s">
        <v>539</v>
      </c>
      <c r="D122" s="65">
        <v>60</v>
      </c>
      <c r="E122" s="13" t="s">
        <v>37</v>
      </c>
      <c r="F122" s="68" t="str">
        <f>HYPERLINK("https://www.ruralelec.org/sites/default/files/edp-p1-cs-sa-poli-fb-rgb.jpg","https://www.ruralelec.org/sites/default/files/edp-p1-cs-sa-poli-fb-rgb.jpg")</f>
        <v>https://www.ruralelec.org/sites/default/files/edp-p1-cs-sa-poli-fb-rgb.jpg</v>
      </c>
      <c r="G122" s="68" t="str">
        <f>HYPERLINK("https://www.edp.pt/pt/particulares/informacoesuteis/Pages/ALiberalizacao.aspx","https://www.edp.pt/pt/particulares/informacoesuteis/Pages/ALiberalizacao.aspx")</f>
        <v>https://www.edp.pt/pt/particulares/informacoesuteis/Pages/ALiberalizacao.aspx</v>
      </c>
      <c r="H122" s="2"/>
      <c r="I122" s="2"/>
      <c r="J122" s="2"/>
      <c r="K122" s="2"/>
      <c r="L122" s="2"/>
      <c r="M122" s="2"/>
      <c r="N122" s="2"/>
      <c r="O122" s="2"/>
      <c r="P122" s="2"/>
      <c r="Q122" s="2"/>
      <c r="R122" s="2"/>
      <c r="S122" s="2"/>
      <c r="T122" s="2"/>
      <c r="U122" s="2"/>
      <c r="V122" s="2"/>
      <c r="W122" s="2"/>
      <c r="X122" s="2"/>
      <c r="Y122" s="2"/>
      <c r="Z122" s="2"/>
    </row>
    <row r="123" customHeight="1" spans="1:26">
      <c r="A123" s="64" t="s">
        <v>542</v>
      </c>
      <c r="B123" s="13" t="s">
        <v>7730</v>
      </c>
      <c r="C123" s="13" t="s">
        <v>539</v>
      </c>
      <c r="D123" s="65">
        <v>50</v>
      </c>
      <c r="E123" s="13" t="s">
        <v>37</v>
      </c>
      <c r="F123" s="68" t="str">
        <f>HYPERLINK("http://energia.eiffage.es/wp-content/uploads/2015/03/nuevo-logo-endesa1.jpg","http://energia.eiffage.es/wp-content/uploads/2015/03/nuevo-logo-endesa1.jpg")</f>
        <v>http://energia.eiffage.es/wp-content/uploads/2015/03/nuevo-logo-endesa1.jpg</v>
      </c>
      <c r="G123" s="68" t="str">
        <f>HYPERLINK("https://www.endesa.pt/","https://www.endesa.pt/")</f>
        <v>https://www.endesa.pt/</v>
      </c>
      <c r="H123" s="2"/>
      <c r="I123" s="2"/>
      <c r="J123" s="2"/>
      <c r="K123" s="2"/>
      <c r="L123" s="2"/>
      <c r="M123" s="2"/>
      <c r="N123" s="2"/>
      <c r="O123" s="2"/>
      <c r="P123" s="2"/>
      <c r="Q123" s="2"/>
      <c r="R123" s="2"/>
      <c r="S123" s="2"/>
      <c r="T123" s="2"/>
      <c r="U123" s="2"/>
      <c r="V123" s="2"/>
      <c r="W123" s="2"/>
      <c r="X123" s="2"/>
      <c r="Y123" s="2"/>
      <c r="Z123" s="2"/>
    </row>
    <row r="124" customHeight="1" spans="1:26">
      <c r="A124" s="13" t="s">
        <v>546</v>
      </c>
      <c r="B124" s="13" t="s">
        <v>7731</v>
      </c>
      <c r="C124" s="13" t="s">
        <v>548</v>
      </c>
      <c r="D124" s="14">
        <v>100</v>
      </c>
      <c r="E124" s="13" t="s">
        <v>37</v>
      </c>
      <c r="F124" s="68" t="str">
        <f>HYPERLINK("https://media2.deco.proteste.pt/images/2C89B4507DE4415071C98CA8368DE3609B4FB338/galpon.jpg/galpon.jpg","https://media2.deco.proteste.pt//images/2C89B4507DE4415071C98CA8368DE3609B4FB338/galpon.jpg/galpon.jpg")</f>
        <v>https://media2.deco.proteste.pt//images/2C89B4507DE4415071C98CA8368DE3609B4FB338/galpon.jpg/galpon.jpg</v>
      </c>
      <c r="G124" s="68" t="str">
        <f>HYPERLINK("http://galpon.pt/","http://galpon.pt/")</f>
        <v>http://galpon.pt/</v>
      </c>
      <c r="H124" s="2"/>
      <c r="I124" s="2"/>
      <c r="J124" s="2"/>
      <c r="K124" s="2"/>
      <c r="L124" s="2"/>
      <c r="M124" s="2"/>
      <c r="N124" s="2"/>
      <c r="O124" s="2"/>
      <c r="P124" s="2"/>
      <c r="Q124" s="2"/>
      <c r="R124" s="2"/>
      <c r="S124" s="2"/>
      <c r="T124" s="2"/>
      <c r="U124" s="2"/>
      <c r="V124" s="2"/>
      <c r="W124" s="2"/>
      <c r="X124" s="2"/>
      <c r="Y124" s="2"/>
      <c r="Z124" s="2"/>
    </row>
    <row r="125" customHeight="1" spans="1:26">
      <c r="A125" s="64" t="s">
        <v>551</v>
      </c>
      <c r="B125" s="13" t="s">
        <v>7732</v>
      </c>
      <c r="C125" s="13" t="s">
        <v>553</v>
      </c>
      <c r="D125" s="65">
        <v>30</v>
      </c>
      <c r="E125" s="13" t="s">
        <v>37</v>
      </c>
      <c r="F125" s="68" t="str">
        <f>HYPERLINK("https://www.brandsoftheworld.com/sites/default/files/styles/logo-thumbnail/public/0007/6254/brand.gif?itok=Qm22t5yK","https://www.brandsoftheworld.com/sites/default/files/styles/logo-thumbnail/public/0007/6254/brand.gif?itok=Qm22t5yK")</f>
        <v>https://www.brandsoftheworld.com/sites/default/files/styles/logo-thumbnail/public/0007/6254/brand.gif?itok=Qm22t5yK</v>
      </c>
      <c r="G125" s="68" t="str">
        <f>HYPERLINK("http://www.epal.pt/EPAL/menu/%C3%A1gua/sistema-de-abastecimento","http://www.epal.pt/EPAL/menu/%C3%A1gua/sistema-de-abastecimento")</f>
        <v>http://www.epal.pt/EPAL/menu/%C3%A1gua/sistema-de-abastecimento</v>
      </c>
      <c r="H125" s="2"/>
      <c r="I125" s="2"/>
      <c r="J125" s="2"/>
      <c r="K125" s="2"/>
      <c r="L125" s="2"/>
      <c r="M125" s="2"/>
      <c r="N125" s="2"/>
      <c r="O125" s="2"/>
      <c r="P125" s="2"/>
      <c r="Q125" s="2"/>
      <c r="R125" s="2"/>
      <c r="S125" s="2"/>
      <c r="T125" s="2"/>
      <c r="U125" s="2"/>
      <c r="V125" s="2"/>
      <c r="W125" s="2"/>
      <c r="X125" s="2"/>
      <c r="Y125" s="2"/>
      <c r="Z125" s="2"/>
    </row>
    <row r="126" customHeight="1" spans="1:26">
      <c r="A126" s="13" t="s">
        <v>556</v>
      </c>
      <c r="B126" s="13" t="s">
        <v>7733</v>
      </c>
      <c r="C126" s="13" t="s">
        <v>557</v>
      </c>
      <c r="D126" s="14">
        <v>30</v>
      </c>
      <c r="E126" s="13" t="s">
        <v>37</v>
      </c>
      <c r="F126" s="68" t="str">
        <f>HYPERLINK("http://www.adp.pt/sysimages/logo_face.jpg","http://www.adp.pt/sysimages/logo_face.jpg")</f>
        <v>http://www.adp.pt/sysimages/logo_face.jpg</v>
      </c>
      <c r="G126" s="97" t="str">
        <f>HYPERLINK("http://www.adp.pt/pt/","http://www.adp.pt/pt/")</f>
        <v>http://www.adp.pt/pt/</v>
      </c>
      <c r="H126" s="2"/>
      <c r="I126" s="2"/>
      <c r="J126" s="2"/>
      <c r="K126" s="2"/>
      <c r="L126" s="2"/>
      <c r="M126" s="2"/>
      <c r="N126" s="2"/>
      <c r="O126" s="2"/>
      <c r="P126" s="2"/>
      <c r="Q126" s="2"/>
      <c r="R126" s="2"/>
      <c r="S126" s="2"/>
      <c r="T126" s="2"/>
      <c r="U126" s="2"/>
      <c r="V126" s="2"/>
      <c r="W126" s="2"/>
      <c r="X126" s="2"/>
      <c r="Y126" s="2"/>
      <c r="Z126" s="2"/>
    </row>
    <row r="127" customHeight="1" spans="1:26">
      <c r="A127" s="13" t="s">
        <v>558</v>
      </c>
      <c r="B127" s="13" t="s">
        <v>7734</v>
      </c>
      <c r="C127" s="13" t="s">
        <v>560</v>
      </c>
      <c r="D127" s="14">
        <v>40</v>
      </c>
      <c r="E127" s="13" t="s">
        <v>37</v>
      </c>
      <c r="F127" s="68" t="str">
        <f>HYPERLINK("http://www.altitude.com/uploads/images/thumbs/201517/79/iberdrola_logo_8772_north_2000x_white.png","http://www.altitude.com/uploads/images/thumbs/201517/79/iberdrola_logo_8772_north_2000x_white.png")</f>
        <v>http://www.altitude.com/uploads/images/thumbs/201517/79/iberdrola_logo_8772_north_2000x_white.png</v>
      </c>
      <c r="G127" s="68" t="str">
        <f>HYPERLINK("http://www.iberdrola.pt/02sicb/corporativa/iberdrola/home","http://www.iberdrola.pt/02sicb/corporativa/iberdrola/home")</f>
        <v>http://www.iberdrola.pt/02sicb/corporativa/iberdrola/home</v>
      </c>
      <c r="H127" s="2"/>
      <c r="I127" s="2"/>
      <c r="J127" s="2"/>
      <c r="K127" s="2"/>
      <c r="L127" s="2"/>
      <c r="M127" s="2"/>
      <c r="N127" s="2"/>
      <c r="O127" s="2"/>
      <c r="P127" s="2"/>
      <c r="Q127" s="2"/>
      <c r="R127" s="2"/>
      <c r="S127" s="2"/>
      <c r="T127" s="2"/>
      <c r="U127" s="2"/>
      <c r="V127" s="2"/>
      <c r="W127" s="2"/>
      <c r="X127" s="2"/>
      <c r="Y127" s="2"/>
      <c r="Z127" s="2"/>
    </row>
    <row r="128" customHeight="1" spans="1:26">
      <c r="A128" s="13" t="s">
        <v>563</v>
      </c>
      <c r="B128" s="13" t="s">
        <v>7735</v>
      </c>
      <c r="C128" s="13" t="s">
        <v>565</v>
      </c>
      <c r="D128" s="14">
        <v>80</v>
      </c>
      <c r="E128" s="13" t="s">
        <v>37</v>
      </c>
      <c r="F128" s="68" t="str">
        <f>HYPERLINK("http://www.52superseries.com/wp-content/uploads/clube-naval-de-cascais-1.png","http://www.52superseries.com/wp-content/uploads/clube-naval-de-cascais-1.png")</f>
        <v>http://www.52superseries.com/wp-content/uploads/clube-naval-de-cascais-1.png</v>
      </c>
      <c r="G128" s="68" t="str">
        <f>HYPERLINK("http://www.cncascais.com/index.php?lang=pt","http://www.cncascais.com/index.php?lang=pt")</f>
        <v>http://www.cncascais.com/index.php?lang=pt</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7736</v>
      </c>
      <c r="C129" s="10" t="s">
        <v>570</v>
      </c>
      <c r="D129" s="2"/>
      <c r="E129" s="2"/>
      <c r="F129" s="9" t="str">
        <f>HYPERLINK("http://www.paymentscardsandmobile.com/wp-content/uploads/2016/01/ATM-Machine.jpg","http://www.paymentscardsandmobile.com/wp-content/uploads/2016/01/ATM-Machine.jpg")</f>
        <v>http://www.paymentscardsandmobile.com/wp-content/uploads/2016/01/ATM-Machine.jpg</v>
      </c>
      <c r="G129" s="9" t="str">
        <f>HYPERLINK("https://www.finantia.pt/homepage.aspx","https://www.finantia.pt/homepage.aspx")</f>
        <v>https://www.finantia.pt/homepage.aspx</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7737</v>
      </c>
      <c r="C130" s="2" t="s">
        <v>570</v>
      </c>
      <c r="D130" s="2"/>
      <c r="E130" s="2"/>
      <c r="F130" s="9" t="str">
        <f>HYPERLINK("https://c1.staticflickr.com/6/5177/5433977665_b510747cee_b.jpg","https://c1.staticflickr.com/6/5177/5433977665_b510747cee_b.jpg")</f>
        <v>https://c1.staticflickr.com/6/5177/5433977665_b510747cee_b.jpg</v>
      </c>
      <c r="G130" s="9" t="str">
        <f>HYPERLINK("http://www.bnpparibas.pt/en/","http://www.bnpparibas.pt/en/")</f>
        <v>http://www.bnpparibas.pt/en/</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39" t="s">
        <v>7738</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39" t="s">
        <v>7739</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39" t="s">
        <v>7740</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39" t="s">
        <v>7741</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39" t="s">
        <v>7742</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39" t="s">
        <v>1209</v>
      </c>
      <c r="C136" s="11" t="s">
        <v>578</v>
      </c>
      <c r="D136" s="2"/>
      <c r="E136" s="2"/>
      <c r="F136" s="2" t="s">
        <v>589</v>
      </c>
      <c r="G136" s="9" t="str">
        <f>HYPERLINK("https://smiletrain.org","https://smiletrain.org")</f>
        <v>https://smiletrain.org</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39" t="s">
        <v>7743</v>
      </c>
      <c r="C137" s="11" t="s">
        <v>578</v>
      </c>
      <c r="D137" s="2"/>
      <c r="E137" s="2"/>
      <c r="F137" s="9" t="str">
        <f>HYPERLINK("https://www.spar.co.uk/media/5145/12885808_763137237121813_8477488662282615668_o.jpg","https://www.spar.co.uk/media/5145/12885808_763137237121813_8477488662282615668_o.jpg")</f>
        <v>https://www.spar.co.uk/media/5145/12885808_763137237121813_8477488662282615668_o.jpg</v>
      </c>
      <c r="G137" s="9" t="str">
        <f>HYPERLINK("http://www.spar.pt","http://www.spar.pt")</f>
        <v>http://www.spar.pt</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39" t="s">
        <v>7744</v>
      </c>
      <c r="C138" s="11" t="s">
        <v>578</v>
      </c>
      <c r="D138" s="2"/>
      <c r="E138" s="2"/>
      <c r="F138" s="2" t="s">
        <v>2319</v>
      </c>
      <c r="G138" s="9" t="str">
        <f>HYPERLINK("http://givingsight.org","http://givingsight.org")</f>
        <v>http://givingsight.org</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39" t="s">
        <v>7745</v>
      </c>
      <c r="C139" s="11" t="s">
        <v>578</v>
      </c>
      <c r="D139" s="2"/>
      <c r="E139" s="2"/>
      <c r="F139" s="9" t="str">
        <f>HYPERLINK("https://static.wixstatic.com/media/d0473e_ee267e98081c422e8d335288c1908770.gif","https://static.wixstatic.com/media/d0473e_ee267e98081c422e8d335288c1908770.gif")</f>
        <v>https://static.wixstatic.com/media/d0473e_ee267e98081c422e8d335288c1908770.gif</v>
      </c>
      <c r="G139" s="9" t="str">
        <f>HYPERLINK("https://www.jardimdeluz.org","https://www.jardimdeluz.org")</f>
        <v>https://www.jardimdeluz.org</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39" t="s">
        <v>7746</v>
      </c>
      <c r="C140" s="11" t="s">
        <v>578</v>
      </c>
      <c r="D140" s="2"/>
      <c r="E140" s="2"/>
      <c r="F140" s="9" t="str">
        <f>HYPERLINK("http://d22dvihj4pfop3.cloudfront.net/wp-content/uploads/sites/42/2017/02/15181441/AFS_Logo-Portugal.png","http://d22dvihj4pfop3.cloudfront.net/wp-content/uploads/sites/42/2017/02/15181441/AFS_Logo-Portugal.png")</f>
        <v>http://d22dvihj4pfop3.cloudfront.net/wp-content/uploads/sites/42/2017/02/15181441/AFS_Logo-Portugal.png</v>
      </c>
      <c r="G140" s="9" t="str">
        <f>HYPERLINK("http://www.intercultura-afs.pt","http://www.intercultura-afs.pt")</f>
        <v>http://www.intercultura-afs.pt</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39"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39" t="s">
        <v>7747</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39"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39"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39" t="s">
        <v>7748</v>
      </c>
      <c r="C145" s="11" t="s">
        <v>612</v>
      </c>
      <c r="D145" s="2"/>
      <c r="E145" s="2"/>
      <c r="F145" s="9" t="str">
        <f>HYPERLINK("http://www.etapas-felizes.pt/Images/logo.jpg","http://www.etapas-felizes.pt/Images/logo.jpg")</f>
        <v>http://www.etapas-felizes.pt/Images/logo.jpg</v>
      </c>
      <c r="G145" s="9" t="str">
        <f>HYPERLINK("http://www.etapas-felizes.pt","http://www.etapas-felizes.pt")</f>
        <v>http://www.etapas-felizes.pt</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39" t="s">
        <v>7749</v>
      </c>
      <c r="C146" s="11" t="s">
        <v>612</v>
      </c>
      <c r="D146" s="2"/>
      <c r="E146" s="2"/>
      <c r="F146" s="2" t="s">
        <v>2332</v>
      </c>
      <c r="G146" s="9" t="str">
        <f>HYPERLINK("http://www.chln.pt","http://www.chln.pt")</f>
        <v>http://www.chln.pt</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39" t="s">
        <v>7750</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39" t="s">
        <v>7751</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39" t="s">
        <v>7752</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39" t="s">
        <v>7753</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39" t="s">
        <v>7754</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39" t="s">
        <v>7755</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39" t="s">
        <v>7756</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39" t="s">
        <v>7757</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39" t="s">
        <v>644</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39"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39" t="s">
        <v>7758</v>
      </c>
      <c r="C157" s="13" t="s">
        <v>648</v>
      </c>
      <c r="D157" s="13"/>
      <c r="E157" s="13" t="s">
        <v>37</v>
      </c>
      <c r="F157" s="13" t="s">
        <v>649</v>
      </c>
      <c r="G157" s="13" t="s">
        <v>650</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39" t="s">
        <v>3785</v>
      </c>
      <c r="C158" s="11" t="s">
        <v>653</v>
      </c>
      <c r="D158" s="2"/>
      <c r="E158" s="2"/>
      <c r="F158" s="9" t="str">
        <f>HYPERLINK("http://www.hiscox.com/shared-images/HISCOX_Logo_Tag_BI_Vertical_RedFleur_White_RGB_facebook1200x627.png","http://www.hiscox.com/shared-images/HISCOX_Logo_Tag_BI_Vertical_RedFleur_White_RGB_facebook1200x627.png")</f>
        <v>http://www.hiscox.com/shared-images/HISCOX_Logo_Tag_BI_Vertical_RedFleur_White_RGB_facebook1200x627.png</v>
      </c>
      <c r="G158" s="68" t="str">
        <f>HYPERLINK("http://www.hiscox.pt","http://www.hiscox.pt")</f>
        <v>http://www.hiscox.pt</v>
      </c>
      <c r="H158" s="2"/>
      <c r="I158" s="2"/>
      <c r="J158" s="2"/>
      <c r="K158" s="2"/>
      <c r="L158" s="2"/>
      <c r="M158" s="2"/>
      <c r="N158" s="2"/>
      <c r="O158" s="2"/>
      <c r="P158" s="2"/>
      <c r="Q158" s="2"/>
      <c r="R158" s="2"/>
      <c r="S158" s="2"/>
      <c r="T158" s="2"/>
      <c r="U158" s="2"/>
      <c r="V158" s="2"/>
      <c r="W158" s="2"/>
      <c r="X158" s="2"/>
      <c r="Y158" s="2"/>
      <c r="Z158" s="2"/>
    </row>
    <row r="159" ht="13.5" customHeight="1" spans="1:26">
      <c r="A159" s="37" t="s">
        <v>3788</v>
      </c>
      <c r="B159" s="39" t="s">
        <v>2342</v>
      </c>
      <c r="C159" s="37" t="s">
        <v>658</v>
      </c>
      <c r="D159" s="2"/>
      <c r="E159" s="39"/>
      <c r="F159" s="9" t="str">
        <f>HYPERLINK("https://www.mbna.co.uk/uploads/content/visa-logo-v2.jpg","https://www.mbna.co.uk/uploads/content/visa-logo-v2.jpg")</f>
        <v>https://www.mbna.co.uk/uploads/content/visa-logo-v2.jpg</v>
      </c>
      <c r="G159" s="9" t="str">
        <f>HYPERLINK("https://www.visa.pt","https://www.visa.pt")</f>
        <v>https://www.visa.pt</v>
      </c>
      <c r="H159" s="40"/>
      <c r="I159" s="39"/>
      <c r="J159" s="39"/>
      <c r="K159" s="39"/>
      <c r="L159" s="39"/>
      <c r="M159" s="39"/>
      <c r="N159" s="39"/>
      <c r="O159" s="39"/>
      <c r="P159" s="39"/>
      <c r="Q159" s="39"/>
      <c r="R159" s="2"/>
      <c r="S159" s="2"/>
      <c r="T159" s="2"/>
      <c r="U159" s="2"/>
      <c r="V159" s="2"/>
      <c r="W159" s="2"/>
      <c r="X159" s="2"/>
      <c r="Y159" s="2"/>
      <c r="Z159" s="2"/>
    </row>
    <row r="160" ht="13.5" customHeight="1" spans="1:26">
      <c r="A160" s="2" t="s">
        <v>2344</v>
      </c>
      <c r="B160" s="39" t="s">
        <v>2344</v>
      </c>
      <c r="C160" s="2" t="s">
        <v>658</v>
      </c>
      <c r="D160" s="2"/>
      <c r="E160" s="39"/>
      <c r="F160" s="9" t="str">
        <f>HYPERLINK("https://seeklogo.com/images/M/mastercard-logo-473B8726A9-seeklogo.com.png","https://seeklogo.com/images/M/mastercard-logo-473B8726A9-seeklogo.com.png")</f>
        <v>https://seeklogo.com/images/M/mastercard-logo-473B8726A9-seeklogo.com.png</v>
      </c>
      <c r="G160" s="9" t="str">
        <f>HYPERLINK("http://www.mastercard.com/pt/gateway.html","http://www.mastercard.com/pt/gateway.html")</f>
        <v>http://www.mastercard.com/pt/gateway.html</v>
      </c>
      <c r="H160" s="39"/>
      <c r="I160" s="39"/>
      <c r="J160" s="39"/>
      <c r="K160" s="39"/>
      <c r="L160" s="39"/>
      <c r="M160" s="39"/>
      <c r="N160" s="39"/>
      <c r="O160" s="39"/>
      <c r="P160" s="39"/>
      <c r="Q160" s="39"/>
      <c r="R160" s="2"/>
      <c r="S160" s="2"/>
      <c r="T160" s="2"/>
      <c r="U160" s="2"/>
      <c r="V160" s="2"/>
      <c r="W160" s="2"/>
      <c r="X160" s="2"/>
      <c r="Y160" s="2"/>
      <c r="Z160" s="2"/>
    </row>
    <row r="161" ht="13.5" customHeight="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31:D143 D145:D148 D155:D156">
      <formula1>ValidLondonCounterpartyNames</formula1>
    </dataValidation>
  </dataValidations>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1000"/>
  <sheetViews>
    <sheetView topLeftCell="A116" workbookViewId="0">
      <selection activeCell="B156" sqref="B156"/>
    </sheetView>
  </sheetViews>
  <sheetFormatPr defaultColWidth="12.6607142857143" defaultRowHeight="14.8"/>
  <cols>
    <col min="1" max="1" width="29.1607142857143" customWidth="1"/>
    <col min="2" max="2" width="18.1607142857143" customWidth="1"/>
    <col min="3" max="3" width="19.8303571428571" customWidth="1"/>
    <col min="4" max="4" width="20.6607142857143" customWidth="1"/>
    <col min="5" max="5" width="25.1607142857143" customWidth="1"/>
    <col min="6" max="6" width="28.3303571428571" customWidth="1"/>
    <col min="7" max="7" width="35.1607142857143" customWidth="1"/>
    <col min="8" max="17" width="8.66071428571429" customWidth="1"/>
    <col min="18" max="26" width="11.1607142857143" customWidth="1"/>
  </cols>
  <sheetData>
    <row r="1" ht="15"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ht="15" customHeight="1" spans="1:26">
      <c r="A2" s="58" t="s">
        <v>7759</v>
      </c>
      <c r="B2" s="49"/>
      <c r="C2" s="49"/>
      <c r="D2" s="59" t="s">
        <v>2</v>
      </c>
      <c r="E2" s="49"/>
      <c r="F2" s="49"/>
      <c r="G2" s="49"/>
      <c r="H2" s="2"/>
      <c r="I2" s="2"/>
      <c r="J2" s="2"/>
      <c r="K2" s="2"/>
      <c r="L2" s="2"/>
      <c r="M2" s="2"/>
      <c r="N2" s="2"/>
      <c r="O2" s="2"/>
      <c r="P2" s="2"/>
      <c r="Q2" s="2"/>
      <c r="R2" s="2"/>
      <c r="S2" s="2"/>
      <c r="T2" s="2"/>
      <c r="U2" s="2"/>
      <c r="V2" s="2"/>
      <c r="W2" s="2"/>
      <c r="X2" s="2"/>
      <c r="Y2" s="2"/>
      <c r="Z2" s="2"/>
    </row>
    <row r="3" ht="15"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ht="15" customHeight="1" spans="1:26">
      <c r="A4" s="52" t="s">
        <v>10</v>
      </c>
      <c r="B4" s="62" t="s">
        <v>7760</v>
      </c>
      <c r="C4" s="13" t="s">
        <v>12</v>
      </c>
      <c r="D4" s="57"/>
      <c r="E4" s="57"/>
      <c r="F4" s="13" t="s">
        <v>7761</v>
      </c>
      <c r="G4" s="13" t="s">
        <v>7762</v>
      </c>
      <c r="H4" s="2"/>
      <c r="I4" s="2"/>
      <c r="J4" s="2"/>
      <c r="K4" s="2"/>
      <c r="L4" s="2"/>
      <c r="M4" s="2"/>
      <c r="N4" s="2"/>
      <c r="O4" s="2"/>
      <c r="P4" s="2"/>
      <c r="Q4" s="2"/>
      <c r="R4" s="2"/>
      <c r="S4" s="2"/>
      <c r="T4" s="2"/>
      <c r="U4" s="2"/>
      <c r="V4" s="2"/>
      <c r="W4" s="2"/>
      <c r="X4" s="2"/>
      <c r="Y4" s="2"/>
      <c r="Z4" s="2"/>
    </row>
    <row r="5" ht="15" customHeight="1" spans="1:26">
      <c r="A5" s="63" t="s">
        <v>15</v>
      </c>
      <c r="B5" s="13" t="s">
        <v>7763</v>
      </c>
      <c r="C5" s="13" t="s">
        <v>12</v>
      </c>
      <c r="D5" s="57"/>
      <c r="E5" s="57"/>
      <c r="F5" s="13"/>
      <c r="G5" s="13" t="s">
        <v>7764</v>
      </c>
      <c r="H5" s="2"/>
      <c r="I5" s="2"/>
      <c r="J5" s="2"/>
      <c r="K5" s="2"/>
      <c r="L5" s="2"/>
      <c r="M5" s="2"/>
      <c r="N5" s="2"/>
      <c r="O5" s="2"/>
      <c r="P5" s="2"/>
      <c r="Q5" s="2"/>
      <c r="R5" s="2"/>
      <c r="S5" s="2"/>
      <c r="T5" s="2"/>
      <c r="U5" s="2"/>
      <c r="V5" s="2"/>
      <c r="W5" s="2"/>
      <c r="X5" s="2"/>
      <c r="Y5" s="2"/>
      <c r="Z5" s="2"/>
    </row>
    <row r="6" ht="15" customHeight="1" spans="1:26">
      <c r="A6" s="13" t="s">
        <v>18</v>
      </c>
      <c r="B6" s="79" t="s">
        <v>7765</v>
      </c>
      <c r="C6" s="13" t="s">
        <v>20</v>
      </c>
      <c r="D6" s="14">
        <v>340</v>
      </c>
      <c r="E6" s="13" t="s">
        <v>21</v>
      </c>
      <c r="F6" s="13"/>
      <c r="G6" s="13" t="s">
        <v>7766</v>
      </c>
      <c r="H6" s="2"/>
      <c r="I6" s="2"/>
      <c r="J6" s="2"/>
      <c r="K6" s="2"/>
      <c r="L6" s="2"/>
      <c r="M6" s="2"/>
      <c r="N6" s="2"/>
      <c r="O6" s="2"/>
      <c r="P6" s="2"/>
      <c r="Q6" s="2"/>
      <c r="R6" s="2"/>
      <c r="S6" s="2"/>
      <c r="T6" s="2"/>
      <c r="U6" s="2"/>
      <c r="V6" s="2"/>
      <c r="W6" s="2"/>
      <c r="X6" s="2"/>
      <c r="Y6" s="2"/>
      <c r="Z6" s="2"/>
    </row>
    <row r="7" ht="15" customHeight="1" spans="1:26">
      <c r="A7" s="13" t="s">
        <v>24</v>
      </c>
      <c r="B7" s="13" t="s">
        <v>7767</v>
      </c>
      <c r="C7" s="13" t="s">
        <v>1654</v>
      </c>
      <c r="D7" s="14">
        <v>85</v>
      </c>
      <c r="E7" s="13" t="s">
        <v>21</v>
      </c>
      <c r="F7" s="13"/>
      <c r="G7" s="13" t="s">
        <v>7768</v>
      </c>
      <c r="H7" s="2"/>
      <c r="I7" s="2"/>
      <c r="J7" s="2"/>
      <c r="K7" s="2"/>
      <c r="L7" s="2"/>
      <c r="M7" s="2"/>
      <c r="N7" s="2"/>
      <c r="O7" s="2"/>
      <c r="P7" s="2"/>
      <c r="Q7" s="2"/>
      <c r="R7" s="2"/>
      <c r="S7" s="2"/>
      <c r="T7" s="2"/>
      <c r="U7" s="2"/>
      <c r="V7" s="2"/>
      <c r="W7" s="2"/>
      <c r="X7" s="2"/>
      <c r="Y7" s="2"/>
      <c r="Z7" s="2"/>
    </row>
    <row r="8" ht="15" customHeight="1" spans="1:26">
      <c r="A8" s="64" t="s">
        <v>29</v>
      </c>
      <c r="B8" s="13" t="s">
        <v>7769</v>
      </c>
      <c r="C8" s="13" t="s">
        <v>31</v>
      </c>
      <c r="D8" s="65">
        <v>30</v>
      </c>
      <c r="E8" s="13" t="s">
        <v>32</v>
      </c>
      <c r="F8" s="13"/>
      <c r="G8" s="13" t="s">
        <v>7770</v>
      </c>
      <c r="H8" s="2"/>
      <c r="I8" s="2"/>
      <c r="J8" s="2"/>
      <c r="K8" s="2"/>
      <c r="L8" s="2"/>
      <c r="M8" s="2"/>
      <c r="N8" s="2"/>
      <c r="O8" s="2"/>
      <c r="P8" s="2"/>
      <c r="Q8" s="2"/>
      <c r="R8" s="2"/>
      <c r="S8" s="2"/>
      <c r="T8" s="2"/>
      <c r="U8" s="2"/>
      <c r="V8" s="2"/>
      <c r="W8" s="2"/>
      <c r="X8" s="2"/>
      <c r="Y8" s="2"/>
      <c r="Z8" s="2"/>
    </row>
    <row r="9" ht="15" customHeight="1" spans="1:26">
      <c r="A9" s="64" t="s">
        <v>35</v>
      </c>
      <c r="B9" s="13" t="s">
        <v>7771</v>
      </c>
      <c r="C9" s="13" t="s">
        <v>31</v>
      </c>
      <c r="D9" s="65">
        <v>30</v>
      </c>
      <c r="E9" s="13" t="s">
        <v>37</v>
      </c>
      <c r="F9" s="13"/>
      <c r="G9" s="13" t="s">
        <v>7772</v>
      </c>
      <c r="H9" s="2"/>
      <c r="I9" s="2"/>
      <c r="J9" s="2"/>
      <c r="K9" s="2"/>
      <c r="L9" s="2"/>
      <c r="M9" s="2"/>
      <c r="N9" s="2"/>
      <c r="O9" s="2"/>
      <c r="P9" s="2"/>
      <c r="Q9" s="2"/>
      <c r="R9" s="2"/>
      <c r="S9" s="2"/>
      <c r="T9" s="2"/>
      <c r="U9" s="2"/>
      <c r="V9" s="2"/>
      <c r="W9" s="2"/>
      <c r="X9" s="2"/>
      <c r="Y9" s="2"/>
      <c r="Z9" s="2"/>
    </row>
    <row r="10" ht="15" customHeight="1" spans="1:26">
      <c r="A10" s="64" t="s">
        <v>40</v>
      </c>
      <c r="B10" s="13" t="s">
        <v>41</v>
      </c>
      <c r="C10" s="13" t="s">
        <v>7773</v>
      </c>
      <c r="D10" s="65">
        <v>106</v>
      </c>
      <c r="E10" s="13" t="s">
        <v>21</v>
      </c>
      <c r="F10" s="13" t="s">
        <v>7774</v>
      </c>
      <c r="G10" s="13" t="s">
        <v>7775</v>
      </c>
      <c r="H10" s="2"/>
      <c r="I10" s="2"/>
      <c r="J10" s="2"/>
      <c r="K10" s="2"/>
      <c r="L10" s="2"/>
      <c r="M10" s="2"/>
      <c r="N10" s="2"/>
      <c r="O10" s="2"/>
      <c r="P10" s="2"/>
      <c r="Q10" s="2"/>
      <c r="R10" s="2"/>
      <c r="S10" s="2"/>
      <c r="T10" s="2"/>
      <c r="U10" s="2"/>
      <c r="V10" s="2"/>
      <c r="W10" s="2"/>
      <c r="X10" s="2"/>
      <c r="Y10" s="2"/>
      <c r="Z10" s="2"/>
    </row>
    <row r="11" ht="15" customHeight="1" spans="1:26">
      <c r="A11" s="13" t="s">
        <v>44</v>
      </c>
      <c r="B11" s="13" t="s">
        <v>7776</v>
      </c>
      <c r="C11" s="13" t="s">
        <v>46</v>
      </c>
      <c r="D11" s="57"/>
      <c r="E11" s="57"/>
      <c r="F11" s="13"/>
      <c r="G11" s="13" t="s">
        <v>7777</v>
      </c>
      <c r="H11" s="2"/>
      <c r="I11" s="2"/>
      <c r="J11" s="2"/>
      <c r="K11" s="2"/>
      <c r="L11" s="2"/>
      <c r="M11" s="2"/>
      <c r="N11" s="2"/>
      <c r="O11" s="2"/>
      <c r="P11" s="2"/>
      <c r="Q11" s="2"/>
      <c r="R11" s="2"/>
      <c r="S11" s="2"/>
      <c r="T11" s="2"/>
      <c r="U11" s="2"/>
      <c r="V11" s="2"/>
      <c r="W11" s="2"/>
      <c r="X11" s="2"/>
      <c r="Y11" s="2"/>
      <c r="Z11" s="2"/>
    </row>
    <row r="12" ht="15" customHeight="1" spans="1:26">
      <c r="A12" s="13" t="s">
        <v>49</v>
      </c>
      <c r="B12" s="78" t="s">
        <v>7778</v>
      </c>
      <c r="C12" s="13" t="s">
        <v>51</v>
      </c>
      <c r="D12" s="57"/>
      <c r="E12" s="57"/>
      <c r="F12" s="13"/>
      <c r="G12" t="s">
        <v>7779</v>
      </c>
      <c r="H12" s="2"/>
      <c r="I12" s="2"/>
      <c r="J12" s="2"/>
      <c r="K12" s="2"/>
      <c r="L12" s="2"/>
      <c r="M12" s="2"/>
      <c r="N12" s="2"/>
      <c r="O12" s="2"/>
      <c r="P12" s="2"/>
      <c r="Q12" s="2"/>
      <c r="R12" s="2"/>
      <c r="S12" s="2"/>
      <c r="T12" s="2"/>
      <c r="U12" s="2"/>
      <c r="V12" s="2"/>
      <c r="W12" s="2"/>
      <c r="X12" s="2"/>
      <c r="Y12" s="2"/>
      <c r="Z12" s="2"/>
    </row>
    <row r="13" ht="15" customHeight="1" spans="1:26">
      <c r="A13" s="13" t="s">
        <v>54</v>
      </c>
      <c r="B13" s="13" t="s">
        <v>7780</v>
      </c>
      <c r="C13" s="13" t="s">
        <v>56</v>
      </c>
      <c r="D13" s="57"/>
      <c r="E13" s="57"/>
      <c r="F13" s="13"/>
      <c r="G13" s="13" t="s">
        <v>7781</v>
      </c>
      <c r="H13" s="2"/>
      <c r="I13" s="2"/>
      <c r="J13" s="2"/>
      <c r="K13" s="2"/>
      <c r="L13" s="2"/>
      <c r="M13" s="2"/>
      <c r="N13" s="2"/>
      <c r="O13" s="2"/>
      <c r="P13" s="2"/>
      <c r="Q13" s="2"/>
      <c r="R13" s="2"/>
      <c r="S13" s="2"/>
      <c r="T13" s="2"/>
      <c r="U13" s="2"/>
      <c r="V13" s="2"/>
      <c r="W13" s="2"/>
      <c r="X13" s="2"/>
      <c r="Y13" s="2"/>
      <c r="Z13" s="2"/>
    </row>
    <row r="14" ht="15" customHeight="1" spans="1:26">
      <c r="A14" s="64" t="s">
        <v>59</v>
      </c>
      <c r="B14" s="13" t="s">
        <v>7782</v>
      </c>
      <c r="C14" s="13" t="s">
        <v>61</v>
      </c>
      <c r="D14" s="65">
        <v>13</v>
      </c>
      <c r="E14" s="13" t="s">
        <v>37</v>
      </c>
      <c r="F14" s="13"/>
      <c r="G14" s="13" t="s">
        <v>7783</v>
      </c>
      <c r="H14" s="2"/>
      <c r="I14" s="2"/>
      <c r="J14" s="2"/>
      <c r="K14" s="2"/>
      <c r="L14" s="2"/>
      <c r="M14" s="2"/>
      <c r="N14" s="2"/>
      <c r="O14" s="2"/>
      <c r="P14" s="2"/>
      <c r="Q14" s="2"/>
      <c r="R14" s="2"/>
      <c r="S14" s="2"/>
      <c r="T14" s="2"/>
      <c r="U14" s="2"/>
      <c r="V14" s="2"/>
      <c r="W14" s="2"/>
      <c r="X14" s="2"/>
      <c r="Y14" s="2"/>
      <c r="Z14" s="2"/>
    </row>
    <row r="15" ht="15" customHeight="1" spans="1:26">
      <c r="A15" s="64" t="s">
        <v>64</v>
      </c>
      <c r="B15" s="13" t="s">
        <v>7784</v>
      </c>
      <c r="C15" s="13" t="s">
        <v>66</v>
      </c>
      <c r="D15" s="65">
        <v>13</v>
      </c>
      <c r="E15" s="13" t="s">
        <v>32</v>
      </c>
      <c r="F15" s="13"/>
      <c r="G15" s="13" t="s">
        <v>7785</v>
      </c>
      <c r="H15" s="2"/>
      <c r="I15" s="2"/>
      <c r="J15" s="2"/>
      <c r="K15" s="2"/>
      <c r="L15" s="2"/>
      <c r="M15" s="2"/>
      <c r="N15" s="2"/>
      <c r="O15" s="2"/>
      <c r="P15" s="2"/>
      <c r="Q15" s="2"/>
      <c r="R15" s="2"/>
      <c r="S15" s="2"/>
      <c r="T15" s="2"/>
      <c r="U15" s="2"/>
      <c r="V15" s="2"/>
      <c r="W15" s="2"/>
      <c r="X15" s="2"/>
      <c r="Y15" s="2"/>
      <c r="Z15" s="2"/>
    </row>
    <row r="16" ht="15" customHeight="1" spans="1:26">
      <c r="A16" s="64" t="s">
        <v>69</v>
      </c>
      <c r="B16" s="13" t="s">
        <v>2097</v>
      </c>
      <c r="C16" s="13" t="s">
        <v>66</v>
      </c>
      <c r="D16" s="65">
        <v>12</v>
      </c>
      <c r="E16" s="13" t="s">
        <v>71</v>
      </c>
      <c r="F16" s="13" t="s">
        <v>2098</v>
      </c>
      <c r="G16" s="13" t="s">
        <v>7786</v>
      </c>
      <c r="H16" s="2"/>
      <c r="I16" s="2"/>
      <c r="J16" s="2"/>
      <c r="K16" s="2"/>
      <c r="L16" s="2"/>
      <c r="M16" s="2"/>
      <c r="N16" s="2"/>
      <c r="O16" s="2"/>
      <c r="P16" s="2"/>
      <c r="Q16" s="2"/>
      <c r="R16" s="2"/>
      <c r="S16" s="2"/>
      <c r="T16" s="2"/>
      <c r="U16" s="2"/>
      <c r="V16" s="2"/>
      <c r="W16" s="2"/>
      <c r="X16" s="2"/>
      <c r="Y16" s="2"/>
      <c r="Z16" s="2"/>
    </row>
    <row r="17" ht="15" customHeight="1" spans="1:26">
      <c r="A17" s="13" t="s">
        <v>74</v>
      </c>
      <c r="B17" s="13" t="s">
        <v>7787</v>
      </c>
      <c r="C17" s="13" t="s">
        <v>76</v>
      </c>
      <c r="D17" s="57"/>
      <c r="E17" s="57"/>
      <c r="F17" s="13"/>
      <c r="G17" s="13" t="s">
        <v>7788</v>
      </c>
      <c r="H17" s="2"/>
      <c r="I17" s="2"/>
      <c r="J17" s="2"/>
      <c r="K17" s="2"/>
      <c r="L17" s="2"/>
      <c r="M17" s="2"/>
      <c r="N17" s="2"/>
      <c r="O17" s="2"/>
      <c r="P17" s="2"/>
      <c r="Q17" s="2"/>
      <c r="R17" s="2"/>
      <c r="S17" s="2"/>
      <c r="T17" s="2"/>
      <c r="U17" s="2"/>
      <c r="V17" s="2"/>
      <c r="W17" s="2"/>
      <c r="X17" s="2"/>
      <c r="Y17" s="2"/>
      <c r="Z17" s="2"/>
    </row>
    <row r="18" ht="15" customHeight="1" spans="1:26">
      <c r="A18" s="64" t="s">
        <v>79</v>
      </c>
      <c r="B18" s="13" t="s">
        <v>7789</v>
      </c>
      <c r="C18" s="13" t="s">
        <v>81</v>
      </c>
      <c r="D18" s="65">
        <v>30</v>
      </c>
      <c r="E18" s="13" t="s">
        <v>37</v>
      </c>
      <c r="F18" s="68"/>
      <c r="G18" s="13" t="s">
        <v>7790</v>
      </c>
      <c r="H18" s="2"/>
      <c r="I18" s="2"/>
      <c r="J18" s="2"/>
      <c r="K18" s="2"/>
      <c r="L18" s="2"/>
      <c r="M18" s="2"/>
      <c r="N18" s="2"/>
      <c r="O18" s="2"/>
      <c r="P18" s="2"/>
      <c r="Q18" s="2"/>
      <c r="R18" s="2"/>
      <c r="S18" s="2"/>
      <c r="T18" s="2"/>
      <c r="U18" s="2"/>
      <c r="V18" s="2"/>
      <c r="W18" s="2"/>
      <c r="X18" s="2"/>
      <c r="Y18" s="2"/>
      <c r="Z18" s="2"/>
    </row>
    <row r="19" ht="15" customHeight="1" spans="1:26">
      <c r="A19" s="13" t="s">
        <v>84</v>
      </c>
      <c r="B19" s="13" t="s">
        <v>7791</v>
      </c>
      <c r="C19" s="13" t="s">
        <v>86</v>
      </c>
      <c r="D19" s="14">
        <v>134</v>
      </c>
      <c r="E19" s="13" t="s">
        <v>21</v>
      </c>
      <c r="F19" s="13"/>
      <c r="G19" s="13" t="s">
        <v>7792</v>
      </c>
      <c r="H19" s="2"/>
      <c r="I19" s="2"/>
      <c r="J19" s="2"/>
      <c r="K19" s="2"/>
      <c r="L19" s="2"/>
      <c r="M19" s="2"/>
      <c r="N19" s="2"/>
      <c r="O19" s="2"/>
      <c r="P19" s="2"/>
      <c r="Q19" s="2"/>
      <c r="R19" s="2"/>
      <c r="S19" s="2"/>
      <c r="T19" s="2"/>
      <c r="U19" s="2"/>
      <c r="V19" s="2"/>
      <c r="W19" s="2"/>
      <c r="X19" s="2"/>
      <c r="Y19" s="2"/>
      <c r="Z19" s="2"/>
    </row>
    <row r="20" ht="15" customHeight="1" spans="1:26">
      <c r="A20" s="13" t="s">
        <v>89</v>
      </c>
      <c r="B20" s="13" t="s">
        <v>1688</v>
      </c>
      <c r="C20" s="13" t="s">
        <v>91</v>
      </c>
      <c r="D20" s="57"/>
      <c r="E20" s="57"/>
      <c r="F20" s="13" t="s">
        <v>1689</v>
      </c>
      <c r="G20" s="13" t="s">
        <v>7793</v>
      </c>
      <c r="H20" s="2"/>
      <c r="I20" s="2"/>
      <c r="J20" s="2"/>
      <c r="K20" s="2"/>
      <c r="L20" s="2"/>
      <c r="M20" s="2"/>
      <c r="N20" s="2"/>
      <c r="O20" s="2"/>
      <c r="P20" s="2"/>
      <c r="Q20" s="2"/>
      <c r="R20" s="2"/>
      <c r="S20" s="2"/>
      <c r="T20" s="2"/>
      <c r="U20" s="2"/>
      <c r="V20" s="2"/>
      <c r="W20" s="2"/>
      <c r="X20" s="2"/>
      <c r="Y20" s="2"/>
      <c r="Z20" s="2"/>
    </row>
    <row r="21" ht="15" customHeight="1" spans="1:26">
      <c r="A21" s="64" t="s">
        <v>94</v>
      </c>
      <c r="B21" s="13" t="s">
        <v>2108</v>
      </c>
      <c r="C21" s="13" t="s">
        <v>925</v>
      </c>
      <c r="D21" s="65">
        <v>60</v>
      </c>
      <c r="E21" s="13" t="s">
        <v>71</v>
      </c>
      <c r="F21" s="13" t="s">
        <v>2109</v>
      </c>
      <c r="G21" s="13" t="s">
        <v>7794</v>
      </c>
      <c r="H21" s="2"/>
      <c r="I21" s="2"/>
      <c r="J21" s="2"/>
      <c r="K21" s="2"/>
      <c r="L21" s="2"/>
      <c r="M21" s="2"/>
      <c r="N21" s="2"/>
      <c r="O21" s="2"/>
      <c r="P21" s="2"/>
      <c r="Q21" s="2"/>
      <c r="R21" s="2"/>
      <c r="S21" s="2"/>
      <c r="T21" s="2"/>
      <c r="U21" s="2"/>
      <c r="V21" s="2"/>
      <c r="W21" s="2"/>
      <c r="X21" s="2"/>
      <c r="Y21" s="2"/>
      <c r="Z21" s="2"/>
    </row>
    <row r="22" ht="15" customHeight="1" spans="1:26">
      <c r="A22" s="64" t="s">
        <v>99</v>
      </c>
      <c r="B22" s="13" t="s">
        <v>928</v>
      </c>
      <c r="C22" s="13" t="s">
        <v>925</v>
      </c>
      <c r="D22" s="65">
        <v>70</v>
      </c>
      <c r="E22" s="13" t="s">
        <v>32</v>
      </c>
      <c r="F22" s="13" t="s">
        <v>929</v>
      </c>
      <c r="G22" s="13" t="s">
        <v>7795</v>
      </c>
      <c r="H22" s="2"/>
      <c r="I22" s="2"/>
      <c r="J22" s="2"/>
      <c r="K22" s="2"/>
      <c r="L22" s="2"/>
      <c r="M22" s="2"/>
      <c r="N22" s="2"/>
      <c r="O22" s="2"/>
      <c r="P22" s="2"/>
      <c r="Q22" s="2"/>
      <c r="R22" s="2"/>
      <c r="S22" s="2"/>
      <c r="T22" s="2"/>
      <c r="U22" s="2"/>
      <c r="V22" s="2"/>
      <c r="W22" s="2"/>
      <c r="X22" s="2"/>
      <c r="Y22" s="2"/>
      <c r="Z22" s="2"/>
    </row>
    <row r="23" ht="15" customHeight="1" spans="1:26">
      <c r="A23" s="64" t="s">
        <v>102</v>
      </c>
      <c r="B23" s="13" t="s">
        <v>7796</v>
      </c>
      <c r="C23" s="13" t="s">
        <v>108</v>
      </c>
      <c r="D23" s="65">
        <v>123</v>
      </c>
      <c r="E23" s="13" t="s">
        <v>21</v>
      </c>
      <c r="F23" s="13"/>
      <c r="G23" s="13" t="s">
        <v>7797</v>
      </c>
      <c r="H23" s="2"/>
      <c r="I23" s="2"/>
      <c r="J23" s="2"/>
      <c r="K23" s="2"/>
      <c r="L23" s="2"/>
      <c r="M23" s="2"/>
      <c r="N23" s="2"/>
      <c r="O23" s="2"/>
      <c r="P23" s="2"/>
      <c r="Q23" s="2"/>
      <c r="R23" s="2"/>
      <c r="S23" s="2"/>
      <c r="T23" s="2"/>
      <c r="U23" s="2"/>
      <c r="V23" s="2"/>
      <c r="W23" s="2"/>
      <c r="X23" s="2"/>
      <c r="Y23" s="2"/>
      <c r="Z23" s="2"/>
    </row>
    <row r="24" ht="15" customHeight="1" spans="1:26">
      <c r="A24" s="13" t="s">
        <v>107</v>
      </c>
      <c r="B24" s="13" t="s">
        <v>931</v>
      </c>
      <c r="C24" s="13" t="s">
        <v>104</v>
      </c>
      <c r="D24" s="57"/>
      <c r="E24" s="57"/>
      <c r="F24" s="13" t="s">
        <v>932</v>
      </c>
      <c r="G24" s="13" t="s">
        <v>7798</v>
      </c>
      <c r="H24" s="2"/>
      <c r="I24" s="2"/>
      <c r="J24" s="2"/>
      <c r="K24" s="2"/>
      <c r="L24" s="2"/>
      <c r="M24" s="2"/>
      <c r="N24" s="2"/>
      <c r="O24" s="2"/>
      <c r="P24" s="2"/>
      <c r="Q24" s="2"/>
      <c r="R24" s="2"/>
      <c r="S24" s="2"/>
      <c r="T24" s="2"/>
      <c r="U24" s="2"/>
      <c r="V24" s="2"/>
      <c r="W24" s="2"/>
      <c r="X24" s="2"/>
      <c r="Y24" s="2"/>
      <c r="Z24" s="2"/>
    </row>
    <row r="25" ht="15" customHeight="1" spans="1:26">
      <c r="A25" s="13" t="s">
        <v>110</v>
      </c>
      <c r="B25" s="13" t="s">
        <v>7799</v>
      </c>
      <c r="C25" s="13" t="s">
        <v>112</v>
      </c>
      <c r="D25" s="57"/>
      <c r="E25" s="57"/>
      <c r="F25" s="13"/>
      <c r="G25" s="13" t="s">
        <v>7800</v>
      </c>
      <c r="H25" s="2"/>
      <c r="I25" s="2"/>
      <c r="J25" s="2"/>
      <c r="K25" s="2"/>
      <c r="L25" s="2"/>
      <c r="M25" s="2"/>
      <c r="N25" s="2"/>
      <c r="O25" s="2"/>
      <c r="P25" s="2"/>
      <c r="Q25" s="2"/>
      <c r="R25" s="2"/>
      <c r="S25" s="2"/>
      <c r="T25" s="2"/>
      <c r="U25" s="2"/>
      <c r="V25" s="2"/>
      <c r="W25" s="2"/>
      <c r="X25" s="2"/>
      <c r="Y25" s="2"/>
      <c r="Z25" s="2"/>
    </row>
    <row r="26" ht="15" customHeight="1" spans="1:26">
      <c r="A26" s="13" t="s">
        <v>115</v>
      </c>
      <c r="B26" s="13" t="s">
        <v>1706</v>
      </c>
      <c r="C26" s="13" t="s">
        <v>117</v>
      </c>
      <c r="D26" s="65">
        <v>90</v>
      </c>
      <c r="E26" s="13" t="s">
        <v>32</v>
      </c>
      <c r="F26" s="68" t="s">
        <v>7801</v>
      </c>
      <c r="G26" s="68" t="s">
        <v>7802</v>
      </c>
      <c r="H26" s="2"/>
      <c r="I26" s="2"/>
      <c r="J26" s="2"/>
      <c r="K26" s="2"/>
      <c r="L26" s="2"/>
      <c r="M26" s="2"/>
      <c r="N26" s="2"/>
      <c r="O26" s="2"/>
      <c r="P26" s="2"/>
      <c r="Q26" s="2"/>
      <c r="R26" s="2"/>
      <c r="S26" s="2"/>
      <c r="T26" s="2"/>
      <c r="U26" s="2"/>
      <c r="V26" s="2"/>
      <c r="W26" s="2"/>
      <c r="X26" s="2"/>
      <c r="Y26" s="2"/>
      <c r="Z26" s="2"/>
    </row>
    <row r="27" ht="15" customHeight="1" spans="1:26">
      <c r="A27" s="64" t="s">
        <v>120</v>
      </c>
      <c r="B27" s="13" t="s">
        <v>7803</v>
      </c>
      <c r="C27" s="13" t="s">
        <v>117</v>
      </c>
      <c r="D27" s="65">
        <v>60</v>
      </c>
      <c r="E27" s="13" t="s">
        <v>37</v>
      </c>
      <c r="F27" s="13" t="s">
        <v>7804</v>
      </c>
      <c r="G27" s="13" t="s">
        <v>7805</v>
      </c>
      <c r="H27" s="2"/>
      <c r="I27" s="2"/>
      <c r="J27" s="2"/>
      <c r="K27" s="2"/>
      <c r="L27" s="2"/>
      <c r="M27" s="2"/>
      <c r="N27" s="2"/>
      <c r="O27" s="2"/>
      <c r="P27" s="2"/>
      <c r="Q27" s="2"/>
      <c r="R27" s="2"/>
      <c r="S27" s="2"/>
      <c r="T27" s="2"/>
      <c r="U27" s="2"/>
      <c r="V27" s="2"/>
      <c r="W27" s="2"/>
      <c r="X27" s="2"/>
      <c r="Y27" s="2"/>
      <c r="Z27" s="2"/>
    </row>
    <row r="28" ht="15" customHeight="1" spans="1:26">
      <c r="A28" s="13" t="s">
        <v>123</v>
      </c>
      <c r="B28" s="13" t="s">
        <v>7806</v>
      </c>
      <c r="C28" s="13" t="s">
        <v>117</v>
      </c>
      <c r="D28" s="65">
        <v>80</v>
      </c>
      <c r="E28" s="13" t="s">
        <v>245</v>
      </c>
      <c r="F28" s="13"/>
      <c r="G28" s="13" t="s">
        <v>7807</v>
      </c>
      <c r="H28" s="2"/>
      <c r="I28" s="2"/>
      <c r="J28" s="2"/>
      <c r="K28" s="2"/>
      <c r="L28" s="2"/>
      <c r="M28" s="2"/>
      <c r="N28" s="2"/>
      <c r="O28" s="2"/>
      <c r="P28" s="2"/>
      <c r="Q28" s="2"/>
      <c r="R28" s="2"/>
      <c r="S28" s="2"/>
      <c r="T28" s="2"/>
      <c r="U28" s="2"/>
      <c r="V28" s="2"/>
      <c r="W28" s="2"/>
      <c r="X28" s="2"/>
      <c r="Y28" s="2"/>
      <c r="Z28" s="2"/>
    </row>
    <row r="29" ht="15" customHeight="1" spans="1:26">
      <c r="A29" s="64" t="s">
        <v>127</v>
      </c>
      <c r="B29" s="13" t="s">
        <v>7808</v>
      </c>
      <c r="C29" s="13" t="s">
        <v>117</v>
      </c>
      <c r="D29" s="65">
        <v>50</v>
      </c>
      <c r="E29" s="13" t="s">
        <v>37</v>
      </c>
      <c r="F29" s="13"/>
      <c r="G29" s="13" t="s">
        <v>7809</v>
      </c>
      <c r="H29" s="2"/>
      <c r="I29" s="2"/>
      <c r="J29" s="2"/>
      <c r="K29" s="2"/>
      <c r="L29" s="2"/>
      <c r="M29" s="2"/>
      <c r="N29" s="2"/>
      <c r="O29" s="2"/>
      <c r="P29" s="2"/>
      <c r="Q29" s="2"/>
      <c r="R29" s="2"/>
      <c r="S29" s="2"/>
      <c r="T29" s="2"/>
      <c r="U29" s="2"/>
      <c r="V29" s="2"/>
      <c r="W29" s="2"/>
      <c r="X29" s="2"/>
      <c r="Y29" s="2"/>
      <c r="Z29" s="2"/>
    </row>
    <row r="30" ht="15" customHeight="1" spans="1:26">
      <c r="A30" s="64" t="s">
        <v>131</v>
      </c>
      <c r="B30" s="13" t="s">
        <v>7810</v>
      </c>
      <c r="C30" s="13" t="s">
        <v>117</v>
      </c>
      <c r="D30" s="65">
        <v>50</v>
      </c>
      <c r="E30" s="13" t="s">
        <v>32</v>
      </c>
      <c r="F30" s="13"/>
      <c r="G30" s="13" t="s">
        <v>7811</v>
      </c>
      <c r="H30" s="2"/>
      <c r="I30" s="2"/>
      <c r="J30" s="2"/>
      <c r="K30" s="2"/>
      <c r="L30" s="2"/>
      <c r="M30" s="2"/>
      <c r="N30" s="2"/>
      <c r="O30" s="2"/>
      <c r="P30" s="2"/>
      <c r="Q30" s="2"/>
      <c r="R30" s="2"/>
      <c r="S30" s="2"/>
      <c r="T30" s="2"/>
      <c r="U30" s="2"/>
      <c r="V30" s="2"/>
      <c r="W30" s="2"/>
      <c r="X30" s="2"/>
      <c r="Y30" s="2"/>
      <c r="Z30" s="2"/>
    </row>
    <row r="31" ht="15" customHeight="1" spans="1:26">
      <c r="A31" s="64" t="s">
        <v>135</v>
      </c>
      <c r="B31" s="13" t="s">
        <v>7812</v>
      </c>
      <c r="C31" s="13" t="s">
        <v>117</v>
      </c>
      <c r="D31" s="65">
        <v>30</v>
      </c>
      <c r="E31" s="13" t="s">
        <v>32</v>
      </c>
      <c r="F31" s="13" t="s">
        <v>7813</v>
      </c>
      <c r="G31" s="13" t="s">
        <v>7814</v>
      </c>
      <c r="H31" s="2"/>
      <c r="I31" s="2"/>
      <c r="J31" s="2"/>
      <c r="K31" s="2"/>
      <c r="L31" s="2"/>
      <c r="M31" s="2"/>
      <c r="N31" s="2"/>
      <c r="O31" s="2"/>
      <c r="P31" s="2"/>
      <c r="Q31" s="2"/>
      <c r="R31" s="2"/>
      <c r="S31" s="2"/>
      <c r="T31" s="2"/>
      <c r="U31" s="2"/>
      <c r="V31" s="2"/>
      <c r="W31" s="2"/>
      <c r="X31" s="2"/>
      <c r="Y31" s="2"/>
      <c r="Z31" s="2"/>
    </row>
    <row r="32" ht="15" customHeight="1" spans="1:26">
      <c r="A32" s="13" t="s">
        <v>139</v>
      </c>
      <c r="B32" s="13" t="s">
        <v>7815</v>
      </c>
      <c r="C32" s="13" t="s">
        <v>141</v>
      </c>
      <c r="D32" s="14">
        <v>55</v>
      </c>
      <c r="E32" s="13" t="s">
        <v>37</v>
      </c>
      <c r="F32" s="13"/>
      <c r="G32" s="13" t="s">
        <v>7816</v>
      </c>
      <c r="H32" s="2"/>
      <c r="I32" s="2"/>
      <c r="J32" s="2"/>
      <c r="K32" s="2"/>
      <c r="L32" s="2"/>
      <c r="M32" s="2"/>
      <c r="N32" s="2"/>
      <c r="O32" s="2"/>
      <c r="P32" s="2"/>
      <c r="Q32" s="2"/>
      <c r="R32" s="2"/>
      <c r="S32" s="2"/>
      <c r="T32" s="2"/>
      <c r="U32" s="2"/>
      <c r="V32" s="2"/>
      <c r="W32" s="2"/>
      <c r="X32" s="2"/>
      <c r="Y32" s="2"/>
      <c r="Z32" s="2"/>
    </row>
    <row r="33" ht="15" customHeight="1" spans="1:26">
      <c r="A33" s="13" t="s">
        <v>144</v>
      </c>
      <c r="B33" s="13" t="s">
        <v>7817</v>
      </c>
      <c r="C33" s="13" t="s">
        <v>146</v>
      </c>
      <c r="D33" s="57"/>
      <c r="E33" s="57"/>
      <c r="F33" s="13"/>
      <c r="G33" s="13" t="s">
        <v>7818</v>
      </c>
      <c r="H33" s="2"/>
      <c r="I33" s="2"/>
      <c r="J33" s="2"/>
      <c r="K33" s="2"/>
      <c r="L33" s="2"/>
      <c r="M33" s="2"/>
      <c r="N33" s="2"/>
      <c r="O33" s="2"/>
      <c r="P33" s="2"/>
      <c r="Q33" s="2"/>
      <c r="R33" s="2"/>
      <c r="S33" s="2"/>
      <c r="T33" s="2"/>
      <c r="U33" s="2"/>
      <c r="V33" s="2"/>
      <c r="W33" s="2"/>
      <c r="X33" s="2"/>
      <c r="Y33" s="2"/>
      <c r="Z33" s="2"/>
    </row>
    <row r="34" ht="15" customHeight="1" spans="1:26">
      <c r="A34" s="13" t="s">
        <v>149</v>
      </c>
      <c r="B34" s="13" t="s">
        <v>7819</v>
      </c>
      <c r="C34" s="13" t="s">
        <v>151</v>
      </c>
      <c r="D34" s="57"/>
      <c r="E34" s="57"/>
      <c r="F34" s="13"/>
      <c r="G34" s="13" t="s">
        <v>7820</v>
      </c>
      <c r="H34" s="2"/>
      <c r="I34" s="2"/>
      <c r="J34" s="2"/>
      <c r="K34" s="2"/>
      <c r="L34" s="2"/>
      <c r="M34" s="2"/>
      <c r="N34" s="2"/>
      <c r="O34" s="2"/>
      <c r="P34" s="2"/>
      <c r="Q34" s="2"/>
      <c r="R34" s="2"/>
      <c r="S34" s="2"/>
      <c r="T34" s="2"/>
      <c r="U34" s="2"/>
      <c r="V34" s="2"/>
      <c r="W34" s="2"/>
      <c r="X34" s="2"/>
      <c r="Y34" s="2"/>
      <c r="Z34" s="2"/>
    </row>
    <row r="35" ht="15" customHeight="1" spans="1:26">
      <c r="A35" s="64" t="s">
        <v>154</v>
      </c>
      <c r="B35" s="13" t="s">
        <v>7821</v>
      </c>
      <c r="C35" s="13" t="s">
        <v>156</v>
      </c>
      <c r="D35" s="65">
        <v>30</v>
      </c>
      <c r="E35" s="13" t="s">
        <v>37</v>
      </c>
      <c r="F35" s="13"/>
      <c r="G35" s="13" t="s">
        <v>7822</v>
      </c>
      <c r="H35" s="2"/>
      <c r="I35" s="2"/>
      <c r="J35" s="2"/>
      <c r="K35" s="2"/>
      <c r="L35" s="2"/>
      <c r="M35" s="2"/>
      <c r="N35" s="2"/>
      <c r="O35" s="2"/>
      <c r="P35" s="2"/>
      <c r="Q35" s="2"/>
      <c r="R35" s="2"/>
      <c r="S35" s="2"/>
      <c r="T35" s="2"/>
      <c r="U35" s="2"/>
      <c r="V35" s="2"/>
      <c r="W35" s="2"/>
      <c r="X35" s="2"/>
      <c r="Y35" s="2"/>
      <c r="Z35" s="2"/>
    </row>
    <row r="36" ht="15" customHeight="1" spans="1:26">
      <c r="A36" s="13" t="s">
        <v>159</v>
      </c>
      <c r="B36" s="13" t="s">
        <v>7823</v>
      </c>
      <c r="C36" s="13" t="s">
        <v>161</v>
      </c>
      <c r="D36" s="57"/>
      <c r="E36" s="57"/>
      <c r="F36" s="13"/>
      <c r="G36" s="13" t="s">
        <v>7824</v>
      </c>
      <c r="H36" s="2"/>
      <c r="I36" s="2"/>
      <c r="J36" s="2"/>
      <c r="K36" s="2"/>
      <c r="L36" s="2"/>
      <c r="M36" s="2"/>
      <c r="N36" s="2"/>
      <c r="O36" s="2"/>
      <c r="P36" s="2"/>
      <c r="Q36" s="2"/>
      <c r="R36" s="2"/>
      <c r="S36" s="2"/>
      <c r="T36" s="2"/>
      <c r="U36" s="2"/>
      <c r="V36" s="2"/>
      <c r="W36" s="2"/>
      <c r="X36" s="2"/>
      <c r="Y36" s="2"/>
      <c r="Z36" s="2"/>
    </row>
    <row r="37" ht="15" customHeight="1" spans="1:26">
      <c r="A37" s="13" t="s">
        <v>164</v>
      </c>
      <c r="B37" s="13" t="s">
        <v>7825</v>
      </c>
      <c r="C37" s="13" t="s">
        <v>166</v>
      </c>
      <c r="D37" s="57"/>
      <c r="E37" s="57"/>
      <c r="F37" s="13" t="s">
        <v>7826</v>
      </c>
      <c r="G37" s="13" t="s">
        <v>7827</v>
      </c>
      <c r="H37" s="2"/>
      <c r="I37" s="2"/>
      <c r="J37" s="2"/>
      <c r="K37" s="2"/>
      <c r="L37" s="2"/>
      <c r="M37" s="2"/>
      <c r="N37" s="2"/>
      <c r="O37" s="2"/>
      <c r="P37" s="2"/>
      <c r="Q37" s="2"/>
      <c r="R37" s="2"/>
      <c r="S37" s="2"/>
      <c r="T37" s="2"/>
      <c r="U37" s="2"/>
      <c r="V37" s="2"/>
      <c r="W37" s="2"/>
      <c r="X37" s="2"/>
      <c r="Y37" s="2"/>
      <c r="Z37" s="2"/>
    </row>
    <row r="38" ht="15" customHeight="1" spans="1:26">
      <c r="A38" s="64" t="s">
        <v>169</v>
      </c>
      <c r="B38" s="13" t="s">
        <v>7828</v>
      </c>
      <c r="C38" s="13" t="s">
        <v>171</v>
      </c>
      <c r="D38" s="65">
        <v>46</v>
      </c>
      <c r="E38" s="13" t="s">
        <v>37</v>
      </c>
      <c r="F38" s="13" t="s">
        <v>7829</v>
      </c>
      <c r="G38" s="13" t="s">
        <v>7830</v>
      </c>
      <c r="H38" s="2"/>
      <c r="I38" s="2"/>
      <c r="J38" s="2"/>
      <c r="K38" s="2"/>
      <c r="L38" s="2"/>
      <c r="M38" s="2"/>
      <c r="N38" s="2"/>
      <c r="O38" s="2"/>
      <c r="P38" s="2"/>
      <c r="Q38" s="2"/>
      <c r="R38" s="2"/>
      <c r="S38" s="2"/>
      <c r="T38" s="2"/>
      <c r="U38" s="2"/>
      <c r="V38" s="2"/>
      <c r="W38" s="2"/>
      <c r="X38" s="2"/>
      <c r="Y38" s="2"/>
      <c r="Z38" s="2"/>
    </row>
    <row r="39" ht="15" customHeight="1" spans="1:26">
      <c r="A39" s="64" t="s">
        <v>174</v>
      </c>
      <c r="B39" s="13" t="s">
        <v>5000</v>
      </c>
      <c r="C39" s="13" t="s">
        <v>171</v>
      </c>
      <c r="D39" s="65">
        <v>30</v>
      </c>
      <c r="E39" s="13" t="s">
        <v>37</v>
      </c>
      <c r="F39" s="13" t="s">
        <v>7831</v>
      </c>
      <c r="G39" s="13" t="s">
        <v>7832</v>
      </c>
      <c r="H39" s="2"/>
      <c r="I39" s="2"/>
      <c r="J39" s="2"/>
      <c r="K39" s="2"/>
      <c r="L39" s="2"/>
      <c r="M39" s="2"/>
      <c r="N39" s="2"/>
      <c r="O39" s="2"/>
      <c r="P39" s="2"/>
      <c r="Q39" s="2"/>
      <c r="R39" s="2"/>
      <c r="S39" s="2"/>
      <c r="T39" s="2"/>
      <c r="U39" s="2"/>
      <c r="V39" s="2"/>
      <c r="W39" s="2"/>
      <c r="X39" s="2"/>
      <c r="Y39" s="2"/>
      <c r="Z39" s="2"/>
    </row>
    <row r="40" ht="15" customHeight="1" spans="1:26">
      <c r="A40" s="64" t="s">
        <v>178</v>
      </c>
      <c r="B40" s="13" t="s">
        <v>7833</v>
      </c>
      <c r="C40" s="13" t="s">
        <v>180</v>
      </c>
      <c r="D40" s="65">
        <v>45</v>
      </c>
      <c r="E40" s="13" t="s">
        <v>37</v>
      </c>
      <c r="F40" s="57"/>
      <c r="G40" s="68" t="s">
        <v>7834</v>
      </c>
      <c r="H40" s="2"/>
      <c r="I40" s="2"/>
      <c r="J40" s="2"/>
      <c r="K40" s="2"/>
      <c r="L40" s="2"/>
      <c r="M40" s="2"/>
      <c r="N40" s="2"/>
      <c r="O40" s="2"/>
      <c r="P40" s="2"/>
      <c r="Q40" s="2"/>
      <c r="R40" s="2"/>
      <c r="S40" s="2"/>
      <c r="T40" s="2"/>
      <c r="U40" s="2"/>
      <c r="V40" s="2"/>
      <c r="W40" s="2"/>
      <c r="X40" s="2"/>
      <c r="Y40" s="2"/>
      <c r="Z40" s="2"/>
    </row>
    <row r="41" ht="15"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ht="15" customHeight="1" spans="1:26">
      <c r="A42" s="64" t="s">
        <v>188</v>
      </c>
      <c r="B42" s="13" t="s">
        <v>7835</v>
      </c>
      <c r="C42" s="13" t="s">
        <v>190</v>
      </c>
      <c r="D42" s="65">
        <v>650</v>
      </c>
      <c r="E42" s="13" t="s">
        <v>37</v>
      </c>
      <c r="F42" s="13" t="s">
        <v>7836</v>
      </c>
      <c r="G42" s="13" t="s">
        <v>7837</v>
      </c>
      <c r="H42" s="2"/>
      <c r="I42" s="2"/>
      <c r="J42" s="2"/>
      <c r="K42" s="2"/>
      <c r="L42" s="2"/>
      <c r="M42" s="2"/>
      <c r="N42" s="2"/>
      <c r="O42" s="2"/>
      <c r="P42" s="2"/>
      <c r="Q42" s="2"/>
      <c r="R42" s="2"/>
      <c r="S42" s="2"/>
      <c r="T42" s="2"/>
      <c r="U42" s="2"/>
      <c r="V42" s="2"/>
      <c r="W42" s="2"/>
      <c r="X42" s="2"/>
      <c r="Y42" s="2"/>
      <c r="Z42" s="2"/>
    </row>
    <row r="43" ht="15" customHeight="1" spans="1:26">
      <c r="A43" s="13" t="s">
        <v>193</v>
      </c>
      <c r="B43" s="13" t="s">
        <v>7838</v>
      </c>
      <c r="C43" s="13" t="s">
        <v>195</v>
      </c>
      <c r="D43" s="57"/>
      <c r="E43" s="57"/>
      <c r="F43" s="13"/>
      <c r="G43" s="13" t="s">
        <v>7839</v>
      </c>
      <c r="H43" s="2"/>
      <c r="I43" s="2"/>
      <c r="J43" s="2"/>
      <c r="K43" s="2"/>
      <c r="L43" s="2"/>
      <c r="M43" s="2"/>
      <c r="N43" s="2"/>
      <c r="O43" s="2"/>
      <c r="P43" s="2"/>
      <c r="Q43" s="2"/>
      <c r="R43" s="2"/>
      <c r="S43" s="2"/>
      <c r="T43" s="2"/>
      <c r="U43" s="2"/>
      <c r="V43" s="2"/>
      <c r="W43" s="2"/>
      <c r="X43" s="2"/>
      <c r="Y43" s="2"/>
      <c r="Z43" s="2"/>
    </row>
    <row r="44" ht="15" customHeight="1" spans="1:26">
      <c r="A44" s="64" t="s">
        <v>198</v>
      </c>
      <c r="B44" s="13" t="s">
        <v>7840</v>
      </c>
      <c r="C44" s="13" t="s">
        <v>200</v>
      </c>
      <c r="D44" s="65">
        <v>30</v>
      </c>
      <c r="E44" s="13" t="s">
        <v>21</v>
      </c>
      <c r="F44" s="13"/>
      <c r="G44" s="13" t="s">
        <v>7841</v>
      </c>
      <c r="H44" s="2"/>
      <c r="I44" s="2"/>
      <c r="J44" s="2"/>
      <c r="K44" s="2"/>
      <c r="L44" s="2"/>
      <c r="M44" s="2"/>
      <c r="N44" s="2"/>
      <c r="O44" s="2"/>
      <c r="P44" s="2"/>
      <c r="Q44" s="2"/>
      <c r="R44" s="2"/>
      <c r="S44" s="2"/>
      <c r="T44" s="2"/>
      <c r="U44" s="2"/>
      <c r="V44" s="2"/>
      <c r="W44" s="2"/>
      <c r="X44" s="2"/>
      <c r="Y44" s="2"/>
      <c r="Z44" s="2"/>
    </row>
    <row r="45" ht="15" customHeight="1" spans="1:26">
      <c r="A45" s="13" t="s">
        <v>203</v>
      </c>
      <c r="B45" s="13" t="s">
        <v>7842</v>
      </c>
      <c r="C45" s="13" t="s">
        <v>200</v>
      </c>
      <c r="D45" s="14">
        <v>80</v>
      </c>
      <c r="E45" s="13" t="s">
        <v>21</v>
      </c>
      <c r="F45" s="13"/>
      <c r="G45" s="13" t="s">
        <v>7843</v>
      </c>
      <c r="H45" s="2"/>
      <c r="I45" s="2"/>
      <c r="J45" s="2"/>
      <c r="K45" s="2"/>
      <c r="L45" s="2"/>
      <c r="M45" s="2"/>
      <c r="N45" s="2"/>
      <c r="O45" s="2"/>
      <c r="P45" s="2"/>
      <c r="Q45" s="2"/>
      <c r="R45" s="2"/>
      <c r="S45" s="2"/>
      <c r="T45" s="2"/>
      <c r="U45" s="2"/>
      <c r="V45" s="2"/>
      <c r="W45" s="2"/>
      <c r="X45" s="2"/>
      <c r="Y45" s="2"/>
      <c r="Z45" s="2"/>
    </row>
    <row r="46" ht="15" customHeight="1" spans="1:26">
      <c r="A46" s="64" t="s">
        <v>207</v>
      </c>
      <c r="B46" s="13" t="s">
        <v>7683</v>
      </c>
      <c r="C46" s="13" t="s">
        <v>209</v>
      </c>
      <c r="D46" s="65">
        <v>5</v>
      </c>
      <c r="E46" s="13" t="s">
        <v>37</v>
      </c>
      <c r="F46" s="68"/>
      <c r="G46" s="13" t="s">
        <v>7844</v>
      </c>
      <c r="H46" s="2"/>
      <c r="I46" s="2"/>
      <c r="J46" s="2"/>
      <c r="K46" s="2"/>
      <c r="L46" s="2"/>
      <c r="M46" s="2"/>
      <c r="N46" s="2"/>
      <c r="O46" s="2"/>
      <c r="P46" s="2"/>
      <c r="Q46" s="2"/>
      <c r="R46" s="2"/>
      <c r="S46" s="2"/>
      <c r="T46" s="2"/>
      <c r="U46" s="2"/>
      <c r="V46" s="2"/>
      <c r="W46" s="2"/>
      <c r="X46" s="2"/>
      <c r="Y46" s="2"/>
      <c r="Z46" s="2"/>
    </row>
    <row r="47" ht="15" customHeight="1" spans="1:26">
      <c r="A47" s="13" t="s">
        <v>212</v>
      </c>
      <c r="B47" s="13" t="s">
        <v>7845</v>
      </c>
      <c r="C47" s="13" t="s">
        <v>214</v>
      </c>
      <c r="D47" s="14">
        <v>20</v>
      </c>
      <c r="E47" s="13" t="s">
        <v>37</v>
      </c>
      <c r="F47" s="13"/>
      <c r="G47" s="13" t="s">
        <v>7846</v>
      </c>
      <c r="H47" s="2"/>
      <c r="I47" s="2"/>
      <c r="J47" s="2"/>
      <c r="K47" s="2"/>
      <c r="L47" s="2"/>
      <c r="M47" s="2"/>
      <c r="N47" s="2"/>
      <c r="O47" s="2"/>
      <c r="P47" s="2"/>
      <c r="Q47" s="2"/>
      <c r="R47" s="2"/>
      <c r="S47" s="2"/>
      <c r="T47" s="2"/>
      <c r="U47" s="2"/>
      <c r="V47" s="2"/>
      <c r="W47" s="2"/>
      <c r="X47" s="2"/>
      <c r="Y47" s="2"/>
      <c r="Z47" s="2"/>
    </row>
    <row r="48" ht="15" customHeight="1" spans="1:26">
      <c r="A48" s="13" t="s">
        <v>217</v>
      </c>
      <c r="B48" s="13" t="s">
        <v>7847</v>
      </c>
      <c r="C48" s="13" t="s">
        <v>219</v>
      </c>
      <c r="D48" s="57"/>
      <c r="E48" s="57"/>
      <c r="F48" s="13"/>
      <c r="G48" s="13" t="s">
        <v>7848</v>
      </c>
      <c r="H48" s="2"/>
      <c r="I48" s="2"/>
      <c r="J48" s="2"/>
      <c r="K48" s="2"/>
      <c r="L48" s="2"/>
      <c r="M48" s="2"/>
      <c r="N48" s="2"/>
      <c r="O48" s="2"/>
      <c r="P48" s="2"/>
      <c r="Q48" s="2"/>
      <c r="R48" s="2"/>
      <c r="S48" s="2"/>
      <c r="T48" s="2"/>
      <c r="U48" s="2"/>
      <c r="V48" s="2"/>
      <c r="W48" s="2"/>
      <c r="X48" s="2"/>
      <c r="Y48" s="2"/>
      <c r="Z48" s="2"/>
    </row>
    <row r="49" ht="15" customHeight="1" spans="1:26">
      <c r="A49" s="13" t="s">
        <v>222</v>
      </c>
      <c r="B49" s="13" t="s">
        <v>7849</v>
      </c>
      <c r="C49" s="13" t="s">
        <v>224</v>
      </c>
      <c r="D49" s="14">
        <v>96</v>
      </c>
      <c r="E49" s="13" t="s">
        <v>21</v>
      </c>
      <c r="F49" s="13"/>
      <c r="G49" s="13" t="s">
        <v>7850</v>
      </c>
      <c r="H49" s="2"/>
      <c r="I49" s="2"/>
      <c r="J49" s="2"/>
      <c r="K49" s="2"/>
      <c r="L49" s="2"/>
      <c r="M49" s="2"/>
      <c r="N49" s="2"/>
      <c r="O49" s="2"/>
      <c r="P49" s="2"/>
      <c r="Q49" s="2"/>
      <c r="R49" s="2"/>
      <c r="S49" s="2"/>
      <c r="T49" s="2"/>
      <c r="U49" s="2"/>
      <c r="V49" s="2"/>
      <c r="W49" s="2"/>
      <c r="X49" s="2"/>
      <c r="Y49" s="2"/>
      <c r="Z49" s="2"/>
    </row>
    <row r="50" ht="15" customHeight="1" spans="1:26">
      <c r="A50" s="13" t="s">
        <v>227</v>
      </c>
      <c r="B50" s="13" t="s">
        <v>7851</v>
      </c>
      <c r="C50" s="13" t="s">
        <v>229</v>
      </c>
      <c r="D50" s="14">
        <v>66</v>
      </c>
      <c r="E50" s="13" t="s">
        <v>21</v>
      </c>
      <c r="F50" s="13"/>
      <c r="G50" s="13" t="s">
        <v>7852</v>
      </c>
      <c r="H50" s="2"/>
      <c r="I50" s="2"/>
      <c r="J50" s="2"/>
      <c r="K50" s="2"/>
      <c r="L50" s="2"/>
      <c r="M50" s="2"/>
      <c r="N50" s="2"/>
      <c r="O50" s="2"/>
      <c r="P50" s="2"/>
      <c r="Q50" s="2"/>
      <c r="R50" s="2"/>
      <c r="S50" s="2"/>
      <c r="T50" s="2"/>
      <c r="U50" s="2"/>
      <c r="V50" s="2"/>
      <c r="W50" s="2"/>
      <c r="X50" s="2"/>
      <c r="Y50" s="2"/>
      <c r="Z50" s="2"/>
    </row>
    <row r="51" ht="15" customHeight="1" spans="1:26">
      <c r="A51" s="13" t="s">
        <v>231</v>
      </c>
      <c r="B51" s="13" t="s">
        <v>7853</v>
      </c>
      <c r="C51" s="13" t="s">
        <v>224</v>
      </c>
      <c r="D51" s="14">
        <v>156</v>
      </c>
      <c r="E51" s="13" t="s">
        <v>21</v>
      </c>
      <c r="F51" s="13"/>
      <c r="G51" s="13" t="s">
        <v>7854</v>
      </c>
      <c r="H51" s="2"/>
      <c r="I51" s="2"/>
      <c r="J51" s="2"/>
      <c r="K51" s="2"/>
      <c r="L51" s="2"/>
      <c r="M51" s="2"/>
      <c r="N51" s="2"/>
      <c r="O51" s="2"/>
      <c r="P51" s="2"/>
      <c r="Q51" s="2"/>
      <c r="R51" s="2"/>
      <c r="S51" s="2"/>
      <c r="T51" s="2"/>
      <c r="U51" s="2"/>
      <c r="V51" s="2"/>
      <c r="W51" s="2"/>
      <c r="X51" s="2"/>
      <c r="Y51" s="2"/>
      <c r="Z51" s="2"/>
    </row>
    <row r="52" ht="15" customHeight="1" spans="1:26">
      <c r="A52" s="64" t="s">
        <v>234</v>
      </c>
      <c r="B52" s="13" t="s">
        <v>2171</v>
      </c>
      <c r="C52" s="13" t="s">
        <v>236</v>
      </c>
      <c r="D52" s="65">
        <v>30</v>
      </c>
      <c r="E52" s="13" t="s">
        <v>37</v>
      </c>
      <c r="F52" s="13" t="s">
        <v>2172</v>
      </c>
      <c r="G52" s="57" t="s">
        <v>7855</v>
      </c>
      <c r="H52" s="2"/>
      <c r="I52" s="2"/>
      <c r="J52" s="2"/>
      <c r="K52" s="2"/>
      <c r="L52" s="2"/>
      <c r="M52" s="2"/>
      <c r="N52" s="2"/>
      <c r="O52" s="2"/>
      <c r="P52" s="2"/>
      <c r="Q52" s="2"/>
      <c r="R52" s="2"/>
      <c r="S52" s="2"/>
      <c r="T52" s="2"/>
      <c r="U52" s="2"/>
      <c r="V52" s="2"/>
      <c r="W52" s="2"/>
      <c r="X52" s="2"/>
      <c r="Y52" s="2"/>
      <c r="Z52" s="2"/>
    </row>
    <row r="53" ht="15" customHeight="1" spans="1:26">
      <c r="A53" s="13" t="s">
        <v>239</v>
      </c>
      <c r="B53" s="13" t="s">
        <v>7856</v>
      </c>
      <c r="C53" s="13" t="s">
        <v>236</v>
      </c>
      <c r="D53" s="14">
        <v>230</v>
      </c>
      <c r="E53" s="13" t="s">
        <v>21</v>
      </c>
      <c r="F53" s="13"/>
      <c r="G53" s="13" t="s">
        <v>7857</v>
      </c>
      <c r="H53" s="2"/>
      <c r="I53" s="2"/>
      <c r="J53" s="2"/>
      <c r="K53" s="2"/>
      <c r="L53" s="2"/>
      <c r="M53" s="2"/>
      <c r="N53" s="2"/>
      <c r="O53" s="2"/>
      <c r="P53" s="2"/>
      <c r="Q53" s="2"/>
      <c r="R53" s="2"/>
      <c r="S53" s="2"/>
      <c r="T53" s="2"/>
      <c r="U53" s="2"/>
      <c r="V53" s="2"/>
      <c r="W53" s="2"/>
      <c r="X53" s="2"/>
      <c r="Y53" s="2"/>
      <c r="Z53" s="2"/>
    </row>
    <row r="54" ht="15" customHeight="1" spans="1:26">
      <c r="A54" s="13" t="s">
        <v>243</v>
      </c>
      <c r="B54" s="13" t="s">
        <v>7858</v>
      </c>
      <c r="C54" s="13" t="s">
        <v>236</v>
      </c>
      <c r="D54" s="14">
        <v>100</v>
      </c>
      <c r="E54" s="13" t="s">
        <v>245</v>
      </c>
      <c r="F54" s="57"/>
      <c r="G54" s="57" t="s">
        <v>7859</v>
      </c>
      <c r="H54" s="2"/>
      <c r="I54" s="2"/>
      <c r="J54" s="2"/>
      <c r="K54" s="2"/>
      <c r="L54" s="2"/>
      <c r="M54" s="2"/>
      <c r="N54" s="2"/>
      <c r="O54" s="2"/>
      <c r="P54" s="2"/>
      <c r="Q54" s="2"/>
      <c r="R54" s="2"/>
      <c r="S54" s="2"/>
      <c r="T54" s="2"/>
      <c r="U54" s="2"/>
      <c r="V54" s="2"/>
      <c r="W54" s="2"/>
      <c r="X54" s="2"/>
      <c r="Y54" s="2"/>
      <c r="Z54" s="2"/>
    </row>
    <row r="55" ht="15" customHeight="1" spans="1:26">
      <c r="A55" s="13" t="s">
        <v>248</v>
      </c>
      <c r="B55" s="13" t="s">
        <v>7860</v>
      </c>
      <c r="C55" s="13" t="s">
        <v>236</v>
      </c>
      <c r="D55" s="14">
        <v>100</v>
      </c>
      <c r="E55" s="13" t="s">
        <v>245</v>
      </c>
      <c r="F55" s="57"/>
      <c r="G55" s="57" t="s">
        <v>7861</v>
      </c>
      <c r="H55" s="2"/>
      <c r="I55" s="2"/>
      <c r="J55" s="2"/>
      <c r="K55" s="2"/>
      <c r="L55" s="2"/>
      <c r="M55" s="2"/>
      <c r="N55" s="2"/>
      <c r="O55" s="2"/>
      <c r="P55" s="2"/>
      <c r="Q55" s="2"/>
      <c r="R55" s="2"/>
      <c r="S55" s="2"/>
      <c r="T55" s="2"/>
      <c r="U55" s="2"/>
      <c r="V55" s="2"/>
      <c r="W55" s="2"/>
      <c r="X55" s="2"/>
      <c r="Y55" s="2"/>
      <c r="Z55" s="2"/>
    </row>
    <row r="56" ht="15" customHeight="1" spans="1:26">
      <c r="A56" s="64" t="s">
        <v>252</v>
      </c>
      <c r="B56" s="13" t="s">
        <v>7862</v>
      </c>
      <c r="C56" s="13" t="s">
        <v>236</v>
      </c>
      <c r="D56" s="65">
        <v>35</v>
      </c>
      <c r="E56" s="13" t="s">
        <v>37</v>
      </c>
      <c r="F56" s="13" t="s">
        <v>7863</v>
      </c>
      <c r="G56" s="13" t="s">
        <v>7864</v>
      </c>
      <c r="H56" s="2"/>
      <c r="I56" s="2"/>
      <c r="J56" s="2"/>
      <c r="K56" s="2"/>
      <c r="L56" s="2"/>
      <c r="M56" s="2"/>
      <c r="N56" s="2"/>
      <c r="O56" s="2"/>
      <c r="P56" s="2"/>
      <c r="Q56" s="2"/>
      <c r="R56" s="2"/>
      <c r="S56" s="2"/>
      <c r="T56" s="2"/>
      <c r="U56" s="2"/>
      <c r="V56" s="2"/>
      <c r="W56" s="2"/>
      <c r="X56" s="2"/>
      <c r="Y56" s="2"/>
      <c r="Z56" s="2"/>
    </row>
    <row r="57" ht="15" customHeight="1" spans="1:26">
      <c r="A57" s="64" t="s">
        <v>256</v>
      </c>
      <c r="B57" s="13" t="s">
        <v>7865</v>
      </c>
      <c r="C57" s="13" t="s">
        <v>236</v>
      </c>
      <c r="D57" s="65">
        <v>40</v>
      </c>
      <c r="E57" s="13" t="s">
        <v>37</v>
      </c>
      <c r="F57" s="13"/>
      <c r="G57" s="13" t="s">
        <v>7866</v>
      </c>
      <c r="H57" s="2"/>
      <c r="I57" s="2"/>
      <c r="J57" s="2"/>
      <c r="K57" s="2"/>
      <c r="L57" s="2"/>
      <c r="M57" s="2"/>
      <c r="N57" s="2"/>
      <c r="O57" s="2"/>
      <c r="P57" s="2"/>
      <c r="Q57" s="2"/>
      <c r="R57" s="2"/>
      <c r="S57" s="2"/>
      <c r="T57" s="2"/>
      <c r="U57" s="2"/>
      <c r="V57" s="2"/>
      <c r="W57" s="2"/>
      <c r="X57" s="2"/>
      <c r="Y57" s="2"/>
      <c r="Z57" s="2"/>
    </row>
    <row r="58" ht="15" customHeight="1" spans="1:26">
      <c r="A58" s="64" t="s">
        <v>260</v>
      </c>
      <c r="B58" s="13" t="s">
        <v>7867</v>
      </c>
      <c r="C58" s="13" t="s">
        <v>236</v>
      </c>
      <c r="D58" s="65">
        <v>8</v>
      </c>
      <c r="E58" s="13" t="s">
        <v>262</v>
      </c>
      <c r="F58" s="13"/>
      <c r="G58" s="13" t="s">
        <v>7868</v>
      </c>
      <c r="H58" s="2"/>
      <c r="I58" s="2"/>
      <c r="J58" s="2"/>
      <c r="K58" s="2"/>
      <c r="L58" s="2"/>
      <c r="M58" s="2"/>
      <c r="N58" s="2"/>
      <c r="O58" s="2"/>
      <c r="P58" s="2"/>
      <c r="Q58" s="2"/>
      <c r="R58" s="2"/>
      <c r="S58" s="2"/>
      <c r="T58" s="2"/>
      <c r="U58" s="2"/>
      <c r="V58" s="2"/>
      <c r="W58" s="2"/>
      <c r="X58" s="2"/>
      <c r="Y58" s="2"/>
      <c r="Z58" s="2"/>
    </row>
    <row r="59" ht="15" customHeight="1" spans="1:26">
      <c r="A59" s="64" t="s">
        <v>265</v>
      </c>
      <c r="B59" s="13" t="s">
        <v>7869</v>
      </c>
      <c r="C59" s="13" t="s">
        <v>236</v>
      </c>
      <c r="D59" s="65">
        <v>30</v>
      </c>
      <c r="E59" s="13" t="s">
        <v>37</v>
      </c>
      <c r="F59" s="13" t="s">
        <v>2183</v>
      </c>
      <c r="G59" s="13" t="s">
        <v>7870</v>
      </c>
      <c r="H59" s="2"/>
      <c r="I59" s="2"/>
      <c r="J59" s="2"/>
      <c r="K59" s="2"/>
      <c r="L59" s="2"/>
      <c r="M59" s="2"/>
      <c r="N59" s="2"/>
      <c r="O59" s="2"/>
      <c r="P59" s="2"/>
      <c r="Q59" s="2"/>
      <c r="R59" s="2"/>
      <c r="S59" s="2"/>
      <c r="T59" s="2"/>
      <c r="U59" s="2"/>
      <c r="V59" s="2"/>
      <c r="W59" s="2"/>
      <c r="X59" s="2"/>
      <c r="Y59" s="2"/>
      <c r="Z59" s="2"/>
    </row>
    <row r="60" ht="15" customHeight="1" spans="1:26">
      <c r="A60" s="64" t="s">
        <v>269</v>
      </c>
      <c r="B60" s="13" t="s">
        <v>270</v>
      </c>
      <c r="C60" s="13" t="s">
        <v>236</v>
      </c>
      <c r="D60" s="65">
        <v>35</v>
      </c>
      <c r="E60" s="13" t="s">
        <v>37</v>
      </c>
      <c r="F60" s="13" t="s">
        <v>271</v>
      </c>
      <c r="G60" s="13" t="s">
        <v>7871</v>
      </c>
      <c r="H60" s="2"/>
      <c r="I60" s="2"/>
      <c r="J60" s="2"/>
      <c r="K60" s="2"/>
      <c r="L60" s="2"/>
      <c r="M60" s="2"/>
      <c r="N60" s="2"/>
      <c r="O60" s="2"/>
      <c r="P60" s="2"/>
      <c r="Q60" s="2"/>
      <c r="R60" s="2"/>
      <c r="S60" s="2"/>
      <c r="T60" s="2"/>
      <c r="U60" s="2"/>
      <c r="V60" s="2"/>
      <c r="W60" s="2"/>
      <c r="X60" s="2"/>
      <c r="Y60" s="2"/>
      <c r="Z60" s="2"/>
    </row>
    <row r="61" ht="15" customHeight="1" spans="1:26">
      <c r="A61" s="64" t="s">
        <v>273</v>
      </c>
      <c r="B61" s="13" t="s">
        <v>274</v>
      </c>
      <c r="C61" s="13" t="s">
        <v>236</v>
      </c>
      <c r="D61" s="65">
        <v>30</v>
      </c>
      <c r="E61" s="13" t="s">
        <v>32</v>
      </c>
      <c r="F61" s="13" t="s">
        <v>275</v>
      </c>
      <c r="G61" s="13" t="s">
        <v>7872</v>
      </c>
      <c r="H61" s="2"/>
      <c r="I61" s="2"/>
      <c r="J61" s="2"/>
      <c r="K61" s="2"/>
      <c r="L61" s="2"/>
      <c r="M61" s="2"/>
      <c r="N61" s="2"/>
      <c r="O61" s="2"/>
      <c r="P61" s="2"/>
      <c r="Q61" s="2"/>
      <c r="R61" s="2"/>
      <c r="S61" s="2"/>
      <c r="T61" s="2"/>
      <c r="U61" s="2"/>
      <c r="V61" s="2"/>
      <c r="W61" s="2"/>
      <c r="X61" s="2"/>
      <c r="Y61" s="2"/>
      <c r="Z61" s="2"/>
    </row>
    <row r="62" ht="16.5" customHeight="1" spans="1:26">
      <c r="A62" s="64" t="s">
        <v>277</v>
      </c>
      <c r="B62" s="13" t="s">
        <v>7873</v>
      </c>
      <c r="C62" s="13" t="s">
        <v>236</v>
      </c>
      <c r="D62" s="65">
        <v>37</v>
      </c>
      <c r="E62" s="13" t="s">
        <v>37</v>
      </c>
      <c r="F62" s="13"/>
      <c r="G62" s="13" t="s">
        <v>7874</v>
      </c>
      <c r="H62" s="2"/>
      <c r="I62" s="2"/>
      <c r="J62" s="2"/>
      <c r="K62" s="2"/>
      <c r="L62" s="2"/>
      <c r="M62" s="2"/>
      <c r="N62" s="2"/>
      <c r="O62" s="2"/>
      <c r="P62" s="2"/>
      <c r="Q62" s="2"/>
      <c r="R62" s="2"/>
      <c r="S62" s="2"/>
      <c r="T62" s="2"/>
      <c r="U62" s="2"/>
      <c r="V62" s="2"/>
      <c r="W62" s="2"/>
      <c r="X62" s="2"/>
      <c r="Y62" s="2"/>
      <c r="Z62" s="2"/>
    </row>
    <row r="63" ht="15" customHeight="1" spans="1:26">
      <c r="A63" s="64" t="s">
        <v>281</v>
      </c>
      <c r="B63" s="13" t="s">
        <v>7875</v>
      </c>
      <c r="C63" s="13" t="s">
        <v>236</v>
      </c>
      <c r="D63" s="65">
        <v>40</v>
      </c>
      <c r="E63" s="13" t="s">
        <v>37</v>
      </c>
      <c r="F63" s="13"/>
      <c r="G63" s="13" t="s">
        <v>7876</v>
      </c>
      <c r="H63" s="2"/>
      <c r="I63" s="2"/>
      <c r="J63" s="2"/>
      <c r="K63" s="2"/>
      <c r="L63" s="2"/>
      <c r="M63" s="2"/>
      <c r="N63" s="2"/>
      <c r="O63" s="2"/>
      <c r="P63" s="2"/>
      <c r="Q63" s="2"/>
      <c r="R63" s="2"/>
      <c r="S63" s="2"/>
      <c r="T63" s="2"/>
      <c r="U63" s="2"/>
      <c r="V63" s="2"/>
      <c r="W63" s="2"/>
      <c r="X63" s="2"/>
      <c r="Y63" s="2"/>
      <c r="Z63" s="2"/>
    </row>
    <row r="64" ht="15" customHeight="1" spans="1:26">
      <c r="A64" s="13" t="s">
        <v>285</v>
      </c>
      <c r="B64" s="13" t="s">
        <v>7877</v>
      </c>
      <c r="C64" s="13" t="s">
        <v>286</v>
      </c>
      <c r="D64" s="14">
        <v>35</v>
      </c>
      <c r="E64" s="13" t="s">
        <v>37</v>
      </c>
      <c r="F64" s="13"/>
      <c r="G64" s="13" t="s">
        <v>7878</v>
      </c>
      <c r="H64" s="2"/>
      <c r="I64" s="2"/>
      <c r="J64" s="2"/>
      <c r="K64" s="2"/>
      <c r="L64" s="2"/>
      <c r="M64" s="2"/>
      <c r="N64" s="2"/>
      <c r="O64" s="2"/>
      <c r="P64" s="2"/>
      <c r="Q64" s="2"/>
      <c r="R64" s="2"/>
      <c r="S64" s="2"/>
      <c r="T64" s="2"/>
      <c r="U64" s="2"/>
      <c r="V64" s="2"/>
      <c r="W64" s="2"/>
      <c r="X64" s="2"/>
      <c r="Y64" s="2"/>
      <c r="Z64" s="2"/>
    </row>
    <row r="65" ht="15" customHeight="1" spans="1:26">
      <c r="A65" s="64" t="s">
        <v>288</v>
      </c>
      <c r="B65" s="13" t="s">
        <v>7835</v>
      </c>
      <c r="C65" s="13" t="s">
        <v>290</v>
      </c>
      <c r="D65" s="65">
        <v>300</v>
      </c>
      <c r="E65" s="13" t="s">
        <v>37</v>
      </c>
      <c r="F65" s="68" t="s">
        <v>7836</v>
      </c>
      <c r="G65" s="13" t="s">
        <v>7879</v>
      </c>
      <c r="H65" s="2"/>
      <c r="I65" s="2"/>
      <c r="J65" s="2"/>
      <c r="K65" s="2"/>
      <c r="L65" s="2"/>
      <c r="M65" s="2"/>
      <c r="N65" s="2"/>
      <c r="O65" s="2"/>
      <c r="P65" s="2"/>
      <c r="Q65" s="2"/>
      <c r="R65" s="2"/>
      <c r="S65" s="2"/>
      <c r="T65" s="2"/>
      <c r="U65" s="2"/>
      <c r="V65" s="2"/>
      <c r="W65" s="2"/>
      <c r="X65" s="2"/>
      <c r="Y65" s="2"/>
      <c r="Z65" s="2"/>
    </row>
    <row r="66" ht="15" customHeight="1" spans="1:26">
      <c r="A66" s="64" t="s">
        <v>293</v>
      </c>
      <c r="B66" s="13" t="s">
        <v>7880</v>
      </c>
      <c r="C66" s="13" t="s">
        <v>290</v>
      </c>
      <c r="D66" s="65">
        <v>35</v>
      </c>
      <c r="E66" s="13" t="s">
        <v>37</v>
      </c>
      <c r="F66" s="68" t="s">
        <v>7881</v>
      </c>
      <c r="G66" s="13" t="s">
        <v>7882</v>
      </c>
      <c r="H66" s="2"/>
      <c r="I66" s="2"/>
      <c r="J66" s="2"/>
      <c r="K66" s="2"/>
      <c r="L66" s="2"/>
      <c r="M66" s="2"/>
      <c r="N66" s="2"/>
      <c r="O66" s="2"/>
      <c r="P66" s="2"/>
      <c r="Q66" s="2"/>
      <c r="R66" s="2"/>
      <c r="S66" s="2"/>
      <c r="T66" s="2"/>
      <c r="U66" s="2"/>
      <c r="V66" s="2"/>
      <c r="W66" s="2"/>
      <c r="X66" s="2"/>
      <c r="Y66" s="2"/>
      <c r="Z66" s="2"/>
    </row>
    <row r="67" ht="15" customHeight="1" spans="1:26">
      <c r="A67" s="13" t="s">
        <v>297</v>
      </c>
      <c r="B67" s="13" t="s">
        <v>7883</v>
      </c>
      <c r="C67" s="13" t="s">
        <v>1807</v>
      </c>
      <c r="D67" s="14">
        <v>1000</v>
      </c>
      <c r="E67" s="13" t="s">
        <v>37</v>
      </c>
      <c r="F67" s="13" t="s">
        <v>7884</v>
      </c>
      <c r="G67" s="13" t="s">
        <v>7885</v>
      </c>
      <c r="H67" s="2"/>
      <c r="I67" s="2"/>
      <c r="J67" s="2"/>
      <c r="K67" s="2"/>
      <c r="L67" s="2"/>
      <c r="M67" s="2"/>
      <c r="N67" s="2"/>
      <c r="O67" s="2"/>
      <c r="P67" s="2"/>
      <c r="Q67" s="2"/>
      <c r="R67" s="2"/>
      <c r="S67" s="2"/>
      <c r="T67" s="2"/>
      <c r="U67" s="2"/>
      <c r="V67" s="2"/>
      <c r="W67" s="2"/>
      <c r="X67" s="2"/>
      <c r="Y67" s="2"/>
      <c r="Z67" s="2"/>
    </row>
    <row r="68" ht="15" customHeight="1" spans="1:26">
      <c r="A68" s="13" t="s">
        <v>302</v>
      </c>
      <c r="B68" s="13" t="s">
        <v>303</v>
      </c>
      <c r="C68" s="13" t="s">
        <v>304</v>
      </c>
      <c r="D68" s="57"/>
      <c r="E68" s="57"/>
      <c r="F68" s="13" t="s">
        <v>305</v>
      </c>
      <c r="G68" s="13" t="s">
        <v>306</v>
      </c>
      <c r="H68" s="2"/>
      <c r="I68" s="2"/>
      <c r="J68" s="2"/>
      <c r="K68" s="2"/>
      <c r="L68" s="2"/>
      <c r="M68" s="2"/>
      <c r="N68" s="2"/>
      <c r="O68" s="2"/>
      <c r="P68" s="2"/>
      <c r="Q68" s="2"/>
      <c r="R68" s="2"/>
      <c r="S68" s="2"/>
      <c r="T68" s="2"/>
      <c r="U68" s="2"/>
      <c r="V68" s="2"/>
      <c r="W68" s="2"/>
      <c r="X68" s="2"/>
      <c r="Y68" s="2"/>
      <c r="Z68" s="2"/>
    </row>
    <row r="69" ht="15" customHeight="1" spans="1:26">
      <c r="A69" s="70" t="s">
        <v>307</v>
      </c>
      <c r="B69" s="63" t="s">
        <v>308</v>
      </c>
      <c r="C69" s="63" t="s">
        <v>309</v>
      </c>
      <c r="D69" s="71">
        <v>45</v>
      </c>
      <c r="E69" s="63" t="s">
        <v>310</v>
      </c>
      <c r="F69" s="63" t="s">
        <v>311</v>
      </c>
      <c r="G69" s="63" t="s">
        <v>7886</v>
      </c>
      <c r="H69" s="2"/>
      <c r="I69" s="2"/>
      <c r="J69" s="2"/>
      <c r="K69" s="2"/>
      <c r="L69" s="2"/>
      <c r="M69" s="2"/>
      <c r="N69" s="2"/>
      <c r="O69" s="2"/>
      <c r="P69" s="2"/>
      <c r="Q69" s="2"/>
      <c r="R69" s="2"/>
      <c r="S69" s="2"/>
      <c r="T69" s="2"/>
      <c r="U69" s="2"/>
      <c r="V69" s="2"/>
      <c r="W69" s="2"/>
      <c r="X69" s="2"/>
      <c r="Y69" s="2"/>
      <c r="Z69" s="2"/>
    </row>
    <row r="70" ht="15" customHeight="1" spans="1:26">
      <c r="A70" s="13" t="s">
        <v>313</v>
      </c>
      <c r="B70" s="13" t="s">
        <v>7887</v>
      </c>
      <c r="C70" s="13" t="s">
        <v>315</v>
      </c>
      <c r="D70" s="65">
        <v>90</v>
      </c>
      <c r="E70" s="13" t="s">
        <v>32</v>
      </c>
      <c r="F70" s="73" t="s">
        <v>7888</v>
      </c>
      <c r="G70" s="13" t="s">
        <v>7889</v>
      </c>
      <c r="H70" s="2"/>
      <c r="I70" s="2"/>
      <c r="J70" s="2"/>
      <c r="K70" s="2"/>
      <c r="L70" s="2"/>
      <c r="M70" s="2"/>
      <c r="N70" s="2"/>
      <c r="O70" s="2"/>
      <c r="P70" s="2"/>
      <c r="Q70" s="2"/>
      <c r="R70" s="2"/>
      <c r="S70" s="2"/>
      <c r="T70" s="2"/>
      <c r="U70" s="2"/>
      <c r="V70" s="2"/>
      <c r="W70" s="2"/>
      <c r="X70" s="2"/>
      <c r="Y70" s="2"/>
      <c r="Z70" s="2"/>
    </row>
    <row r="71" ht="15" customHeight="1" spans="1:26">
      <c r="A71" s="13" t="s">
        <v>317</v>
      </c>
      <c r="B71" s="13" t="s">
        <v>7890</v>
      </c>
      <c r="C71" s="13" t="s">
        <v>319</v>
      </c>
      <c r="D71" s="65">
        <v>400</v>
      </c>
      <c r="E71" s="13" t="s">
        <v>245</v>
      </c>
      <c r="F71" s="13"/>
      <c r="G71" s="13" t="s">
        <v>7891</v>
      </c>
      <c r="H71" s="2"/>
      <c r="I71" s="2"/>
      <c r="J71" s="2"/>
      <c r="K71" s="2"/>
      <c r="L71" s="2"/>
      <c r="M71" s="2"/>
      <c r="N71" s="2"/>
      <c r="O71" s="2"/>
      <c r="P71" s="2"/>
      <c r="Q71" s="2"/>
      <c r="R71" s="2"/>
      <c r="S71" s="2"/>
      <c r="T71" s="2"/>
      <c r="U71" s="2"/>
      <c r="V71" s="2"/>
      <c r="W71" s="2"/>
      <c r="X71" s="2"/>
      <c r="Y71" s="2"/>
      <c r="Z71" s="2"/>
    </row>
    <row r="72" ht="15" customHeight="1" spans="1:26">
      <c r="A72" s="64" t="s">
        <v>321</v>
      </c>
      <c r="B72" s="13" t="s">
        <v>7892</v>
      </c>
      <c r="C72" s="13" t="s">
        <v>315</v>
      </c>
      <c r="D72" s="65">
        <v>13</v>
      </c>
      <c r="E72" s="13" t="s">
        <v>262</v>
      </c>
      <c r="F72" s="68"/>
      <c r="G72" s="13" t="s">
        <v>7893</v>
      </c>
      <c r="H72" s="2"/>
      <c r="I72" s="2"/>
      <c r="J72" s="2"/>
      <c r="K72" s="2"/>
      <c r="L72" s="2"/>
      <c r="M72" s="2"/>
      <c r="N72" s="2"/>
      <c r="O72" s="2"/>
      <c r="P72" s="2"/>
      <c r="Q72" s="2"/>
      <c r="R72" s="2"/>
      <c r="S72" s="2"/>
      <c r="T72" s="2"/>
      <c r="U72" s="2"/>
      <c r="V72" s="2"/>
      <c r="W72" s="2"/>
      <c r="X72" s="2"/>
      <c r="Y72" s="2"/>
      <c r="Z72" s="2"/>
    </row>
    <row r="73" ht="15" customHeight="1" spans="1:26">
      <c r="A73" s="13" t="s">
        <v>325</v>
      </c>
      <c r="B73" s="13" t="s">
        <v>7894</v>
      </c>
      <c r="C73" s="13" t="s">
        <v>327</v>
      </c>
      <c r="D73" s="14">
        <v>25</v>
      </c>
      <c r="E73" s="13" t="s">
        <v>310</v>
      </c>
      <c r="F73" s="13"/>
      <c r="G73" s="13" t="s">
        <v>7895</v>
      </c>
      <c r="H73" s="2"/>
      <c r="I73" s="2"/>
      <c r="J73" s="2"/>
      <c r="K73" s="2"/>
      <c r="L73" s="2"/>
      <c r="M73" s="2"/>
      <c r="N73" s="2"/>
      <c r="O73" s="2"/>
      <c r="P73" s="2"/>
      <c r="Q73" s="2"/>
      <c r="R73" s="2"/>
      <c r="S73" s="2"/>
      <c r="T73" s="2"/>
      <c r="U73" s="2"/>
      <c r="V73" s="2"/>
      <c r="W73" s="2"/>
      <c r="X73" s="2"/>
      <c r="Y73" s="2"/>
      <c r="Z73" s="2"/>
    </row>
    <row r="74" ht="15" customHeight="1" spans="1:26">
      <c r="A74" s="64" t="s">
        <v>330</v>
      </c>
      <c r="B74" s="13" t="s">
        <v>331</v>
      </c>
      <c r="C74" s="13" t="s">
        <v>315</v>
      </c>
      <c r="D74" s="65">
        <v>50</v>
      </c>
      <c r="E74" s="13" t="s">
        <v>37</v>
      </c>
      <c r="F74" s="13" t="s">
        <v>332</v>
      </c>
      <c r="G74" s="68" t="s">
        <v>2449</v>
      </c>
      <c r="H74" s="2"/>
      <c r="I74" s="2"/>
      <c r="J74" s="2"/>
      <c r="K74" s="2"/>
      <c r="L74" s="2"/>
      <c r="M74" s="2"/>
      <c r="N74" s="2"/>
      <c r="O74" s="2"/>
      <c r="P74" s="2"/>
      <c r="Q74" s="2"/>
      <c r="R74" s="2"/>
      <c r="S74" s="2"/>
      <c r="T74" s="2"/>
      <c r="U74" s="2"/>
      <c r="V74" s="2"/>
      <c r="W74" s="2"/>
      <c r="X74" s="2"/>
      <c r="Y74" s="2"/>
      <c r="Z74" s="2"/>
    </row>
    <row r="75" ht="15" customHeight="1" spans="1:26">
      <c r="A75" s="64" t="s">
        <v>334</v>
      </c>
      <c r="B75" s="13" t="s">
        <v>335</v>
      </c>
      <c r="C75" s="13" t="s">
        <v>315</v>
      </c>
      <c r="D75" s="65">
        <v>50</v>
      </c>
      <c r="E75" s="13" t="s">
        <v>37</v>
      </c>
      <c r="F75" s="13" t="s">
        <v>336</v>
      </c>
      <c r="G75" s="74" t="s">
        <v>7896</v>
      </c>
      <c r="H75" s="2"/>
      <c r="I75" s="2"/>
      <c r="J75" s="2"/>
      <c r="K75" s="2"/>
      <c r="L75" s="2"/>
      <c r="M75" s="2"/>
      <c r="N75" s="2"/>
      <c r="O75" s="2"/>
      <c r="P75" s="2"/>
      <c r="Q75" s="2"/>
      <c r="R75" s="2"/>
      <c r="S75" s="2"/>
      <c r="T75" s="2"/>
      <c r="U75" s="2"/>
      <c r="V75" s="2"/>
      <c r="W75" s="2"/>
      <c r="X75" s="2"/>
      <c r="Y75" s="2"/>
      <c r="Z75" s="2"/>
    </row>
    <row r="76" ht="15" customHeight="1" spans="1:26">
      <c r="A76" s="64" t="s">
        <v>338</v>
      </c>
      <c r="B76" s="13" t="s">
        <v>872</v>
      </c>
      <c r="C76" s="13" t="s">
        <v>315</v>
      </c>
      <c r="D76" s="65">
        <v>125</v>
      </c>
      <c r="E76" s="13" t="s">
        <v>262</v>
      </c>
      <c r="F76" s="13" t="s">
        <v>5262</v>
      </c>
      <c r="G76" s="13" t="s">
        <v>7897</v>
      </c>
      <c r="H76" s="2"/>
      <c r="I76" s="2"/>
      <c r="J76" s="2"/>
      <c r="K76" s="2"/>
      <c r="L76" s="2"/>
      <c r="M76" s="2"/>
      <c r="N76" s="2"/>
      <c r="O76" s="2"/>
      <c r="P76" s="2"/>
      <c r="Q76" s="2"/>
      <c r="R76" s="2"/>
      <c r="S76" s="2"/>
      <c r="T76" s="2"/>
      <c r="U76" s="2"/>
      <c r="V76" s="2"/>
      <c r="W76" s="2"/>
      <c r="X76" s="2"/>
      <c r="Y76" s="2"/>
      <c r="Z76" s="2"/>
    </row>
    <row r="77" ht="15" customHeight="1" spans="1:26">
      <c r="A77" s="64" t="s">
        <v>342</v>
      </c>
      <c r="B77" s="13" t="s">
        <v>7898</v>
      </c>
      <c r="C77" s="13" t="s">
        <v>315</v>
      </c>
      <c r="D77" s="65">
        <v>45</v>
      </c>
      <c r="E77" s="13" t="s">
        <v>262</v>
      </c>
      <c r="F77" s="13"/>
      <c r="G77" s="13" t="s">
        <v>7899</v>
      </c>
      <c r="H77" s="2"/>
      <c r="I77" s="2"/>
      <c r="J77" s="2"/>
      <c r="K77" s="2"/>
      <c r="L77" s="2"/>
      <c r="M77" s="2"/>
      <c r="N77" s="2"/>
      <c r="O77" s="2"/>
      <c r="P77" s="2"/>
      <c r="Q77" s="2"/>
      <c r="R77" s="2"/>
      <c r="S77" s="2"/>
      <c r="T77" s="2"/>
      <c r="U77" s="2"/>
      <c r="V77" s="2"/>
      <c r="W77" s="2"/>
      <c r="X77" s="2"/>
      <c r="Y77" s="2"/>
      <c r="Z77" s="2"/>
    </row>
    <row r="78" ht="15" customHeight="1" spans="1:26">
      <c r="A78" s="64" t="s">
        <v>346</v>
      </c>
      <c r="B78" s="13" t="s">
        <v>7900</v>
      </c>
      <c r="C78" s="13" t="s">
        <v>315</v>
      </c>
      <c r="D78" s="65">
        <v>55</v>
      </c>
      <c r="E78" s="13" t="s">
        <v>37</v>
      </c>
      <c r="F78" s="13"/>
      <c r="G78" s="74" t="s">
        <v>7901</v>
      </c>
      <c r="H78" s="2"/>
      <c r="I78" s="2"/>
      <c r="J78" s="2"/>
      <c r="K78" s="2"/>
      <c r="L78" s="2"/>
      <c r="M78" s="2"/>
      <c r="N78" s="2"/>
      <c r="O78" s="2"/>
      <c r="P78" s="2"/>
      <c r="Q78" s="2"/>
      <c r="R78" s="2"/>
      <c r="S78" s="2"/>
      <c r="T78" s="2"/>
      <c r="U78" s="2"/>
      <c r="V78" s="2"/>
      <c r="W78" s="2"/>
      <c r="X78" s="2"/>
      <c r="Y78" s="2"/>
      <c r="Z78" s="2"/>
    </row>
    <row r="79" ht="15" customHeight="1" spans="1:26">
      <c r="A79" s="64" t="s">
        <v>350</v>
      </c>
      <c r="B79" s="13" t="s">
        <v>351</v>
      </c>
      <c r="C79" s="13" t="s">
        <v>315</v>
      </c>
      <c r="D79" s="65">
        <v>20</v>
      </c>
      <c r="E79" s="13" t="s">
        <v>262</v>
      </c>
      <c r="F79" s="13" t="s">
        <v>352</v>
      </c>
      <c r="G79" s="13" t="s">
        <v>7902</v>
      </c>
      <c r="H79" s="2"/>
      <c r="I79" s="2"/>
      <c r="J79" s="2"/>
      <c r="K79" s="2"/>
      <c r="L79" s="2"/>
      <c r="M79" s="2"/>
      <c r="N79" s="2"/>
      <c r="O79" s="2"/>
      <c r="P79" s="2"/>
      <c r="Q79" s="2"/>
      <c r="R79" s="2"/>
      <c r="S79" s="2"/>
      <c r="T79" s="2"/>
      <c r="U79" s="2"/>
      <c r="V79" s="2"/>
      <c r="W79" s="2"/>
      <c r="X79" s="2"/>
      <c r="Y79" s="2"/>
      <c r="Z79" s="2"/>
    </row>
    <row r="80" ht="15" customHeight="1" spans="1:26">
      <c r="A80" s="13" t="s">
        <v>354</v>
      </c>
      <c r="B80" s="13" t="s">
        <v>355</v>
      </c>
      <c r="C80" s="13" t="s">
        <v>356</v>
      </c>
      <c r="D80" s="65">
        <v>123</v>
      </c>
      <c r="E80" s="13" t="s">
        <v>310</v>
      </c>
      <c r="F80" s="13" t="s">
        <v>357</v>
      </c>
      <c r="G80" s="75" t="s">
        <v>7903</v>
      </c>
      <c r="H80" s="2"/>
      <c r="I80" s="2"/>
      <c r="J80" s="2"/>
      <c r="K80" s="2"/>
      <c r="L80" s="2"/>
      <c r="M80" s="2"/>
      <c r="N80" s="2"/>
      <c r="O80" s="2"/>
      <c r="P80" s="2"/>
      <c r="Q80" s="2"/>
      <c r="R80" s="2"/>
      <c r="S80" s="2"/>
      <c r="T80" s="2"/>
      <c r="U80" s="2"/>
      <c r="V80" s="2"/>
      <c r="W80" s="2"/>
      <c r="X80" s="2"/>
      <c r="Y80" s="2"/>
      <c r="Z80" s="2"/>
    </row>
    <row r="81" ht="15" customHeight="1" spans="1:26">
      <c r="A81" s="13" t="s">
        <v>359</v>
      </c>
      <c r="B81" s="13" t="s">
        <v>7904</v>
      </c>
      <c r="C81" s="13" t="s">
        <v>361</v>
      </c>
      <c r="D81" s="65">
        <v>55</v>
      </c>
      <c r="E81" s="13" t="s">
        <v>310</v>
      </c>
      <c r="F81" s="13"/>
      <c r="G81" s="13" t="s">
        <v>7905</v>
      </c>
      <c r="H81" s="2"/>
      <c r="I81" s="2"/>
      <c r="J81" s="2"/>
      <c r="K81" s="2"/>
      <c r="L81" s="2"/>
      <c r="M81" s="2"/>
      <c r="N81" s="2"/>
      <c r="O81" s="2"/>
      <c r="P81" s="2"/>
      <c r="Q81" s="2"/>
      <c r="R81" s="2"/>
      <c r="S81" s="2"/>
      <c r="T81" s="2"/>
      <c r="U81" s="2"/>
      <c r="V81" s="2"/>
      <c r="W81" s="2"/>
      <c r="X81" s="2"/>
      <c r="Y81" s="2"/>
      <c r="Z81" s="2"/>
    </row>
    <row r="82" ht="15" customHeight="1" spans="1:26">
      <c r="A82" s="64" t="s">
        <v>364</v>
      </c>
      <c r="B82" s="13" t="s">
        <v>7906</v>
      </c>
      <c r="C82" s="13" t="s">
        <v>366</v>
      </c>
      <c r="D82" s="65">
        <v>35</v>
      </c>
      <c r="E82" s="13" t="s">
        <v>262</v>
      </c>
      <c r="F82" s="13" t="s">
        <v>7907</v>
      </c>
      <c r="G82" s="13" t="s">
        <v>7908</v>
      </c>
      <c r="H82" s="2"/>
      <c r="I82" s="2"/>
      <c r="J82" s="2"/>
      <c r="K82" s="2"/>
      <c r="L82" s="2"/>
      <c r="M82" s="2"/>
      <c r="N82" s="2"/>
      <c r="O82" s="2"/>
      <c r="P82" s="2"/>
      <c r="Q82" s="2"/>
      <c r="R82" s="2"/>
      <c r="S82" s="2"/>
      <c r="T82" s="2"/>
      <c r="U82" s="2"/>
      <c r="V82" s="2"/>
      <c r="W82" s="2"/>
      <c r="X82" s="2"/>
      <c r="Y82" s="2"/>
      <c r="Z82" s="2"/>
    </row>
    <row r="83" ht="15" customHeight="1" spans="1:26">
      <c r="A83" s="64" t="s">
        <v>368</v>
      </c>
      <c r="B83" s="13" t="s">
        <v>369</v>
      </c>
      <c r="C83" s="13" t="s">
        <v>366</v>
      </c>
      <c r="D83" s="65">
        <v>30</v>
      </c>
      <c r="E83" s="13" t="s">
        <v>262</v>
      </c>
      <c r="F83" s="13" t="s">
        <v>370</v>
      </c>
      <c r="G83" s="75" t="s">
        <v>7909</v>
      </c>
      <c r="H83" s="2"/>
      <c r="I83" s="2"/>
      <c r="J83" s="2"/>
      <c r="K83" s="2"/>
      <c r="L83" s="2"/>
      <c r="M83" s="2"/>
      <c r="N83" s="2"/>
      <c r="O83" s="2"/>
      <c r="P83" s="2"/>
      <c r="Q83" s="2"/>
      <c r="R83" s="2"/>
      <c r="S83" s="2"/>
      <c r="T83" s="2"/>
      <c r="U83" s="2"/>
      <c r="V83" s="2"/>
      <c r="W83" s="2"/>
      <c r="X83" s="2"/>
      <c r="Y83" s="2"/>
      <c r="Z83" s="2"/>
    </row>
    <row r="84" ht="15" customHeight="1" spans="1:26">
      <c r="A84" s="64" t="s">
        <v>371</v>
      </c>
      <c r="B84" s="13" t="s">
        <v>372</v>
      </c>
      <c r="C84" s="13" t="s">
        <v>373</v>
      </c>
      <c r="D84" s="65">
        <v>35</v>
      </c>
      <c r="E84" s="13" t="s">
        <v>37</v>
      </c>
      <c r="F84" s="13" t="s">
        <v>374</v>
      </c>
      <c r="G84" s="13" t="s">
        <v>7910</v>
      </c>
      <c r="H84" s="2"/>
      <c r="I84" s="2"/>
      <c r="J84" s="2"/>
      <c r="K84" s="2"/>
      <c r="L84" s="2"/>
      <c r="M84" s="2"/>
      <c r="N84" s="2"/>
      <c r="O84" s="2"/>
      <c r="P84" s="2"/>
      <c r="Q84" s="2"/>
      <c r="R84" s="2"/>
      <c r="S84" s="2"/>
      <c r="T84" s="2"/>
      <c r="U84" s="2"/>
      <c r="V84" s="2"/>
      <c r="W84" s="2"/>
      <c r="X84" s="2"/>
      <c r="Y84" s="2"/>
      <c r="Z84" s="2"/>
    </row>
    <row r="85" ht="15" customHeight="1" spans="1:26">
      <c r="A85" s="64" t="s">
        <v>375</v>
      </c>
      <c r="B85" s="13" t="s">
        <v>7911</v>
      </c>
      <c r="C85" s="13" t="s">
        <v>373</v>
      </c>
      <c r="D85" s="65">
        <v>90</v>
      </c>
      <c r="E85" s="13" t="s">
        <v>37</v>
      </c>
      <c r="F85" s="13"/>
      <c r="G85" s="13" t="s">
        <v>7912</v>
      </c>
      <c r="H85" s="2"/>
      <c r="I85" s="2"/>
      <c r="J85" s="2"/>
      <c r="K85" s="2"/>
      <c r="L85" s="2"/>
      <c r="M85" s="2"/>
      <c r="N85" s="2"/>
      <c r="O85" s="2"/>
      <c r="P85" s="2"/>
      <c r="Q85" s="2"/>
      <c r="R85" s="2"/>
      <c r="S85" s="2"/>
      <c r="T85" s="2"/>
      <c r="U85" s="2"/>
      <c r="V85" s="2"/>
      <c r="W85" s="2"/>
      <c r="X85" s="2"/>
      <c r="Y85" s="2"/>
      <c r="Z85" s="2"/>
    </row>
    <row r="86" ht="15" customHeight="1" spans="1:26">
      <c r="A86" s="64" t="s">
        <v>379</v>
      </c>
      <c r="B86" s="13" t="s">
        <v>4785</v>
      </c>
      <c r="C86" s="13" t="s">
        <v>373</v>
      </c>
      <c r="D86" s="65">
        <v>66</v>
      </c>
      <c r="E86" s="13" t="s">
        <v>21</v>
      </c>
      <c r="F86" s="13"/>
      <c r="G86" s="13" t="s">
        <v>7913</v>
      </c>
      <c r="H86" s="2"/>
      <c r="I86" s="2"/>
      <c r="J86" s="2"/>
      <c r="K86" s="2"/>
      <c r="L86" s="2"/>
      <c r="M86" s="2"/>
      <c r="N86" s="2"/>
      <c r="O86" s="2"/>
      <c r="P86" s="2"/>
      <c r="Q86" s="2"/>
      <c r="R86" s="2"/>
      <c r="S86" s="2"/>
      <c r="T86" s="2"/>
      <c r="U86" s="2"/>
      <c r="V86" s="2"/>
      <c r="W86" s="2"/>
      <c r="X86" s="2"/>
      <c r="Y86" s="2"/>
      <c r="Z86" s="2"/>
    </row>
    <row r="87" ht="15" customHeight="1" spans="1:26">
      <c r="A87" s="13" t="s">
        <v>383</v>
      </c>
      <c r="B87" s="13" t="s">
        <v>1838</v>
      </c>
      <c r="C87" s="13" t="s">
        <v>373</v>
      </c>
      <c r="D87" s="65">
        <v>150</v>
      </c>
      <c r="E87" s="13" t="s">
        <v>310</v>
      </c>
      <c r="F87" s="13" t="s">
        <v>1839</v>
      </c>
      <c r="G87" s="13" t="s">
        <v>2229</v>
      </c>
      <c r="H87" s="2"/>
      <c r="I87" s="2"/>
      <c r="J87" s="2"/>
      <c r="K87" s="2"/>
      <c r="L87" s="2"/>
      <c r="M87" s="2"/>
      <c r="N87" s="2"/>
      <c r="O87" s="2"/>
      <c r="P87" s="2"/>
      <c r="Q87" s="2"/>
      <c r="R87" s="2"/>
      <c r="S87" s="2"/>
      <c r="T87" s="2"/>
      <c r="U87" s="2"/>
      <c r="V87" s="2"/>
      <c r="W87" s="2"/>
      <c r="X87" s="2"/>
      <c r="Y87" s="2"/>
      <c r="Z87" s="2"/>
    </row>
    <row r="88" ht="15" customHeight="1" spans="1:26">
      <c r="A88" s="13" t="s">
        <v>387</v>
      </c>
      <c r="B88" s="13" t="s">
        <v>388</v>
      </c>
      <c r="C88" s="13" t="s">
        <v>373</v>
      </c>
      <c r="D88" s="65">
        <v>76</v>
      </c>
      <c r="E88" s="13" t="s">
        <v>37</v>
      </c>
      <c r="F88" s="13" t="s">
        <v>389</v>
      </c>
      <c r="G88" s="13" t="s">
        <v>2230</v>
      </c>
      <c r="H88" s="2"/>
      <c r="I88" s="2"/>
      <c r="J88" s="2"/>
      <c r="K88" s="2"/>
      <c r="L88" s="2"/>
      <c r="M88" s="2"/>
      <c r="N88" s="2"/>
      <c r="O88" s="2"/>
      <c r="P88" s="2"/>
      <c r="Q88" s="2"/>
      <c r="R88" s="2"/>
      <c r="S88" s="2"/>
      <c r="T88" s="2"/>
      <c r="U88" s="2"/>
      <c r="V88" s="2"/>
      <c r="W88" s="2"/>
      <c r="X88" s="2"/>
      <c r="Y88" s="2"/>
      <c r="Z88" s="2"/>
    </row>
    <row r="89" ht="15" customHeight="1" spans="1:26">
      <c r="A89" s="13" t="s">
        <v>391</v>
      </c>
      <c r="B89" s="13" t="s">
        <v>392</v>
      </c>
      <c r="C89" s="13" t="s">
        <v>393</v>
      </c>
      <c r="D89" s="14">
        <v>3500</v>
      </c>
      <c r="E89" s="13" t="s">
        <v>21</v>
      </c>
      <c r="F89" s="13" t="s">
        <v>394</v>
      </c>
      <c r="G89" s="13" t="s">
        <v>1842</v>
      </c>
      <c r="H89" s="2"/>
      <c r="I89" s="2"/>
      <c r="J89" s="2"/>
      <c r="K89" s="2"/>
      <c r="L89" s="2"/>
      <c r="M89" s="2"/>
      <c r="N89" s="2"/>
      <c r="O89" s="2"/>
      <c r="P89" s="2"/>
      <c r="Q89" s="2"/>
      <c r="R89" s="2"/>
      <c r="S89" s="2"/>
      <c r="T89" s="2"/>
      <c r="U89" s="2"/>
      <c r="V89" s="2"/>
      <c r="W89" s="2"/>
      <c r="X89" s="2"/>
      <c r="Y89" s="2"/>
      <c r="Z89" s="2"/>
    </row>
    <row r="90" ht="15" customHeight="1" spans="1:26">
      <c r="A90" s="13" t="s">
        <v>395</v>
      </c>
      <c r="B90" s="13" t="s">
        <v>396</v>
      </c>
      <c r="C90" s="13" t="s">
        <v>393</v>
      </c>
      <c r="D90" s="14">
        <v>1230</v>
      </c>
      <c r="E90" s="13" t="s">
        <v>21</v>
      </c>
      <c r="F90" s="13" t="s">
        <v>397</v>
      </c>
      <c r="G90" s="13" t="s">
        <v>398</v>
      </c>
      <c r="H90" s="2"/>
      <c r="I90" s="2"/>
      <c r="J90" s="2"/>
      <c r="K90" s="2"/>
      <c r="L90" s="2"/>
      <c r="M90" s="2"/>
      <c r="N90" s="2"/>
      <c r="O90" s="2"/>
      <c r="P90" s="2"/>
      <c r="Q90" s="2"/>
      <c r="R90" s="2"/>
      <c r="S90" s="2"/>
      <c r="T90" s="2"/>
      <c r="U90" s="2"/>
      <c r="V90" s="2"/>
      <c r="W90" s="2"/>
      <c r="X90" s="2"/>
      <c r="Y90" s="2"/>
      <c r="Z90" s="2"/>
    </row>
    <row r="91" ht="15" customHeight="1" spans="1:26">
      <c r="A91" s="13" t="s">
        <v>399</v>
      </c>
      <c r="B91" s="13" t="s">
        <v>7914</v>
      </c>
      <c r="C91" s="13" t="s">
        <v>224</v>
      </c>
      <c r="D91" s="65">
        <v>130</v>
      </c>
      <c r="E91" s="13" t="s">
        <v>262</v>
      </c>
      <c r="F91" s="13"/>
      <c r="G91" s="13" t="s">
        <v>7915</v>
      </c>
      <c r="H91" s="2"/>
      <c r="I91" s="2"/>
      <c r="J91" s="2"/>
      <c r="K91" s="2"/>
      <c r="L91" s="2"/>
      <c r="M91" s="2"/>
      <c r="N91" s="2"/>
      <c r="O91" s="2"/>
      <c r="P91" s="2"/>
      <c r="Q91" s="2"/>
      <c r="R91" s="2"/>
      <c r="S91" s="2"/>
      <c r="T91" s="2"/>
      <c r="U91" s="2"/>
      <c r="V91" s="2"/>
      <c r="W91" s="2"/>
      <c r="X91" s="2"/>
      <c r="Y91" s="2"/>
      <c r="Z91" s="2"/>
    </row>
    <row r="92" ht="15" customHeight="1" spans="1:26">
      <c r="A92" s="13" t="s">
        <v>403</v>
      </c>
      <c r="B92" s="13" t="s">
        <v>7916</v>
      </c>
      <c r="C92" s="13" t="s">
        <v>229</v>
      </c>
      <c r="D92" s="65">
        <v>500</v>
      </c>
      <c r="E92" s="13" t="s">
        <v>21</v>
      </c>
      <c r="F92" s="13" t="s">
        <v>2236</v>
      </c>
      <c r="G92" s="13" t="s">
        <v>7917</v>
      </c>
      <c r="H92" s="2"/>
      <c r="I92" s="2"/>
      <c r="J92" s="2"/>
      <c r="K92" s="2"/>
      <c r="L92" s="2"/>
      <c r="M92" s="2"/>
      <c r="N92" s="2"/>
      <c r="O92" s="2"/>
      <c r="P92" s="2"/>
      <c r="Q92" s="2"/>
      <c r="R92" s="2"/>
      <c r="S92" s="2"/>
      <c r="T92" s="2"/>
      <c r="U92" s="2"/>
      <c r="V92" s="2"/>
      <c r="W92" s="2"/>
      <c r="X92" s="2"/>
      <c r="Y92" s="2"/>
      <c r="Z92" s="2"/>
    </row>
    <row r="93" ht="15" customHeight="1" spans="1:26">
      <c r="A93" s="13" t="s">
        <v>407</v>
      </c>
      <c r="B93" s="13" t="s">
        <v>7918</v>
      </c>
      <c r="C93" s="13" t="s">
        <v>229</v>
      </c>
      <c r="D93" s="65">
        <v>350</v>
      </c>
      <c r="E93" s="13" t="s">
        <v>21</v>
      </c>
      <c r="F93" s="13"/>
      <c r="G93" s="13" t="s">
        <v>7919</v>
      </c>
      <c r="H93" s="2"/>
      <c r="I93" s="2"/>
      <c r="J93" s="2"/>
      <c r="K93" s="2"/>
      <c r="L93" s="2"/>
      <c r="M93" s="2"/>
      <c r="N93" s="2"/>
      <c r="O93" s="2"/>
      <c r="P93" s="2"/>
      <c r="Q93" s="2"/>
      <c r="R93" s="2"/>
      <c r="S93" s="2"/>
      <c r="T93" s="2"/>
      <c r="U93" s="2"/>
      <c r="V93" s="2"/>
      <c r="W93" s="2"/>
      <c r="X93" s="2"/>
      <c r="Y93" s="2"/>
      <c r="Z93" s="2"/>
    </row>
    <row r="94" ht="15" customHeight="1" spans="1:26">
      <c r="A94" s="13" t="s">
        <v>411</v>
      </c>
      <c r="B94" s="13" t="s">
        <v>2239</v>
      </c>
      <c r="C94" s="13" t="s">
        <v>413</v>
      </c>
      <c r="D94" s="14">
        <v>50</v>
      </c>
      <c r="E94" s="13" t="s">
        <v>310</v>
      </c>
      <c r="F94" s="13" t="s">
        <v>2240</v>
      </c>
      <c r="G94" s="13" t="s">
        <v>7920</v>
      </c>
      <c r="H94" s="2"/>
      <c r="I94" s="2"/>
      <c r="J94" s="2"/>
      <c r="K94" s="2"/>
      <c r="L94" s="2"/>
      <c r="M94" s="2"/>
      <c r="N94" s="2"/>
      <c r="O94" s="2"/>
      <c r="P94" s="2"/>
      <c r="Q94" s="2"/>
      <c r="R94" s="2"/>
      <c r="S94" s="2"/>
      <c r="T94" s="2"/>
      <c r="U94" s="2"/>
      <c r="V94" s="2"/>
      <c r="W94" s="2"/>
      <c r="X94" s="2"/>
      <c r="Y94" s="2"/>
      <c r="Z94" s="2"/>
    </row>
    <row r="95" ht="15" customHeight="1" spans="1:26">
      <c r="A95" s="13" t="s">
        <v>416</v>
      </c>
      <c r="B95" s="13" t="s">
        <v>7921</v>
      </c>
      <c r="C95" s="13" t="s">
        <v>418</v>
      </c>
      <c r="D95" s="14">
        <v>35</v>
      </c>
      <c r="E95" s="13" t="s">
        <v>310</v>
      </c>
      <c r="F95" s="13"/>
      <c r="G95" s="13" t="s">
        <v>7922</v>
      </c>
      <c r="H95" s="2"/>
      <c r="I95" s="2"/>
      <c r="J95" s="2"/>
      <c r="K95" s="2"/>
      <c r="L95" s="2"/>
      <c r="M95" s="2"/>
      <c r="N95" s="2"/>
      <c r="O95" s="2"/>
      <c r="P95" s="2"/>
      <c r="Q95" s="2"/>
      <c r="R95" s="2"/>
      <c r="S95" s="2"/>
      <c r="T95" s="2"/>
      <c r="U95" s="2"/>
      <c r="V95" s="2"/>
      <c r="W95" s="2"/>
      <c r="X95" s="2"/>
      <c r="Y95" s="2"/>
      <c r="Z95" s="2"/>
    </row>
    <row r="96" ht="15" customHeight="1" spans="1:26">
      <c r="A96" s="13" t="s">
        <v>421</v>
      </c>
      <c r="B96" s="13" t="s">
        <v>7923</v>
      </c>
      <c r="C96" s="13" t="s">
        <v>423</v>
      </c>
      <c r="D96" s="14">
        <v>67</v>
      </c>
      <c r="E96" s="13" t="s">
        <v>310</v>
      </c>
      <c r="F96" s="13"/>
      <c r="G96" s="13" t="s">
        <v>7924</v>
      </c>
      <c r="H96" s="2"/>
      <c r="I96" s="2"/>
      <c r="J96" s="2"/>
      <c r="K96" s="2"/>
      <c r="L96" s="2"/>
      <c r="M96" s="2"/>
      <c r="N96" s="2"/>
      <c r="O96" s="2"/>
      <c r="P96" s="2"/>
      <c r="Q96" s="2"/>
      <c r="R96" s="2"/>
      <c r="S96" s="2"/>
      <c r="T96" s="2"/>
      <c r="U96" s="2"/>
      <c r="V96" s="2"/>
      <c r="W96" s="2"/>
      <c r="X96" s="2"/>
      <c r="Y96" s="2"/>
      <c r="Z96" s="2"/>
    </row>
    <row r="97" ht="15" customHeight="1" spans="1:26">
      <c r="A97" s="13" t="s">
        <v>426</v>
      </c>
      <c r="B97" s="13" t="s">
        <v>7925</v>
      </c>
      <c r="C97" s="13" t="s">
        <v>428</v>
      </c>
      <c r="D97" s="65">
        <v>13</v>
      </c>
      <c r="E97" s="13" t="s">
        <v>262</v>
      </c>
      <c r="F97" s="13"/>
      <c r="G97" s="13" t="s">
        <v>7926</v>
      </c>
      <c r="H97" s="2"/>
      <c r="I97" s="2"/>
      <c r="J97" s="2"/>
      <c r="K97" s="2"/>
      <c r="L97" s="2"/>
      <c r="M97" s="2"/>
      <c r="N97" s="2"/>
      <c r="O97" s="2"/>
      <c r="P97" s="2"/>
      <c r="Q97" s="2"/>
      <c r="R97" s="2"/>
      <c r="S97" s="2"/>
      <c r="T97" s="2"/>
      <c r="U97" s="2"/>
      <c r="V97" s="2"/>
      <c r="W97" s="2"/>
      <c r="X97" s="2"/>
      <c r="Y97" s="2"/>
      <c r="Z97" s="2"/>
    </row>
    <row r="98" ht="15" customHeight="1" spans="1:26">
      <c r="A98" s="13" t="s">
        <v>431</v>
      </c>
      <c r="B98" s="13" t="s">
        <v>2721</v>
      </c>
      <c r="C98" s="13" t="s">
        <v>428</v>
      </c>
      <c r="D98" s="65">
        <v>879</v>
      </c>
      <c r="E98" s="13" t="s">
        <v>21</v>
      </c>
      <c r="F98" s="13"/>
      <c r="G98" s="13" t="s">
        <v>7927</v>
      </c>
      <c r="H98" s="2"/>
      <c r="I98" s="2"/>
      <c r="J98" s="2"/>
      <c r="K98" s="2"/>
      <c r="L98" s="2"/>
      <c r="M98" s="2"/>
      <c r="N98" s="2"/>
      <c r="O98" s="2"/>
      <c r="P98" s="2"/>
      <c r="Q98" s="2"/>
      <c r="R98" s="2"/>
      <c r="S98" s="2"/>
      <c r="T98" s="2"/>
      <c r="U98" s="2"/>
      <c r="V98" s="2"/>
      <c r="W98" s="2"/>
      <c r="X98" s="2"/>
      <c r="Y98" s="2"/>
      <c r="Z98" s="2"/>
    </row>
    <row r="99" ht="15" customHeight="1" spans="1:26">
      <c r="A99" s="13" t="s">
        <v>435</v>
      </c>
      <c r="B99" s="13" t="s">
        <v>7928</v>
      </c>
      <c r="C99" s="13" t="s">
        <v>428</v>
      </c>
      <c r="D99" s="14">
        <v>1000</v>
      </c>
      <c r="E99" s="13" t="s">
        <v>21</v>
      </c>
      <c r="F99" s="13"/>
      <c r="G99" s="13" t="s">
        <v>7929</v>
      </c>
      <c r="H99" s="2"/>
      <c r="I99" s="2"/>
      <c r="J99" s="2"/>
      <c r="K99" s="2"/>
      <c r="L99" s="2"/>
      <c r="M99" s="2"/>
      <c r="N99" s="2"/>
      <c r="O99" s="2"/>
      <c r="P99" s="2"/>
      <c r="Q99" s="2"/>
      <c r="R99" s="2"/>
      <c r="S99" s="2"/>
      <c r="T99" s="2"/>
      <c r="U99" s="2"/>
      <c r="V99" s="2"/>
      <c r="W99" s="2"/>
      <c r="X99" s="2"/>
      <c r="Y99" s="2"/>
      <c r="Z99" s="2"/>
    </row>
    <row r="100" ht="15" customHeight="1" spans="1:26">
      <c r="A100" s="64" t="s">
        <v>439</v>
      </c>
      <c r="B100" s="13" t="s">
        <v>7930</v>
      </c>
      <c r="C100" s="13" t="s">
        <v>315</v>
      </c>
      <c r="D100" s="65">
        <v>15</v>
      </c>
      <c r="E100" s="13" t="s">
        <v>37</v>
      </c>
      <c r="F100" s="13"/>
      <c r="G100" s="13" t="s">
        <v>7931</v>
      </c>
      <c r="H100" s="2"/>
      <c r="I100" s="2"/>
      <c r="J100" s="2"/>
      <c r="K100" s="2"/>
      <c r="L100" s="2"/>
      <c r="M100" s="2"/>
      <c r="N100" s="2"/>
      <c r="O100" s="2"/>
      <c r="P100" s="2"/>
      <c r="Q100" s="2"/>
      <c r="R100" s="2"/>
      <c r="S100" s="2"/>
      <c r="T100" s="2"/>
      <c r="U100" s="2"/>
      <c r="V100" s="2"/>
      <c r="W100" s="2"/>
      <c r="X100" s="2"/>
      <c r="Y100" s="2"/>
      <c r="Z100" s="2"/>
    </row>
    <row r="101" ht="15" customHeight="1" spans="1:26">
      <c r="A101" s="13" t="s">
        <v>443</v>
      </c>
      <c r="B101" s="13" t="s">
        <v>1871</v>
      </c>
      <c r="C101" s="13" t="s">
        <v>445</v>
      </c>
      <c r="D101" s="14">
        <v>188</v>
      </c>
      <c r="E101" s="13" t="s">
        <v>310</v>
      </c>
      <c r="F101" s="13"/>
      <c r="G101" s="13" t="s">
        <v>7932</v>
      </c>
      <c r="H101" s="2"/>
      <c r="I101" s="2"/>
      <c r="J101" s="2"/>
      <c r="K101" s="2"/>
      <c r="L101" s="2"/>
      <c r="M101" s="2"/>
      <c r="N101" s="2"/>
      <c r="O101" s="2"/>
      <c r="P101" s="2"/>
      <c r="Q101" s="2"/>
      <c r="R101" s="2"/>
      <c r="S101" s="2"/>
      <c r="T101" s="2"/>
      <c r="U101" s="2"/>
      <c r="V101" s="2"/>
      <c r="W101" s="2"/>
      <c r="X101" s="2"/>
      <c r="Y101" s="2"/>
      <c r="Z101" s="2"/>
    </row>
    <row r="102" ht="15" customHeight="1" spans="1:26">
      <c r="A102" s="13" t="s">
        <v>448</v>
      </c>
      <c r="B102" s="13" t="s">
        <v>7890</v>
      </c>
      <c r="C102" s="13" t="s">
        <v>450</v>
      </c>
      <c r="D102" s="65">
        <v>95</v>
      </c>
      <c r="E102" s="13" t="s">
        <v>310</v>
      </c>
      <c r="F102" s="13"/>
      <c r="G102" s="13" t="s">
        <v>7891</v>
      </c>
      <c r="H102" s="2"/>
      <c r="I102" s="2"/>
      <c r="J102" s="2"/>
      <c r="K102" s="2"/>
      <c r="L102" s="2"/>
      <c r="M102" s="2"/>
      <c r="N102" s="2"/>
      <c r="O102" s="2"/>
      <c r="P102" s="2"/>
      <c r="Q102" s="2"/>
      <c r="R102" s="2"/>
      <c r="S102" s="2"/>
      <c r="T102" s="2"/>
      <c r="U102" s="2"/>
      <c r="V102" s="2"/>
      <c r="W102" s="2"/>
      <c r="X102" s="2"/>
      <c r="Y102" s="2"/>
      <c r="Z102" s="2"/>
    </row>
    <row r="103" ht="15" customHeight="1" spans="1:26">
      <c r="A103" s="13" t="s">
        <v>452</v>
      </c>
      <c r="B103" s="13" t="s">
        <v>314</v>
      </c>
      <c r="C103" s="13" t="s">
        <v>450</v>
      </c>
      <c r="D103" s="65">
        <v>89</v>
      </c>
      <c r="E103" s="13" t="s">
        <v>310</v>
      </c>
      <c r="F103" s="13"/>
      <c r="G103" s="13" t="s">
        <v>7933</v>
      </c>
      <c r="H103" s="2"/>
      <c r="I103" s="2"/>
      <c r="J103" s="2"/>
      <c r="K103" s="2"/>
      <c r="L103" s="2"/>
      <c r="M103" s="2"/>
      <c r="N103" s="2"/>
      <c r="O103" s="2"/>
      <c r="P103" s="2"/>
      <c r="Q103" s="2"/>
      <c r="R103" s="2"/>
      <c r="S103" s="2"/>
      <c r="T103" s="2"/>
      <c r="U103" s="2"/>
      <c r="V103" s="2"/>
      <c r="W103" s="2"/>
      <c r="X103" s="2"/>
      <c r="Y103" s="2"/>
      <c r="Z103" s="2"/>
    </row>
    <row r="104" ht="15" customHeight="1" spans="1:26">
      <c r="A104" s="13" t="s">
        <v>455</v>
      </c>
      <c r="B104" s="13" t="s">
        <v>2259</v>
      </c>
      <c r="C104" s="13" t="s">
        <v>457</v>
      </c>
      <c r="D104" s="14">
        <v>400</v>
      </c>
      <c r="E104" s="13" t="s">
        <v>21</v>
      </c>
      <c r="F104" s="13"/>
      <c r="G104" s="13" t="s">
        <v>7934</v>
      </c>
      <c r="H104" s="2"/>
      <c r="I104" s="2"/>
      <c r="J104" s="2"/>
      <c r="K104" s="2"/>
      <c r="L104" s="2"/>
      <c r="M104" s="2"/>
      <c r="N104" s="2"/>
      <c r="O104" s="2"/>
      <c r="P104" s="2"/>
      <c r="Q104" s="2"/>
      <c r="R104" s="2"/>
      <c r="S104" s="2"/>
      <c r="T104" s="2"/>
      <c r="U104" s="2"/>
      <c r="V104" s="2"/>
      <c r="W104" s="2"/>
      <c r="X104" s="2"/>
      <c r="Y104" s="2"/>
      <c r="Z104" s="2"/>
    </row>
    <row r="105" ht="15" customHeight="1" spans="1:26">
      <c r="A105" s="13" t="s">
        <v>460</v>
      </c>
      <c r="B105" s="13" t="s">
        <v>7935</v>
      </c>
      <c r="C105" s="13" t="s">
        <v>462</v>
      </c>
      <c r="D105" s="14">
        <v>8</v>
      </c>
      <c r="E105" s="13" t="s">
        <v>37</v>
      </c>
      <c r="F105" s="13"/>
      <c r="G105" s="13" t="s">
        <v>7936</v>
      </c>
      <c r="H105" s="2"/>
      <c r="I105" s="2"/>
      <c r="J105" s="2"/>
      <c r="K105" s="2"/>
      <c r="L105" s="2"/>
      <c r="M105" s="2"/>
      <c r="N105" s="2"/>
      <c r="O105" s="2"/>
      <c r="P105" s="2"/>
      <c r="Q105" s="2"/>
      <c r="R105" s="2"/>
      <c r="S105" s="2"/>
      <c r="T105" s="2"/>
      <c r="U105" s="2"/>
      <c r="V105" s="2"/>
      <c r="W105" s="2"/>
      <c r="X105" s="2"/>
      <c r="Y105" s="2"/>
      <c r="Z105" s="2"/>
    </row>
    <row r="106" ht="15" customHeight="1" spans="1:26">
      <c r="A106" s="64" t="s">
        <v>465</v>
      </c>
      <c r="B106" s="13" t="s">
        <v>466</v>
      </c>
      <c r="C106" s="13" t="s">
        <v>315</v>
      </c>
      <c r="D106" s="65">
        <v>30</v>
      </c>
      <c r="E106" s="13" t="s">
        <v>21</v>
      </c>
      <c r="F106" s="13" t="s">
        <v>467</v>
      </c>
      <c r="G106" s="13" t="s">
        <v>7937</v>
      </c>
      <c r="H106" s="2"/>
      <c r="I106" s="2"/>
      <c r="J106" s="2"/>
      <c r="K106" s="2"/>
      <c r="L106" s="2"/>
      <c r="M106" s="2"/>
      <c r="N106" s="2"/>
      <c r="O106" s="2"/>
      <c r="P106" s="2"/>
      <c r="Q106" s="2"/>
      <c r="R106" s="2"/>
      <c r="S106" s="2"/>
      <c r="T106" s="2"/>
      <c r="U106" s="2"/>
      <c r="V106" s="2"/>
      <c r="W106" s="2"/>
      <c r="X106" s="2"/>
      <c r="Y106" s="2"/>
      <c r="Z106" s="2"/>
    </row>
    <row r="107" ht="15" customHeight="1" spans="1:26">
      <c r="A107" s="13" t="s">
        <v>469</v>
      </c>
      <c r="B107" s="13" t="s">
        <v>2266</v>
      </c>
      <c r="C107" s="13" t="s">
        <v>471</v>
      </c>
      <c r="D107" s="14">
        <v>43</v>
      </c>
      <c r="E107" s="13" t="s">
        <v>310</v>
      </c>
      <c r="F107" s="13" t="s">
        <v>2267</v>
      </c>
      <c r="G107" s="13" t="s">
        <v>7938</v>
      </c>
      <c r="H107" s="2"/>
      <c r="I107" s="2"/>
      <c r="J107" s="2"/>
      <c r="K107" s="2"/>
      <c r="L107" s="2"/>
      <c r="M107" s="2"/>
      <c r="N107" s="2"/>
      <c r="O107" s="2"/>
      <c r="P107" s="2"/>
      <c r="Q107" s="2"/>
      <c r="R107" s="2"/>
      <c r="S107" s="2"/>
      <c r="T107" s="2"/>
      <c r="U107" s="2"/>
      <c r="V107" s="2"/>
      <c r="W107" s="2"/>
      <c r="X107" s="2"/>
      <c r="Y107" s="2"/>
      <c r="Z107" s="2"/>
    </row>
    <row r="108" ht="15" customHeight="1" spans="1:26">
      <c r="A108" s="13" t="s">
        <v>474</v>
      </c>
      <c r="B108" s="13" t="s">
        <v>7939</v>
      </c>
      <c r="C108" s="13" t="s">
        <v>476</v>
      </c>
      <c r="D108" s="65">
        <v>123</v>
      </c>
      <c r="E108" s="13" t="s">
        <v>310</v>
      </c>
      <c r="F108" s="13"/>
      <c r="G108" s="13" t="s">
        <v>7940</v>
      </c>
      <c r="H108" s="2"/>
      <c r="I108" s="2"/>
      <c r="J108" s="2"/>
      <c r="K108" s="2"/>
      <c r="L108" s="2"/>
      <c r="M108" s="2"/>
      <c r="N108" s="2"/>
      <c r="O108" s="2"/>
      <c r="P108" s="2"/>
      <c r="Q108" s="2"/>
      <c r="R108" s="2"/>
      <c r="S108" s="2"/>
      <c r="T108" s="2"/>
      <c r="U108" s="2"/>
      <c r="V108" s="2"/>
      <c r="W108" s="2"/>
      <c r="X108" s="2"/>
      <c r="Y108" s="2"/>
      <c r="Z108" s="2"/>
    </row>
    <row r="109" ht="15" customHeight="1" spans="1:26">
      <c r="A109" s="13" t="s">
        <v>479</v>
      </c>
      <c r="B109" s="13" t="s">
        <v>7941</v>
      </c>
      <c r="C109" s="13" t="s">
        <v>476</v>
      </c>
      <c r="D109" s="65">
        <v>76</v>
      </c>
      <c r="E109" s="13" t="s">
        <v>310</v>
      </c>
      <c r="F109" s="13"/>
      <c r="G109" s="13" t="s">
        <v>7942</v>
      </c>
      <c r="H109" s="2"/>
      <c r="I109" s="2"/>
      <c r="J109" s="2"/>
      <c r="K109" s="2"/>
      <c r="L109" s="2"/>
      <c r="M109" s="2"/>
      <c r="N109" s="2"/>
      <c r="O109" s="2"/>
      <c r="P109" s="2"/>
      <c r="Q109" s="2"/>
      <c r="R109" s="2"/>
      <c r="S109" s="2"/>
      <c r="T109" s="2"/>
      <c r="U109" s="2"/>
      <c r="V109" s="2"/>
      <c r="W109" s="2"/>
      <c r="X109" s="2"/>
      <c r="Y109" s="2"/>
      <c r="Z109" s="2"/>
    </row>
    <row r="110" ht="15" customHeight="1" spans="1:26">
      <c r="A110" s="64" t="s">
        <v>483</v>
      </c>
      <c r="B110" s="13" t="s">
        <v>7943</v>
      </c>
      <c r="C110" s="13" t="s">
        <v>485</v>
      </c>
      <c r="D110" s="65">
        <v>77</v>
      </c>
      <c r="E110" s="13" t="s">
        <v>37</v>
      </c>
      <c r="F110" s="13"/>
      <c r="G110" s="13" t="s">
        <v>7944</v>
      </c>
      <c r="H110" s="2"/>
      <c r="I110" s="2"/>
      <c r="J110" s="2"/>
      <c r="K110" s="2"/>
      <c r="L110" s="2"/>
      <c r="M110" s="2"/>
      <c r="N110" s="2"/>
      <c r="O110" s="2"/>
      <c r="P110" s="2"/>
      <c r="Q110" s="2"/>
      <c r="R110" s="2"/>
      <c r="S110" s="2"/>
      <c r="T110" s="2"/>
      <c r="U110" s="2"/>
      <c r="V110" s="2"/>
      <c r="W110" s="2"/>
      <c r="X110" s="2"/>
      <c r="Y110" s="2"/>
      <c r="Z110" s="2"/>
    </row>
    <row r="111" ht="15" customHeight="1" spans="1:26">
      <c r="A111" s="13" t="s">
        <v>488</v>
      </c>
      <c r="B111" s="13" t="s">
        <v>2270</v>
      </c>
      <c r="C111" s="13" t="s">
        <v>490</v>
      </c>
      <c r="D111" s="14">
        <v>50</v>
      </c>
      <c r="E111" s="13" t="s">
        <v>37</v>
      </c>
      <c r="F111" s="13"/>
      <c r="G111" s="13" t="s">
        <v>7945</v>
      </c>
      <c r="H111" s="2"/>
      <c r="I111" s="2"/>
      <c r="J111" s="2"/>
      <c r="K111" s="2"/>
      <c r="L111" s="2"/>
      <c r="M111" s="2"/>
      <c r="N111" s="2"/>
      <c r="O111" s="2"/>
      <c r="P111" s="2"/>
      <c r="Q111" s="2"/>
      <c r="R111" s="2"/>
      <c r="S111" s="2"/>
      <c r="T111" s="2"/>
      <c r="U111" s="2"/>
      <c r="V111" s="2"/>
      <c r="W111" s="2"/>
      <c r="X111" s="2"/>
      <c r="Y111" s="2"/>
      <c r="Z111" s="2"/>
    </row>
    <row r="112" ht="15" customHeight="1" spans="1:26">
      <c r="A112" s="13" t="s">
        <v>493</v>
      </c>
      <c r="B112" s="13" t="s">
        <v>2273</v>
      </c>
      <c r="C112" s="13" t="s">
        <v>495</v>
      </c>
      <c r="D112" s="57"/>
      <c r="E112" s="57"/>
      <c r="F112" s="13"/>
      <c r="G112" s="13" t="s">
        <v>7946</v>
      </c>
      <c r="H112" s="2"/>
      <c r="I112" s="2"/>
      <c r="J112" s="2"/>
      <c r="K112" s="2"/>
      <c r="L112" s="2"/>
      <c r="M112" s="2"/>
      <c r="N112" s="2"/>
      <c r="O112" s="2"/>
      <c r="P112" s="2"/>
      <c r="Q112" s="2"/>
      <c r="R112" s="2"/>
      <c r="S112" s="2"/>
      <c r="T112" s="2"/>
      <c r="U112" s="2"/>
      <c r="V112" s="2"/>
      <c r="W112" s="2"/>
      <c r="X112" s="2"/>
      <c r="Y112" s="2"/>
      <c r="Z112" s="2"/>
    </row>
    <row r="113" ht="15" customHeight="1" spans="1:26">
      <c r="A113" s="13" t="s">
        <v>498</v>
      </c>
      <c r="B113" s="13" t="s">
        <v>499</v>
      </c>
      <c r="C113" s="13" t="s">
        <v>500</v>
      </c>
      <c r="D113" s="57"/>
      <c r="E113" s="57"/>
      <c r="F113" s="13" t="s">
        <v>501</v>
      </c>
      <c r="G113" s="13" t="s">
        <v>7947</v>
      </c>
      <c r="H113" s="2"/>
      <c r="I113" s="2"/>
      <c r="J113" s="2"/>
      <c r="K113" s="2"/>
      <c r="L113" s="2"/>
      <c r="M113" s="2"/>
      <c r="N113" s="2"/>
      <c r="O113" s="2"/>
      <c r="P113" s="2"/>
      <c r="Q113" s="2"/>
      <c r="R113" s="2"/>
      <c r="S113" s="2"/>
      <c r="T113" s="2"/>
      <c r="U113" s="2"/>
      <c r="V113" s="2"/>
      <c r="W113" s="2"/>
      <c r="X113" s="2"/>
      <c r="Y113" s="2"/>
      <c r="Z113" s="2"/>
    </row>
    <row r="114" ht="15" customHeight="1" spans="1:26">
      <c r="A114" s="64" t="s">
        <v>503</v>
      </c>
      <c r="B114" s="13" t="s">
        <v>504</v>
      </c>
      <c r="C114" s="13" t="s">
        <v>505</v>
      </c>
      <c r="D114" s="65">
        <v>38</v>
      </c>
      <c r="E114" s="13" t="s">
        <v>37</v>
      </c>
      <c r="F114" s="13" t="s">
        <v>506</v>
      </c>
      <c r="G114" s="13" t="s">
        <v>7948</v>
      </c>
      <c r="H114" s="2"/>
      <c r="I114" s="2"/>
      <c r="J114" s="2"/>
      <c r="K114" s="2"/>
      <c r="L114" s="2"/>
      <c r="M114" s="2"/>
      <c r="N114" s="2"/>
      <c r="O114" s="2"/>
      <c r="P114" s="2"/>
      <c r="Q114" s="2"/>
      <c r="R114" s="2"/>
      <c r="S114" s="2"/>
      <c r="T114" s="2"/>
      <c r="U114" s="2"/>
      <c r="V114" s="2"/>
      <c r="W114" s="2"/>
      <c r="X114" s="2"/>
      <c r="Y114" s="2"/>
      <c r="Z114" s="2"/>
    </row>
    <row r="115" ht="15" customHeight="1" spans="1:26">
      <c r="A115" s="13" t="s">
        <v>508</v>
      </c>
      <c r="B115" s="13" t="s">
        <v>7949</v>
      </c>
      <c r="C115" s="13" t="s">
        <v>510</v>
      </c>
      <c r="D115" s="14">
        <v>40</v>
      </c>
      <c r="E115" s="13" t="s">
        <v>37</v>
      </c>
      <c r="F115" s="13"/>
      <c r="G115" s="13" t="s">
        <v>7950</v>
      </c>
      <c r="H115" s="2"/>
      <c r="I115" s="2"/>
      <c r="J115" s="2"/>
      <c r="K115" s="2"/>
      <c r="L115" s="2"/>
      <c r="M115" s="2"/>
      <c r="N115" s="2"/>
      <c r="O115" s="2"/>
      <c r="P115" s="2"/>
      <c r="Q115" s="2"/>
      <c r="R115" s="2"/>
      <c r="S115" s="2"/>
      <c r="T115" s="2"/>
      <c r="U115" s="2"/>
      <c r="V115" s="2"/>
      <c r="W115" s="2"/>
      <c r="X115" s="2"/>
      <c r="Y115" s="2"/>
      <c r="Z115" s="2"/>
    </row>
    <row r="116" ht="15" customHeight="1" spans="1:26">
      <c r="A116" s="13" t="s">
        <v>513</v>
      </c>
      <c r="B116" s="13" t="s">
        <v>7951</v>
      </c>
      <c r="C116" s="13" t="s">
        <v>515</v>
      </c>
      <c r="D116" s="14">
        <v>40</v>
      </c>
      <c r="E116" s="13" t="s">
        <v>37</v>
      </c>
      <c r="F116" s="13" t="s">
        <v>1167</v>
      </c>
      <c r="G116" s="13" t="s">
        <v>7952</v>
      </c>
      <c r="H116" s="2"/>
      <c r="I116" s="2"/>
      <c r="J116" s="2"/>
      <c r="K116" s="2"/>
      <c r="L116" s="2"/>
      <c r="M116" s="2"/>
      <c r="N116" s="2"/>
      <c r="O116" s="2"/>
      <c r="P116" s="2"/>
      <c r="Q116" s="2"/>
      <c r="R116" s="2"/>
      <c r="S116" s="2"/>
      <c r="T116" s="2"/>
      <c r="U116" s="2"/>
      <c r="V116" s="2"/>
      <c r="W116" s="2"/>
      <c r="X116" s="2"/>
      <c r="Y116" s="2"/>
      <c r="Z116" s="2"/>
    </row>
    <row r="117" ht="15" customHeight="1" spans="1:26">
      <c r="A117" s="13" t="s">
        <v>518</v>
      </c>
      <c r="B117" s="13" t="s">
        <v>7828</v>
      </c>
      <c r="C117" s="13" t="s">
        <v>519</v>
      </c>
      <c r="D117" s="14">
        <v>45</v>
      </c>
      <c r="E117" s="13" t="s">
        <v>37</v>
      </c>
      <c r="F117" s="13" t="s">
        <v>7953</v>
      </c>
      <c r="G117" s="13" t="s">
        <v>7954</v>
      </c>
      <c r="H117" s="2"/>
      <c r="I117" s="2"/>
      <c r="J117" s="2"/>
      <c r="K117" s="2"/>
      <c r="L117" s="2"/>
      <c r="M117" s="2"/>
      <c r="N117" s="2"/>
      <c r="O117" s="2"/>
      <c r="P117" s="2"/>
      <c r="Q117" s="2"/>
      <c r="R117" s="2"/>
      <c r="S117" s="2"/>
      <c r="T117" s="2"/>
      <c r="U117" s="2"/>
      <c r="V117" s="2"/>
      <c r="W117" s="2"/>
      <c r="X117" s="2"/>
      <c r="Y117" s="2"/>
      <c r="Z117" s="2"/>
    </row>
    <row r="118" ht="15" customHeight="1" spans="1:26">
      <c r="A118" s="13" t="s">
        <v>520</v>
      </c>
      <c r="B118" s="13" t="s">
        <v>5000</v>
      </c>
      <c r="C118" s="13" t="s">
        <v>515</v>
      </c>
      <c r="D118" s="14">
        <v>50</v>
      </c>
      <c r="E118" s="13" t="s">
        <v>37</v>
      </c>
      <c r="F118" s="13" t="s">
        <v>7955</v>
      </c>
      <c r="G118" s="13" t="s">
        <v>7832</v>
      </c>
      <c r="H118" s="2"/>
      <c r="I118" s="2"/>
      <c r="J118" s="2"/>
      <c r="K118" s="2"/>
      <c r="L118" s="2"/>
      <c r="M118" s="2"/>
      <c r="N118" s="2"/>
      <c r="O118" s="2"/>
      <c r="P118" s="2"/>
      <c r="Q118" s="2"/>
      <c r="R118" s="2"/>
      <c r="S118" s="2"/>
      <c r="T118" s="2"/>
      <c r="U118" s="2"/>
      <c r="V118" s="2"/>
      <c r="W118" s="2"/>
      <c r="X118" s="2"/>
      <c r="Y118" s="2"/>
      <c r="Z118" s="2"/>
    </row>
    <row r="119" ht="15" customHeight="1" spans="1:26">
      <c r="A119" s="64" t="s">
        <v>522</v>
      </c>
      <c r="B119" s="13" t="s">
        <v>7956</v>
      </c>
      <c r="C119" s="13" t="s">
        <v>524</v>
      </c>
      <c r="D119" s="65">
        <v>90</v>
      </c>
      <c r="E119" s="13" t="s">
        <v>21</v>
      </c>
      <c r="F119" s="13"/>
      <c r="G119" s="74" t="s">
        <v>7957</v>
      </c>
      <c r="H119" s="2"/>
      <c r="I119" s="2"/>
      <c r="J119" s="2"/>
      <c r="K119" s="2"/>
      <c r="L119" s="2"/>
      <c r="M119" s="2"/>
      <c r="N119" s="2"/>
      <c r="O119" s="2"/>
      <c r="P119" s="2"/>
      <c r="Q119" s="2"/>
      <c r="R119" s="2"/>
      <c r="S119" s="2"/>
      <c r="T119" s="2"/>
      <c r="U119" s="2"/>
      <c r="V119" s="2"/>
      <c r="W119" s="2"/>
      <c r="X119" s="2"/>
      <c r="Y119" s="2"/>
      <c r="Z119" s="2"/>
    </row>
    <row r="120" ht="15" customHeight="1" spans="1:26">
      <c r="A120" s="13" t="s">
        <v>527</v>
      </c>
      <c r="B120" s="13" t="s">
        <v>528</v>
      </c>
      <c r="C120" s="13" t="s">
        <v>529</v>
      </c>
      <c r="D120" s="72"/>
      <c r="E120" s="57"/>
      <c r="F120" s="13" t="s">
        <v>530</v>
      </c>
      <c r="G120" s="13" t="s">
        <v>531</v>
      </c>
      <c r="H120" s="2"/>
      <c r="I120" s="2"/>
      <c r="J120" s="2"/>
      <c r="K120" s="2"/>
      <c r="L120" s="2"/>
      <c r="M120" s="2"/>
      <c r="N120" s="2"/>
      <c r="O120" s="2"/>
      <c r="P120" s="2"/>
      <c r="Q120" s="2"/>
      <c r="R120" s="2"/>
      <c r="S120" s="2"/>
      <c r="T120" s="2"/>
      <c r="U120" s="2"/>
      <c r="V120" s="2"/>
      <c r="W120" s="2"/>
      <c r="X120" s="2"/>
      <c r="Y120" s="2"/>
      <c r="Z120" s="2"/>
    </row>
    <row r="121" ht="15" customHeight="1" spans="1:26">
      <c r="A121" s="13" t="s">
        <v>532</v>
      </c>
      <c r="B121" s="13" t="s">
        <v>7958</v>
      </c>
      <c r="C121" s="13" t="s">
        <v>534</v>
      </c>
      <c r="D121" s="14">
        <v>120</v>
      </c>
      <c r="E121" s="13" t="s">
        <v>37</v>
      </c>
      <c r="F121" s="13"/>
      <c r="G121" s="13" t="s">
        <v>7959</v>
      </c>
      <c r="H121" s="2"/>
      <c r="I121" s="2"/>
      <c r="J121" s="2"/>
      <c r="K121" s="2"/>
      <c r="L121" s="2"/>
      <c r="M121" s="2"/>
      <c r="N121" s="2"/>
      <c r="O121" s="2"/>
      <c r="P121" s="2"/>
      <c r="Q121" s="2"/>
      <c r="R121" s="2"/>
      <c r="S121" s="2"/>
      <c r="T121" s="2"/>
      <c r="U121" s="2"/>
      <c r="V121" s="2"/>
      <c r="W121" s="2"/>
      <c r="X121" s="2"/>
      <c r="Y121" s="2"/>
      <c r="Z121" s="2"/>
    </row>
    <row r="122" ht="15" customHeight="1" spans="1:26">
      <c r="A122" s="64" t="s">
        <v>537</v>
      </c>
      <c r="B122" s="13" t="s">
        <v>7960</v>
      </c>
      <c r="C122" s="13" t="s">
        <v>539</v>
      </c>
      <c r="D122" s="65">
        <v>60</v>
      </c>
      <c r="E122" s="13" t="s">
        <v>37</v>
      </c>
      <c r="F122" s="13"/>
      <c r="G122" s="13" t="s">
        <v>7961</v>
      </c>
      <c r="H122" s="2"/>
      <c r="I122" s="2"/>
      <c r="J122" s="2"/>
      <c r="K122" s="2"/>
      <c r="L122" s="2"/>
      <c r="M122" s="2"/>
      <c r="N122" s="2"/>
      <c r="O122" s="2"/>
      <c r="P122" s="2"/>
      <c r="Q122" s="2"/>
      <c r="R122" s="2"/>
      <c r="S122" s="2"/>
      <c r="T122" s="2"/>
      <c r="U122" s="2"/>
      <c r="V122" s="2"/>
      <c r="W122" s="2"/>
      <c r="X122" s="2"/>
      <c r="Y122" s="2"/>
      <c r="Z122" s="2"/>
    </row>
    <row r="123" ht="15" customHeight="1" spans="1:26">
      <c r="A123" s="64" t="s">
        <v>542</v>
      </c>
      <c r="B123" s="13" t="s">
        <v>7962</v>
      </c>
      <c r="C123" s="13" t="s">
        <v>539</v>
      </c>
      <c r="D123" s="65">
        <v>50</v>
      </c>
      <c r="E123" s="13" t="s">
        <v>37</v>
      </c>
      <c r="F123" s="13" t="s">
        <v>7963</v>
      </c>
      <c r="G123" s="13" t="s">
        <v>7964</v>
      </c>
      <c r="H123" s="2"/>
      <c r="I123" s="2"/>
      <c r="J123" s="2"/>
      <c r="K123" s="2"/>
      <c r="L123" s="2"/>
      <c r="M123" s="2"/>
      <c r="N123" s="2"/>
      <c r="O123" s="2"/>
      <c r="P123" s="2"/>
      <c r="Q123" s="2"/>
      <c r="R123" s="2"/>
      <c r="S123" s="2"/>
      <c r="T123" s="2"/>
      <c r="U123" s="2"/>
      <c r="V123" s="2"/>
      <c r="W123" s="2"/>
      <c r="X123" s="2"/>
      <c r="Y123" s="2"/>
      <c r="Z123" s="2"/>
    </row>
    <row r="124" ht="15" customHeight="1" spans="1:26">
      <c r="A124" s="13" t="s">
        <v>546</v>
      </c>
      <c r="B124" s="13" t="s">
        <v>7965</v>
      </c>
      <c r="C124" s="13" t="s">
        <v>548</v>
      </c>
      <c r="D124" s="14">
        <v>100</v>
      </c>
      <c r="E124" s="13" t="s">
        <v>37</v>
      </c>
      <c r="F124" s="13"/>
      <c r="G124" s="13" t="s">
        <v>7966</v>
      </c>
      <c r="H124" s="2"/>
      <c r="I124" s="2"/>
      <c r="J124" s="2"/>
      <c r="K124" s="2"/>
      <c r="L124" s="2"/>
      <c r="M124" s="2"/>
      <c r="N124" s="2"/>
      <c r="O124" s="2"/>
      <c r="P124" s="2"/>
      <c r="Q124" s="2"/>
      <c r="R124" s="2"/>
      <c r="S124" s="2"/>
      <c r="T124" s="2"/>
      <c r="U124" s="2"/>
      <c r="V124" s="2"/>
      <c r="W124" s="2"/>
      <c r="X124" s="2"/>
      <c r="Y124" s="2"/>
      <c r="Z124" s="2"/>
    </row>
    <row r="125" ht="15" customHeight="1" spans="1:26">
      <c r="A125" s="64" t="s">
        <v>551</v>
      </c>
      <c r="B125" s="13" t="s">
        <v>7967</v>
      </c>
      <c r="C125" s="13" t="s">
        <v>553</v>
      </c>
      <c r="D125" s="65">
        <v>30</v>
      </c>
      <c r="E125" s="13" t="s">
        <v>37</v>
      </c>
      <c r="F125" s="68"/>
      <c r="G125" s="13" t="s">
        <v>7968</v>
      </c>
      <c r="H125" s="2"/>
      <c r="I125" s="2"/>
      <c r="J125" s="2"/>
      <c r="K125" s="2"/>
      <c r="L125" s="2"/>
      <c r="M125" s="2"/>
      <c r="N125" s="2"/>
      <c r="O125" s="2"/>
      <c r="P125" s="2"/>
      <c r="Q125" s="2"/>
      <c r="R125" s="2"/>
      <c r="S125" s="2"/>
      <c r="T125" s="2"/>
      <c r="U125" s="2"/>
      <c r="V125" s="2"/>
      <c r="W125" s="2"/>
      <c r="X125" s="2"/>
      <c r="Y125" s="2"/>
      <c r="Z125" s="2"/>
    </row>
    <row r="126" ht="15" customHeight="1" spans="1:26">
      <c r="A126" s="13" t="s">
        <v>556</v>
      </c>
      <c r="B126" s="13" t="s">
        <v>7969</v>
      </c>
      <c r="C126" s="13" t="s">
        <v>557</v>
      </c>
      <c r="D126" s="14">
        <v>30</v>
      </c>
      <c r="E126" s="13" t="s">
        <v>37</v>
      </c>
      <c r="F126" s="13"/>
      <c r="G126" s="13" t="s">
        <v>7970</v>
      </c>
      <c r="H126" s="2"/>
      <c r="I126" s="2"/>
      <c r="J126" s="2"/>
      <c r="K126" s="2"/>
      <c r="L126" s="2"/>
      <c r="M126" s="2"/>
      <c r="N126" s="2"/>
      <c r="O126" s="2"/>
      <c r="P126" s="2"/>
      <c r="Q126" s="2"/>
      <c r="R126" s="2"/>
      <c r="S126" s="2"/>
      <c r="T126" s="2"/>
      <c r="U126" s="2"/>
      <c r="V126" s="2"/>
      <c r="W126" s="2"/>
      <c r="X126" s="2"/>
      <c r="Y126" s="2"/>
      <c r="Z126" s="2"/>
    </row>
    <row r="127" ht="15" customHeight="1" spans="1:26">
      <c r="A127" s="13" t="s">
        <v>558</v>
      </c>
      <c r="B127" s="13" t="s">
        <v>7971</v>
      </c>
      <c r="C127" s="13" t="s">
        <v>560</v>
      </c>
      <c r="D127" s="14">
        <v>40</v>
      </c>
      <c r="E127" s="13" t="s">
        <v>37</v>
      </c>
      <c r="F127" s="13"/>
      <c r="G127" s="13" t="s">
        <v>7972</v>
      </c>
      <c r="H127" s="2"/>
      <c r="I127" s="2"/>
      <c r="J127" s="2"/>
      <c r="K127" s="2"/>
      <c r="L127" s="2"/>
      <c r="M127" s="2"/>
      <c r="N127" s="2"/>
      <c r="O127" s="2"/>
      <c r="P127" s="2"/>
      <c r="Q127" s="2"/>
      <c r="R127" s="2"/>
      <c r="S127" s="2"/>
      <c r="T127" s="2"/>
      <c r="U127" s="2"/>
      <c r="V127" s="2"/>
      <c r="W127" s="2"/>
      <c r="X127" s="2"/>
      <c r="Y127" s="2"/>
      <c r="Z127" s="2"/>
    </row>
    <row r="128" ht="15" customHeight="1" spans="1:26">
      <c r="A128" s="13" t="s">
        <v>563</v>
      </c>
      <c r="B128" s="13" t="s">
        <v>7973</v>
      </c>
      <c r="C128" s="13" t="s">
        <v>565</v>
      </c>
      <c r="D128" s="14">
        <v>80</v>
      </c>
      <c r="E128" s="13" t="s">
        <v>37</v>
      </c>
      <c r="F128" s="13"/>
      <c r="G128" s="13" t="s">
        <v>7974</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7975</v>
      </c>
      <c r="C129" s="10" t="s">
        <v>570</v>
      </c>
      <c r="D129" s="2"/>
      <c r="E129" s="2"/>
      <c r="F129" s="2"/>
      <c r="G129" s="2" t="s">
        <v>7976</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7977</v>
      </c>
      <c r="C130" s="2" t="s">
        <v>570</v>
      </c>
      <c r="D130" s="2"/>
      <c r="E130" s="2"/>
      <c r="F130" s="2"/>
      <c r="G130" s="2" t="s">
        <v>7978</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2310</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2311</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2312</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2313</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2314</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7979</v>
      </c>
      <c r="C136" s="11" t="s">
        <v>578</v>
      </c>
      <c r="D136" s="2"/>
      <c r="E136" s="2"/>
      <c r="F136" s="2" t="s">
        <v>7980</v>
      </c>
      <c r="G136" s="2" t="s">
        <v>7576</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7981</v>
      </c>
      <c r="C137" s="11" t="s">
        <v>578</v>
      </c>
      <c r="D137" s="2"/>
      <c r="E137" s="2"/>
      <c r="F137" s="2"/>
      <c r="G137" s="2" t="s">
        <v>7982</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7983</v>
      </c>
      <c r="C138" s="11" t="s">
        <v>578</v>
      </c>
      <c r="D138" s="2"/>
      <c r="E138" s="2"/>
      <c r="F138" s="2"/>
      <c r="G138" s="2" t="s">
        <v>7984</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7985</v>
      </c>
      <c r="C139" s="11" t="s">
        <v>578</v>
      </c>
      <c r="D139" s="2"/>
      <c r="E139" s="2"/>
      <c r="F139" s="2"/>
      <c r="G139" s="2" t="s">
        <v>7986</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7987</v>
      </c>
      <c r="C140" s="11" t="s">
        <v>578</v>
      </c>
      <c r="D140" s="2"/>
      <c r="E140" s="2"/>
      <c r="F140" s="2"/>
      <c r="G140" s="2" t="s">
        <v>7988</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2327</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7989</v>
      </c>
      <c r="C145" s="11" t="s">
        <v>612</v>
      </c>
      <c r="D145" s="2"/>
      <c r="E145" s="2"/>
      <c r="F145" s="2"/>
      <c r="G145" s="2" t="s">
        <v>7990</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7991</v>
      </c>
      <c r="C146" s="11" t="s">
        <v>612</v>
      </c>
      <c r="D146" s="2"/>
      <c r="E146" s="2"/>
      <c r="F146" s="2"/>
      <c r="G146" s="2" t="s">
        <v>7992</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2334</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2335</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2336</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2337</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1956</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2338</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2339</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1959</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ht="15" customHeight="1" spans="1:26">
      <c r="A157" s="13" t="s">
        <v>646</v>
      </c>
      <c r="B157" s="13" t="s">
        <v>7993</v>
      </c>
      <c r="C157" s="13" t="s">
        <v>648</v>
      </c>
      <c r="D157" s="14">
        <v>120</v>
      </c>
      <c r="E157" s="13" t="s">
        <v>37</v>
      </c>
      <c r="F157" s="13"/>
      <c r="G157" s="13" t="s">
        <v>7994</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1240</v>
      </c>
      <c r="C158" s="11" t="s">
        <v>653</v>
      </c>
      <c r="D158" s="2"/>
      <c r="E158" s="2"/>
      <c r="F158" s="2"/>
      <c r="G158" s="2" t="s">
        <v>7995</v>
      </c>
      <c r="H158" s="2"/>
      <c r="I158" s="2"/>
      <c r="J158" s="2"/>
      <c r="K158" s="2"/>
      <c r="L158" s="2"/>
      <c r="M158" s="2"/>
      <c r="N158" s="2"/>
      <c r="O158" s="2"/>
      <c r="P158" s="2"/>
      <c r="Q158" s="2"/>
      <c r="R158" s="2"/>
      <c r="S158" s="2"/>
      <c r="T158" s="2"/>
      <c r="U158" s="2"/>
      <c r="V158" s="2"/>
      <c r="W158" s="2"/>
      <c r="X158" s="2"/>
      <c r="Y158" s="2"/>
      <c r="Z158" s="2"/>
    </row>
    <row r="159" ht="13.5" customHeight="1" spans="1:26">
      <c r="A159" s="37" t="s">
        <v>656</v>
      </c>
      <c r="B159" s="2" t="s">
        <v>2342</v>
      </c>
      <c r="C159" s="37" t="s">
        <v>658</v>
      </c>
      <c r="D159" s="38"/>
      <c r="E159" s="39"/>
      <c r="F159" s="9" t="s">
        <v>659</v>
      </c>
      <c r="G159" s="9" t="s">
        <v>7996</v>
      </c>
      <c r="H159" s="40"/>
      <c r="I159" s="39"/>
      <c r="J159" s="39"/>
      <c r="K159" s="39"/>
      <c r="L159" s="39"/>
      <c r="M159" s="39"/>
      <c r="N159" s="39"/>
      <c r="O159" s="39"/>
      <c r="P159" s="39"/>
      <c r="Q159" s="39"/>
      <c r="R159" s="2"/>
      <c r="S159" s="2"/>
      <c r="T159" s="2"/>
      <c r="U159" s="2"/>
      <c r="V159" s="2"/>
      <c r="W159" s="2"/>
      <c r="X159" s="2"/>
      <c r="Y159" s="2"/>
      <c r="Z159" s="2"/>
    </row>
    <row r="160" ht="13.5" customHeight="1" spans="1:26">
      <c r="A160" s="2" t="s">
        <v>661</v>
      </c>
      <c r="B160" s="2" t="s">
        <v>2344</v>
      </c>
      <c r="C160" s="2" t="s">
        <v>658</v>
      </c>
      <c r="D160" s="39"/>
      <c r="E160" s="39"/>
      <c r="F160" s="9" t="str">
        <f>HYPERLINK("https://seeklogo.com/images/M/mastercard-logo-473B8726A9-seeklogo.com.png","https://seeklogo.com/images/M/mastercard-logo-473B8726A9-seeklogo.com.png")</f>
        <v>https://seeklogo.com/images/M/mastercard-logo-473B8726A9-seeklogo.com.png</v>
      </c>
      <c r="G160" s="9" t="s">
        <v>7997</v>
      </c>
      <c r="H160" s="39"/>
      <c r="I160" s="39"/>
      <c r="J160" s="39"/>
      <c r="K160" s="39"/>
      <c r="L160" s="39"/>
      <c r="M160" s="39"/>
      <c r="N160" s="39"/>
      <c r="O160" s="39"/>
      <c r="P160" s="39"/>
      <c r="Q160" s="39"/>
      <c r="R160" s="2"/>
      <c r="S160" s="2"/>
      <c r="T160" s="2"/>
      <c r="U160" s="2"/>
      <c r="V160" s="2"/>
      <c r="W160" s="2"/>
      <c r="X160" s="2"/>
      <c r="Y160" s="2"/>
      <c r="Z160" s="2"/>
    </row>
    <row r="161" ht="13.5" customHeight="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43 B145:B148 B155:B156">
      <formula1>ValidLondonCounterpartyNames</formula1>
    </dataValidation>
  </dataValidations>
  <hyperlinks>
    <hyperlink ref="G83" r:id="rId1" display="http://www.amazon.com"/>
  </hyperlinks>
  <pageMargins left="0.699305555555556" right="0.699305555555556" top="0.75" bottom="0.75" header="0.3" footer="0.3"/>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00"/>
  <sheetViews>
    <sheetView workbookViewId="0">
      <selection activeCell="J111" sqref="J111"/>
    </sheetView>
  </sheetViews>
  <sheetFormatPr defaultColWidth="9" defaultRowHeight="14.8" outlineLevelCol="4"/>
  <cols>
    <col min="1" max="1" width="40.5" customWidth="1"/>
    <col min="2" max="2" width="32.6607142857143" customWidth="1"/>
    <col min="3" max="3" width="21" customWidth="1"/>
    <col min="4" max="4" width="19.6607142857143" customWidth="1"/>
    <col min="5" max="5" width="20.3303571428571" customWidth="1"/>
  </cols>
  <sheetData>
    <row r="1" spans="1:4">
      <c r="A1" t="s">
        <v>7998</v>
      </c>
      <c r="B1" t="s">
        <v>7999</v>
      </c>
      <c r="C1" t="s">
        <v>8000</v>
      </c>
      <c r="D1" t="s">
        <v>8001</v>
      </c>
    </row>
    <row r="2" spans="1:5">
      <c r="A2" t="s">
        <v>8002</v>
      </c>
      <c r="B2" t="s">
        <v>8003</v>
      </c>
      <c r="C2" t="s">
        <v>8004</v>
      </c>
      <c r="D2" s="13"/>
      <c r="E2" s="13" t="s">
        <v>115</v>
      </c>
    </row>
    <row r="3" spans="1:5">
      <c r="A3" t="s">
        <v>8002</v>
      </c>
      <c r="B3" t="s">
        <v>8005</v>
      </c>
      <c r="C3" t="s">
        <v>4499</v>
      </c>
      <c r="D3" s="64"/>
      <c r="E3" s="64" t="s">
        <v>120</v>
      </c>
    </row>
    <row r="4" spans="1:5">
      <c r="A4" t="s">
        <v>8002</v>
      </c>
      <c r="B4" t="s">
        <v>8006</v>
      </c>
      <c r="C4" t="s">
        <v>1709</v>
      </c>
      <c r="D4" s="13"/>
      <c r="E4" s="13" t="s">
        <v>123</v>
      </c>
    </row>
    <row r="5" spans="1:5">
      <c r="A5" t="s">
        <v>8002</v>
      </c>
      <c r="B5" t="s">
        <v>8007</v>
      </c>
      <c r="C5" t="s">
        <v>8008</v>
      </c>
      <c r="D5" s="64"/>
      <c r="E5" s="64" t="s">
        <v>127</v>
      </c>
    </row>
    <row r="6" spans="1:5">
      <c r="A6" t="s">
        <v>8002</v>
      </c>
      <c r="B6" t="s">
        <v>8009</v>
      </c>
      <c r="C6" t="s">
        <v>8009</v>
      </c>
      <c r="D6" s="64"/>
      <c r="E6" s="64" t="s">
        <v>131</v>
      </c>
    </row>
    <row r="7" spans="1:5">
      <c r="A7" t="s">
        <v>8002</v>
      </c>
      <c r="B7" t="s">
        <v>8010</v>
      </c>
      <c r="C7" t="s">
        <v>8011</v>
      </c>
      <c r="D7" s="64"/>
      <c r="E7" s="64" t="s">
        <v>135</v>
      </c>
    </row>
    <row r="8" spans="1:5">
      <c r="A8" t="s">
        <v>8002</v>
      </c>
      <c r="B8" t="s">
        <v>8012</v>
      </c>
      <c r="C8" t="s">
        <v>951</v>
      </c>
      <c r="D8" s="13"/>
      <c r="E8" s="13" t="s">
        <v>115</v>
      </c>
    </row>
    <row r="9" spans="1:5">
      <c r="A9" t="s">
        <v>8002</v>
      </c>
      <c r="B9" t="s">
        <v>8013</v>
      </c>
      <c r="C9" t="s">
        <v>8014</v>
      </c>
      <c r="D9" s="64"/>
      <c r="E9" s="64" t="s">
        <v>120</v>
      </c>
    </row>
    <row r="10" spans="1:5">
      <c r="A10" t="s">
        <v>8002</v>
      </c>
      <c r="B10" t="s">
        <v>8015</v>
      </c>
      <c r="C10" t="s">
        <v>8016</v>
      </c>
      <c r="D10" s="13"/>
      <c r="E10" s="13" t="s">
        <v>123</v>
      </c>
    </row>
    <row r="11" spans="1:5">
      <c r="A11" t="s">
        <v>8002</v>
      </c>
      <c r="B11" t="s">
        <v>8017</v>
      </c>
      <c r="C11" t="s">
        <v>8018</v>
      </c>
      <c r="D11" s="64"/>
      <c r="E11" s="64" t="s">
        <v>127</v>
      </c>
    </row>
    <row r="12" spans="1:5">
      <c r="A12" t="s">
        <v>8002</v>
      </c>
      <c r="B12" t="s">
        <v>8019</v>
      </c>
      <c r="C12" t="s">
        <v>8020</v>
      </c>
      <c r="D12" s="64"/>
      <c r="E12" s="64" t="s">
        <v>131</v>
      </c>
    </row>
    <row r="13" spans="1:5">
      <c r="A13" t="s">
        <v>8002</v>
      </c>
      <c r="B13" t="s">
        <v>8021</v>
      </c>
      <c r="C13" t="s">
        <v>8022</v>
      </c>
      <c r="D13" s="64"/>
      <c r="E13" s="64" t="s">
        <v>135</v>
      </c>
    </row>
    <row r="14" spans="1:5">
      <c r="A14" t="s">
        <v>8002</v>
      </c>
      <c r="B14" t="s">
        <v>8023</v>
      </c>
      <c r="C14" t="s">
        <v>7674</v>
      </c>
      <c r="D14" s="13"/>
      <c r="E14" s="13" t="s">
        <v>115</v>
      </c>
    </row>
    <row r="15" spans="1:5">
      <c r="A15" t="s">
        <v>8002</v>
      </c>
      <c r="B15" t="s">
        <v>8024</v>
      </c>
      <c r="C15" t="s">
        <v>1964</v>
      </c>
      <c r="D15" s="64"/>
      <c r="E15" s="64" t="s">
        <v>120</v>
      </c>
    </row>
    <row r="16" spans="1:5">
      <c r="A16" t="s">
        <v>8002</v>
      </c>
      <c r="B16" t="s">
        <v>8025</v>
      </c>
      <c r="C16" t="s">
        <v>8026</v>
      </c>
      <c r="D16" s="13"/>
      <c r="E16" s="13" t="s">
        <v>123</v>
      </c>
    </row>
    <row r="17" spans="1:5">
      <c r="A17" t="s">
        <v>8002</v>
      </c>
      <c r="B17" t="s">
        <v>8027</v>
      </c>
      <c r="C17" t="s">
        <v>4509</v>
      </c>
      <c r="D17" s="64"/>
      <c r="E17" s="64" t="s">
        <v>127</v>
      </c>
    </row>
    <row r="18" spans="1:5">
      <c r="A18" t="s">
        <v>8002</v>
      </c>
      <c r="B18" t="s">
        <v>8028</v>
      </c>
      <c r="C18" t="s">
        <v>8029</v>
      </c>
      <c r="D18" s="64"/>
      <c r="E18" s="64" t="s">
        <v>131</v>
      </c>
    </row>
    <row r="19" spans="1:5">
      <c r="A19" t="s">
        <v>8002</v>
      </c>
      <c r="B19" t="s">
        <v>8030</v>
      </c>
      <c r="C19" t="s">
        <v>8031</v>
      </c>
      <c r="D19" s="64"/>
      <c r="E19" s="64" t="s">
        <v>135</v>
      </c>
    </row>
    <row r="20" spans="1:5">
      <c r="A20" t="s">
        <v>8002</v>
      </c>
      <c r="B20" t="s">
        <v>8032</v>
      </c>
      <c r="C20" t="s">
        <v>1706</v>
      </c>
      <c r="D20" s="13"/>
      <c r="E20" s="13" t="s">
        <v>115</v>
      </c>
    </row>
    <row r="21" spans="1:5">
      <c r="A21" t="s">
        <v>8002</v>
      </c>
      <c r="B21" t="s">
        <v>8033</v>
      </c>
      <c r="C21" t="s">
        <v>8034</v>
      </c>
      <c r="D21" s="64"/>
      <c r="E21" s="64" t="s">
        <v>120</v>
      </c>
    </row>
    <row r="22" spans="1:5">
      <c r="A22" t="s">
        <v>8002</v>
      </c>
      <c r="B22" t="s">
        <v>8035</v>
      </c>
      <c r="C22" t="s">
        <v>3797</v>
      </c>
      <c r="D22" s="13"/>
      <c r="E22" s="13" t="s">
        <v>123</v>
      </c>
    </row>
    <row r="23" spans="1:5">
      <c r="A23" t="s">
        <v>8002</v>
      </c>
      <c r="B23" t="s">
        <v>8036</v>
      </c>
      <c r="C23" t="s">
        <v>8037</v>
      </c>
      <c r="D23" s="64"/>
      <c r="E23" s="64" t="s">
        <v>127</v>
      </c>
    </row>
    <row r="24" spans="1:5">
      <c r="A24" t="s">
        <v>8038</v>
      </c>
      <c r="B24" t="s">
        <v>8039</v>
      </c>
      <c r="C24" t="s">
        <v>8039</v>
      </c>
      <c r="D24" s="64"/>
      <c r="E24" s="64" t="s">
        <v>330</v>
      </c>
    </row>
    <row r="25" spans="1:5">
      <c r="A25" t="s">
        <v>8040</v>
      </c>
      <c r="B25" t="s">
        <v>8041</v>
      </c>
      <c r="C25" t="s">
        <v>1985</v>
      </c>
      <c r="D25" s="13"/>
      <c r="E25" s="13" t="s">
        <v>399</v>
      </c>
    </row>
    <row r="26" spans="1:5">
      <c r="A26" t="s">
        <v>8042</v>
      </c>
      <c r="B26" t="s">
        <v>8043</v>
      </c>
      <c r="C26" t="s">
        <v>8044</v>
      </c>
      <c r="D26" t="s">
        <v>8045</v>
      </c>
      <c r="E26" s="64" t="s">
        <v>234</v>
      </c>
    </row>
    <row r="27" spans="1:5">
      <c r="A27" t="s">
        <v>8038</v>
      </c>
      <c r="B27" t="s">
        <v>8046</v>
      </c>
      <c r="C27" t="s">
        <v>872</v>
      </c>
      <c r="E27" s="64" t="s">
        <v>334</v>
      </c>
    </row>
    <row r="28" spans="1:5">
      <c r="A28" t="s">
        <v>8047</v>
      </c>
      <c r="B28" t="s">
        <v>8048</v>
      </c>
      <c r="C28" t="s">
        <v>682</v>
      </c>
      <c r="E28" s="76" t="s">
        <v>426</v>
      </c>
    </row>
    <row r="29" spans="1:5">
      <c r="A29" t="s">
        <v>8038</v>
      </c>
      <c r="B29" t="s">
        <v>8049</v>
      </c>
      <c r="C29" t="s">
        <v>8050</v>
      </c>
      <c r="E29" s="64" t="s">
        <v>338</v>
      </c>
    </row>
    <row r="30" spans="1:5">
      <c r="A30" t="s">
        <v>8051</v>
      </c>
      <c r="B30" t="s">
        <v>8052</v>
      </c>
      <c r="C30" t="s">
        <v>8052</v>
      </c>
      <c r="E30" s="64" t="s">
        <v>522</v>
      </c>
    </row>
    <row r="31" spans="1:5">
      <c r="A31" t="s">
        <v>8038</v>
      </c>
      <c r="B31" t="s">
        <v>8053</v>
      </c>
      <c r="C31" t="s">
        <v>8054</v>
      </c>
      <c r="E31" s="64" t="s">
        <v>342</v>
      </c>
    </row>
    <row r="32" spans="1:5">
      <c r="A32" t="s">
        <v>8038</v>
      </c>
      <c r="B32" t="s">
        <v>8055</v>
      </c>
      <c r="C32" t="s">
        <v>8056</v>
      </c>
      <c r="E32" s="64" t="s">
        <v>346</v>
      </c>
    </row>
    <row r="33" spans="1:5">
      <c r="A33" t="s">
        <v>8057</v>
      </c>
      <c r="B33" t="s">
        <v>8058</v>
      </c>
      <c r="C33" t="s">
        <v>8059</v>
      </c>
      <c r="E33" s="13" t="s">
        <v>448</v>
      </c>
    </row>
    <row r="34" spans="1:5">
      <c r="A34" t="s">
        <v>8040</v>
      </c>
      <c r="B34" t="s">
        <v>8060</v>
      </c>
      <c r="C34" t="s">
        <v>8061</v>
      </c>
      <c r="E34" s="13" t="s">
        <v>403</v>
      </c>
    </row>
    <row r="35" spans="1:5">
      <c r="A35" t="s">
        <v>8062</v>
      </c>
      <c r="B35" t="s">
        <v>8063</v>
      </c>
      <c r="C35" t="s">
        <v>8064</v>
      </c>
      <c r="E35" s="13" t="s">
        <v>508</v>
      </c>
    </row>
    <row r="36" spans="1:5">
      <c r="A36" t="s">
        <v>8062</v>
      </c>
      <c r="B36" t="s">
        <v>8065</v>
      </c>
      <c r="C36" t="s">
        <v>8065</v>
      </c>
      <c r="E36" s="13" t="s">
        <v>174</v>
      </c>
    </row>
    <row r="37" spans="1:5">
      <c r="A37" t="s">
        <v>8062</v>
      </c>
      <c r="B37" t="s">
        <v>8066</v>
      </c>
      <c r="C37" t="s">
        <v>8067</v>
      </c>
      <c r="E37" s="13" t="s">
        <v>518</v>
      </c>
    </row>
    <row r="38" spans="1:5">
      <c r="A38" t="s">
        <v>8062</v>
      </c>
      <c r="B38" t="s">
        <v>8068</v>
      </c>
      <c r="C38" t="s">
        <v>4243</v>
      </c>
      <c r="E38" s="13" t="s">
        <v>520</v>
      </c>
    </row>
    <row r="39" spans="1:5">
      <c r="A39" t="s">
        <v>8062</v>
      </c>
      <c r="B39" t="s">
        <v>8069</v>
      </c>
      <c r="C39" t="s">
        <v>4422</v>
      </c>
      <c r="E39" s="13" t="s">
        <v>508</v>
      </c>
    </row>
    <row r="40" spans="1:5">
      <c r="A40" t="s">
        <v>8062</v>
      </c>
      <c r="B40" t="s">
        <v>8070</v>
      </c>
      <c r="C40" t="s">
        <v>8070</v>
      </c>
      <c r="E40" s="13" t="s">
        <v>513</v>
      </c>
    </row>
    <row r="41" spans="1:5">
      <c r="A41" t="s">
        <v>8062</v>
      </c>
      <c r="B41" t="s">
        <v>8071</v>
      </c>
      <c r="C41" t="s">
        <v>8071</v>
      </c>
      <c r="E41" s="64" t="s">
        <v>169</v>
      </c>
    </row>
    <row r="42" spans="1:5">
      <c r="A42" t="s">
        <v>8062</v>
      </c>
      <c r="B42" t="s">
        <v>8072</v>
      </c>
      <c r="C42" t="s">
        <v>8073</v>
      </c>
      <c r="E42" s="64" t="s">
        <v>174</v>
      </c>
    </row>
    <row r="43" spans="1:5">
      <c r="A43" t="s">
        <v>8074</v>
      </c>
      <c r="B43" t="s">
        <v>8075</v>
      </c>
      <c r="C43" t="s">
        <v>8075</v>
      </c>
      <c r="E43" s="64" t="s">
        <v>154</v>
      </c>
    </row>
    <row r="44" spans="1:5">
      <c r="A44" t="s">
        <v>8074</v>
      </c>
      <c r="B44" t="s">
        <v>8076</v>
      </c>
      <c r="C44" t="s">
        <v>8077</v>
      </c>
      <c r="E44" s="64" t="s">
        <v>154</v>
      </c>
    </row>
    <row r="45" spans="1:5">
      <c r="A45" t="s">
        <v>8074</v>
      </c>
      <c r="B45" t="s">
        <v>8078</v>
      </c>
      <c r="C45" t="s">
        <v>8079</v>
      </c>
      <c r="E45" s="64" t="s">
        <v>154</v>
      </c>
    </row>
    <row r="46" spans="1:5">
      <c r="A46" t="s">
        <v>8074</v>
      </c>
      <c r="B46" t="s">
        <v>8080</v>
      </c>
      <c r="C46" t="s">
        <v>8081</v>
      </c>
      <c r="E46" s="64" t="s">
        <v>154</v>
      </c>
    </row>
    <row r="47" spans="1:5">
      <c r="A47" t="s">
        <v>8074</v>
      </c>
      <c r="B47" t="s">
        <v>8082</v>
      </c>
      <c r="C47" t="s">
        <v>8082</v>
      </c>
      <c r="E47" s="64" t="s">
        <v>154</v>
      </c>
    </row>
    <row r="48" spans="1:5">
      <c r="A48" t="s">
        <v>8074</v>
      </c>
      <c r="B48" t="s">
        <v>8083</v>
      </c>
      <c r="C48" t="s">
        <v>8083</v>
      </c>
      <c r="E48" s="64" t="s">
        <v>154</v>
      </c>
    </row>
    <row r="49" spans="1:5">
      <c r="A49" t="s">
        <v>8074</v>
      </c>
      <c r="B49" t="s">
        <v>8084</v>
      </c>
      <c r="C49" t="s">
        <v>8084</v>
      </c>
      <c r="E49" s="64" t="s">
        <v>154</v>
      </c>
    </row>
    <row r="50" spans="1:5">
      <c r="A50" t="s">
        <v>8042</v>
      </c>
      <c r="B50" t="s">
        <v>8085</v>
      </c>
      <c r="C50" t="s">
        <v>8086</v>
      </c>
      <c r="E50" s="64" t="s">
        <v>234</v>
      </c>
    </row>
    <row r="51" spans="1:5">
      <c r="A51" t="s">
        <v>8042</v>
      </c>
      <c r="B51" t="s">
        <v>8087</v>
      </c>
      <c r="C51" t="s">
        <v>8088</v>
      </c>
      <c r="E51" s="13" t="s">
        <v>239</v>
      </c>
    </row>
    <row r="52" spans="1:5">
      <c r="A52" t="s">
        <v>8042</v>
      </c>
      <c r="B52" t="s">
        <v>8089</v>
      </c>
      <c r="C52" t="s">
        <v>8090</v>
      </c>
      <c r="E52" s="13" t="s">
        <v>243</v>
      </c>
    </row>
    <row r="53" spans="1:5">
      <c r="A53" t="s">
        <v>8042</v>
      </c>
      <c r="B53" t="s">
        <v>8091</v>
      </c>
      <c r="C53" t="s">
        <v>8092</v>
      </c>
      <c r="E53" s="13" t="s">
        <v>281</v>
      </c>
    </row>
    <row r="54" spans="1:5">
      <c r="A54" t="s">
        <v>8042</v>
      </c>
      <c r="B54" t="s">
        <v>8093</v>
      </c>
      <c r="C54" t="s">
        <v>8094</v>
      </c>
      <c r="E54" s="64" t="s">
        <v>252</v>
      </c>
    </row>
    <row r="55" spans="1:5">
      <c r="A55" t="s">
        <v>8042</v>
      </c>
      <c r="B55" t="s">
        <v>8095</v>
      </c>
      <c r="C55" t="s">
        <v>8096</v>
      </c>
      <c r="E55" s="64" t="s">
        <v>256</v>
      </c>
    </row>
    <row r="56" spans="1:5">
      <c r="A56" t="s">
        <v>8042</v>
      </c>
      <c r="B56" t="s">
        <v>8097</v>
      </c>
      <c r="C56" t="s">
        <v>261</v>
      </c>
      <c r="E56" s="64" t="s">
        <v>260</v>
      </c>
    </row>
    <row r="57" spans="1:5">
      <c r="A57" t="s">
        <v>8042</v>
      </c>
      <c r="B57" t="s">
        <v>8098</v>
      </c>
      <c r="C57" t="s">
        <v>8099</v>
      </c>
      <c r="E57" s="64" t="s">
        <v>265</v>
      </c>
    </row>
    <row r="58" spans="1:5">
      <c r="A58" t="s">
        <v>8042</v>
      </c>
      <c r="B58" t="s">
        <v>8100</v>
      </c>
      <c r="C58" t="s">
        <v>8101</v>
      </c>
      <c r="E58" s="64" t="s">
        <v>269</v>
      </c>
    </row>
    <row r="59" spans="1:5">
      <c r="A59" t="s">
        <v>8042</v>
      </c>
      <c r="B59" t="s">
        <v>8102</v>
      </c>
      <c r="C59" t="s">
        <v>8103</v>
      </c>
      <c r="E59" s="64" t="s">
        <v>273</v>
      </c>
    </row>
    <row r="60" spans="1:5">
      <c r="A60" t="s">
        <v>8042</v>
      </c>
      <c r="B60" t="s">
        <v>8104</v>
      </c>
      <c r="C60" t="s">
        <v>8105</v>
      </c>
      <c r="E60" s="64" t="s">
        <v>277</v>
      </c>
    </row>
    <row r="61" spans="1:5">
      <c r="A61" t="s">
        <v>8051</v>
      </c>
      <c r="B61" t="s">
        <v>8106</v>
      </c>
      <c r="C61" t="s">
        <v>8107</v>
      </c>
      <c r="E61" s="64" t="s">
        <v>59</v>
      </c>
    </row>
    <row r="62" spans="1:5">
      <c r="A62" t="s">
        <v>8051</v>
      </c>
      <c r="B62" t="s">
        <v>8108</v>
      </c>
      <c r="C62" t="s">
        <v>8109</v>
      </c>
      <c r="E62" s="64" t="s">
        <v>59</v>
      </c>
    </row>
    <row r="63" spans="1:5">
      <c r="A63" t="s">
        <v>8051</v>
      </c>
      <c r="B63" t="s">
        <v>8110</v>
      </c>
      <c r="C63" t="s">
        <v>8111</v>
      </c>
      <c r="E63" s="64" t="s">
        <v>59</v>
      </c>
    </row>
    <row r="64" spans="1:5">
      <c r="A64" t="s">
        <v>8042</v>
      </c>
      <c r="B64" t="s">
        <v>8112</v>
      </c>
      <c r="C64" t="s">
        <v>3593</v>
      </c>
      <c r="E64" s="76" t="s">
        <v>248</v>
      </c>
    </row>
    <row r="65" spans="1:5">
      <c r="A65" t="s">
        <v>8113</v>
      </c>
      <c r="B65" t="s">
        <v>8114</v>
      </c>
      <c r="C65" t="s">
        <v>7001</v>
      </c>
      <c r="E65" s="64" t="s">
        <v>94</v>
      </c>
    </row>
    <row r="66" spans="1:5">
      <c r="A66" t="s">
        <v>8113</v>
      </c>
      <c r="B66" t="s">
        <v>8115</v>
      </c>
      <c r="C66" t="s">
        <v>8116</v>
      </c>
      <c r="E66" s="64" t="s">
        <v>99</v>
      </c>
    </row>
    <row r="67" spans="1:5">
      <c r="A67" t="s">
        <v>8113</v>
      </c>
      <c r="B67" t="s">
        <v>8117</v>
      </c>
      <c r="C67" t="s">
        <v>6251</v>
      </c>
      <c r="E67" s="64" t="s">
        <v>94</v>
      </c>
    </row>
    <row r="68" spans="1:5">
      <c r="A68" t="s">
        <v>8113</v>
      </c>
      <c r="B68" t="s">
        <v>8118</v>
      </c>
      <c r="C68" t="s">
        <v>3507</v>
      </c>
      <c r="E68" s="64" t="s">
        <v>99</v>
      </c>
    </row>
    <row r="69" spans="1:5">
      <c r="A69" t="s">
        <v>8113</v>
      </c>
      <c r="B69" t="s">
        <v>8119</v>
      </c>
      <c r="C69" t="s">
        <v>8120</v>
      </c>
      <c r="E69" s="64" t="s">
        <v>94</v>
      </c>
    </row>
    <row r="70" spans="1:5">
      <c r="A70" t="s">
        <v>8113</v>
      </c>
      <c r="B70" t="s">
        <v>8121</v>
      </c>
      <c r="C70" t="s">
        <v>8122</v>
      </c>
      <c r="E70" s="64" t="s">
        <v>99</v>
      </c>
    </row>
    <row r="71" spans="1:5">
      <c r="A71" t="s">
        <v>8113</v>
      </c>
      <c r="B71" t="s">
        <v>8123</v>
      </c>
      <c r="C71" t="s">
        <v>6248</v>
      </c>
      <c r="E71" s="64" t="s">
        <v>94</v>
      </c>
    </row>
    <row r="72" spans="1:5">
      <c r="A72" t="s">
        <v>8124</v>
      </c>
      <c r="B72" t="s">
        <v>8125</v>
      </c>
      <c r="C72" t="s">
        <v>8126</v>
      </c>
      <c r="E72" s="64" t="s">
        <v>29</v>
      </c>
    </row>
    <row r="73" spans="1:5">
      <c r="A73" t="s">
        <v>8124</v>
      </c>
      <c r="B73" t="s">
        <v>8127</v>
      </c>
      <c r="C73" t="s">
        <v>8128</v>
      </c>
      <c r="E73" s="64" t="s">
        <v>35</v>
      </c>
    </row>
    <row r="74" spans="1:5">
      <c r="A74" t="s">
        <v>8124</v>
      </c>
      <c r="B74" t="s">
        <v>8129</v>
      </c>
      <c r="C74" t="s">
        <v>8130</v>
      </c>
      <c r="E74" s="64" t="s">
        <v>29</v>
      </c>
    </row>
    <row r="75" spans="1:5">
      <c r="A75" t="s">
        <v>8042</v>
      </c>
      <c r="B75" t="s">
        <v>8131</v>
      </c>
      <c r="C75" t="s">
        <v>8132</v>
      </c>
      <c r="E75" s="64" t="s">
        <v>256</v>
      </c>
    </row>
    <row r="76" spans="1:5">
      <c r="A76" t="s">
        <v>8124</v>
      </c>
      <c r="B76" t="s">
        <v>8133</v>
      </c>
      <c r="C76" t="s">
        <v>8134</v>
      </c>
      <c r="E76" s="64" t="s">
        <v>29</v>
      </c>
    </row>
    <row r="77" spans="1:5">
      <c r="A77" t="s">
        <v>8124</v>
      </c>
      <c r="B77" t="s">
        <v>8135</v>
      </c>
      <c r="C77" t="s">
        <v>8136</v>
      </c>
      <c r="E77" s="77" t="s">
        <v>35</v>
      </c>
    </row>
    <row r="78" spans="1:5">
      <c r="A78" t="s">
        <v>8047</v>
      </c>
      <c r="B78" t="s">
        <v>3669</v>
      </c>
      <c r="C78" t="s">
        <v>3669</v>
      </c>
      <c r="E78" s="13" t="s">
        <v>431</v>
      </c>
    </row>
    <row r="79" spans="1:5">
      <c r="A79" t="s">
        <v>8137</v>
      </c>
      <c r="B79" t="s">
        <v>8138</v>
      </c>
      <c r="C79" t="s">
        <v>2097</v>
      </c>
      <c r="E79" s="64" t="s">
        <v>64</v>
      </c>
    </row>
    <row r="80" spans="1:5">
      <c r="A80" t="s">
        <v>8042</v>
      </c>
      <c r="B80" t="s">
        <v>8139</v>
      </c>
      <c r="C80" t="s">
        <v>8140</v>
      </c>
      <c r="E80" s="64" t="s">
        <v>273</v>
      </c>
    </row>
    <row r="81" spans="1:5">
      <c r="A81" t="s">
        <v>8141</v>
      </c>
      <c r="B81" t="s">
        <v>8142</v>
      </c>
      <c r="C81" t="s">
        <v>8143</v>
      </c>
      <c r="E81" s="64" t="s">
        <v>503</v>
      </c>
    </row>
    <row r="82" spans="1:5">
      <c r="A82" t="s">
        <v>8144</v>
      </c>
      <c r="B82" t="s">
        <v>8145</v>
      </c>
      <c r="C82" t="s">
        <v>1981</v>
      </c>
      <c r="E82" s="13" t="s">
        <v>488</v>
      </c>
    </row>
    <row r="83" spans="1:5">
      <c r="A83" t="s">
        <v>8038</v>
      </c>
      <c r="B83" t="s">
        <v>8146</v>
      </c>
      <c r="C83" t="s">
        <v>347</v>
      </c>
      <c r="E83" s="64" t="s">
        <v>330</v>
      </c>
    </row>
    <row r="84" spans="1:5">
      <c r="A84" t="s">
        <v>8147</v>
      </c>
      <c r="B84" t="s">
        <v>8148</v>
      </c>
      <c r="C84" t="s">
        <v>8149</v>
      </c>
      <c r="E84" s="64" t="s">
        <v>131</v>
      </c>
    </row>
    <row r="85" spans="1:5">
      <c r="A85" t="s">
        <v>8147</v>
      </c>
      <c r="B85" t="s">
        <v>8150</v>
      </c>
      <c r="C85" t="s">
        <v>8151</v>
      </c>
      <c r="E85" s="64" t="s">
        <v>135</v>
      </c>
    </row>
    <row r="86" spans="1:5">
      <c r="A86" t="s">
        <v>8124</v>
      </c>
      <c r="B86" t="s">
        <v>8152</v>
      </c>
      <c r="C86" t="s">
        <v>8153</v>
      </c>
      <c r="E86" s="64" t="s">
        <v>29</v>
      </c>
    </row>
    <row r="87" spans="1:5">
      <c r="A87" t="s">
        <v>8002</v>
      </c>
      <c r="B87" t="s">
        <v>8154</v>
      </c>
      <c r="C87" t="s">
        <v>8155</v>
      </c>
      <c r="E87" s="64" t="s">
        <v>8156</v>
      </c>
    </row>
    <row r="88" spans="1:5">
      <c r="A88" t="s">
        <v>8124</v>
      </c>
      <c r="B88" t="s">
        <v>8157</v>
      </c>
      <c r="C88" t="s">
        <v>8158</v>
      </c>
      <c r="E88" s="64" t="s">
        <v>29</v>
      </c>
    </row>
    <row r="89" spans="1:5">
      <c r="A89" t="s">
        <v>8124</v>
      </c>
      <c r="B89" t="s">
        <v>8159</v>
      </c>
      <c r="C89" t="s">
        <v>8160</v>
      </c>
      <c r="E89" s="64" t="s">
        <v>35</v>
      </c>
    </row>
    <row r="90" spans="1:5">
      <c r="A90" t="s">
        <v>8124</v>
      </c>
      <c r="B90" t="s">
        <v>8161</v>
      </c>
      <c r="C90" t="s">
        <v>8162</v>
      </c>
      <c r="E90" s="64" t="s">
        <v>29</v>
      </c>
    </row>
    <row r="91" spans="1:5">
      <c r="A91" t="s">
        <v>8124</v>
      </c>
      <c r="B91" t="s">
        <v>8152</v>
      </c>
      <c r="C91" t="s">
        <v>8153</v>
      </c>
      <c r="E91" s="64" t="s">
        <v>35</v>
      </c>
    </row>
    <row r="92" spans="1:5">
      <c r="A92" t="s">
        <v>8163</v>
      </c>
      <c r="B92" t="s">
        <v>8164</v>
      </c>
      <c r="C92" t="s">
        <v>1057</v>
      </c>
      <c r="E92" s="64" t="s">
        <v>321</v>
      </c>
    </row>
    <row r="93" spans="1:5">
      <c r="A93" t="s">
        <v>8163</v>
      </c>
      <c r="B93" t="s">
        <v>8165</v>
      </c>
      <c r="C93" t="s">
        <v>8166</v>
      </c>
      <c r="E93" s="64" t="s">
        <v>321</v>
      </c>
    </row>
    <row r="94" spans="1:5">
      <c r="A94" t="s">
        <v>8167</v>
      </c>
      <c r="B94" t="s">
        <v>8168</v>
      </c>
      <c r="C94" t="s">
        <v>8169</v>
      </c>
      <c r="E94" s="13" t="s">
        <v>222</v>
      </c>
    </row>
    <row r="95" spans="1:5">
      <c r="A95" t="s">
        <v>8167</v>
      </c>
      <c r="B95" t="s">
        <v>8170</v>
      </c>
      <c r="C95" t="s">
        <v>8171</v>
      </c>
      <c r="E95" s="13" t="s">
        <v>227</v>
      </c>
    </row>
    <row r="96" spans="1:5">
      <c r="A96" t="s">
        <v>8167</v>
      </c>
      <c r="B96" t="s">
        <v>8172</v>
      </c>
      <c r="C96" t="s">
        <v>2051</v>
      </c>
      <c r="E96" s="13" t="s">
        <v>231</v>
      </c>
    </row>
    <row r="97" spans="1:5">
      <c r="A97" t="s">
        <v>8167</v>
      </c>
      <c r="B97" t="s">
        <v>8173</v>
      </c>
      <c r="C97" t="s">
        <v>8174</v>
      </c>
      <c r="E97" s="78" t="s">
        <v>222</v>
      </c>
    </row>
    <row r="98" spans="1:5">
      <c r="A98" t="s">
        <v>8175</v>
      </c>
      <c r="B98" t="s">
        <v>8176</v>
      </c>
      <c r="C98" t="s">
        <v>8177</v>
      </c>
      <c r="E98" s="13" t="s">
        <v>532</v>
      </c>
    </row>
    <row r="99" spans="1:5">
      <c r="A99" t="s">
        <v>8175</v>
      </c>
      <c r="B99" t="s">
        <v>8178</v>
      </c>
      <c r="C99" t="s">
        <v>8179</v>
      </c>
      <c r="E99" s="13" t="s">
        <v>646</v>
      </c>
    </row>
    <row r="100" spans="1:5">
      <c r="A100" t="s">
        <v>8175</v>
      </c>
      <c r="B100" t="s">
        <v>8180</v>
      </c>
      <c r="C100" t="s">
        <v>8181</v>
      </c>
      <c r="E100" s="13" t="s">
        <v>646</v>
      </c>
    </row>
  </sheetData>
  <pageMargins left="0.699305555555556" right="0.699305555555556"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1000"/>
  <sheetViews>
    <sheetView workbookViewId="0">
      <selection activeCell="A4" sqref="A4"/>
    </sheetView>
  </sheetViews>
  <sheetFormatPr defaultColWidth="12.6607142857143" defaultRowHeight="14.8"/>
  <cols>
    <col min="1" max="1" width="29.1607142857143" customWidth="1"/>
    <col min="2" max="2" width="27.6607142857143" customWidth="1"/>
    <col min="3" max="3" width="19.8303571428571" customWidth="1"/>
    <col min="4" max="4" width="20.6607142857143" customWidth="1"/>
    <col min="5" max="5" width="25.1607142857143" customWidth="1"/>
    <col min="6" max="6" width="74.6607142857143" customWidth="1"/>
    <col min="7" max="7" width="35.1607142857143" customWidth="1"/>
    <col min="8" max="17" width="8.66071428571429" customWidth="1"/>
    <col min="18" max="26" width="11.1607142857143" customWidth="1"/>
  </cols>
  <sheetData>
    <row r="1" ht="15" customHeight="1" spans="1:26">
      <c r="A1" s="56" t="s">
        <v>0</v>
      </c>
      <c r="B1" s="57"/>
      <c r="C1" s="57"/>
      <c r="D1" s="57"/>
      <c r="E1" s="57"/>
      <c r="F1" s="57"/>
      <c r="G1" s="57"/>
      <c r="H1" s="2"/>
      <c r="I1" s="2"/>
      <c r="J1" s="2"/>
      <c r="K1" s="2"/>
      <c r="L1" s="2"/>
      <c r="M1" s="2"/>
      <c r="N1" s="2"/>
      <c r="O1" s="2"/>
      <c r="P1" s="2"/>
      <c r="Q1" s="2"/>
      <c r="R1" s="2"/>
      <c r="S1" s="2"/>
      <c r="T1" s="2"/>
      <c r="U1" s="2"/>
      <c r="V1" s="2"/>
      <c r="W1" s="2"/>
      <c r="X1" s="2"/>
      <c r="Y1" s="2"/>
      <c r="Z1" s="2"/>
    </row>
    <row r="2" ht="15" customHeight="1" spans="1:26">
      <c r="A2" s="58" t="s">
        <v>8182</v>
      </c>
      <c r="B2" s="49"/>
      <c r="C2" s="49"/>
      <c r="D2" s="59" t="s">
        <v>2</v>
      </c>
      <c r="E2" s="49"/>
      <c r="F2" s="49"/>
      <c r="G2" s="49"/>
      <c r="H2" s="2"/>
      <c r="I2" s="2"/>
      <c r="J2" s="2"/>
      <c r="K2" s="2"/>
      <c r="L2" s="2"/>
      <c r="M2" s="2"/>
      <c r="N2" s="2"/>
      <c r="O2" s="2"/>
      <c r="P2" s="2"/>
      <c r="Q2" s="2"/>
      <c r="R2" s="2"/>
      <c r="S2" s="2"/>
      <c r="T2" s="2"/>
      <c r="U2" s="2"/>
      <c r="V2" s="2"/>
      <c r="W2" s="2"/>
      <c r="X2" s="2"/>
      <c r="Y2" s="2"/>
      <c r="Z2" s="2"/>
    </row>
    <row r="3" ht="15" customHeight="1" spans="1:26">
      <c r="A3" s="60" t="s">
        <v>3</v>
      </c>
      <c r="B3" s="61" t="s">
        <v>4</v>
      </c>
      <c r="C3" s="61" t="s">
        <v>5</v>
      </c>
      <c r="D3" s="61" t="s">
        <v>6</v>
      </c>
      <c r="E3" s="61" t="s">
        <v>7</v>
      </c>
      <c r="F3" s="61" t="s">
        <v>8</v>
      </c>
      <c r="G3" s="61" t="s">
        <v>9</v>
      </c>
      <c r="H3" s="2"/>
      <c r="I3" s="2"/>
      <c r="J3" s="2"/>
      <c r="K3" s="2"/>
      <c r="L3" s="2"/>
      <c r="M3" s="2"/>
      <c r="N3" s="2"/>
      <c r="O3" s="2"/>
      <c r="P3" s="2"/>
      <c r="Q3" s="2"/>
      <c r="R3" s="2"/>
      <c r="S3" s="2"/>
      <c r="T3" s="2"/>
      <c r="U3" s="2"/>
      <c r="V3" s="2"/>
      <c r="W3" s="2"/>
      <c r="X3" s="2"/>
      <c r="Y3" s="2"/>
      <c r="Z3" s="2"/>
    </row>
    <row r="4" ht="15" customHeight="1" spans="1:26">
      <c r="A4" s="52" t="s">
        <v>10</v>
      </c>
      <c r="B4" s="62" t="s">
        <v>8182</v>
      </c>
      <c r="C4" s="13" t="s">
        <v>12</v>
      </c>
      <c r="D4" s="57"/>
      <c r="E4" s="57"/>
      <c r="F4" s="13"/>
      <c r="G4" s="13" t="s">
        <v>8183</v>
      </c>
      <c r="H4" s="2"/>
      <c r="I4" s="2"/>
      <c r="J4" s="2"/>
      <c r="K4" s="2"/>
      <c r="L4" s="2"/>
      <c r="M4" s="2"/>
      <c r="N4" s="2"/>
      <c r="O4" s="2"/>
      <c r="P4" s="2"/>
      <c r="Q4" s="2"/>
      <c r="R4" s="2"/>
      <c r="S4" s="2"/>
      <c r="T4" s="2"/>
      <c r="U4" s="2"/>
      <c r="V4" s="2"/>
      <c r="W4" s="2"/>
      <c r="X4" s="2"/>
      <c r="Y4" s="2"/>
      <c r="Z4" s="2"/>
    </row>
    <row r="5" ht="15" customHeight="1" spans="1:26">
      <c r="A5" s="63" t="s">
        <v>15</v>
      </c>
      <c r="B5" s="13" t="s">
        <v>8184</v>
      </c>
      <c r="C5" s="13" t="s">
        <v>12</v>
      </c>
      <c r="D5" s="57"/>
      <c r="E5" s="57"/>
      <c r="F5" s="13" t="s">
        <v>8185</v>
      </c>
      <c r="G5" s="13" t="s">
        <v>8186</v>
      </c>
      <c r="H5" s="2"/>
      <c r="I5" s="2"/>
      <c r="J5" s="2"/>
      <c r="K5" s="2"/>
      <c r="L5" s="2"/>
      <c r="M5" s="2"/>
      <c r="N5" s="2"/>
      <c r="O5" s="2"/>
      <c r="P5" s="2"/>
      <c r="Q5" s="2"/>
      <c r="R5" s="2"/>
      <c r="S5" s="2"/>
      <c r="T5" s="2"/>
      <c r="U5" s="2"/>
      <c r="V5" s="2"/>
      <c r="W5" s="2"/>
      <c r="X5" s="2"/>
      <c r="Y5" s="2"/>
      <c r="Z5" s="2"/>
    </row>
    <row r="6" ht="15" customHeight="1" spans="1:26">
      <c r="A6" s="13" t="s">
        <v>18</v>
      </c>
      <c r="B6" s="13" t="s">
        <v>8187</v>
      </c>
      <c r="C6" s="13" t="s">
        <v>20</v>
      </c>
      <c r="D6" s="14">
        <v>340</v>
      </c>
      <c r="E6" s="13" t="s">
        <v>21</v>
      </c>
      <c r="F6" s="13" t="s">
        <v>8188</v>
      </c>
      <c r="G6" s="13" t="s">
        <v>8189</v>
      </c>
      <c r="H6" s="2"/>
      <c r="I6" s="2"/>
      <c r="J6" s="2"/>
      <c r="K6" s="2"/>
      <c r="L6" s="2"/>
      <c r="M6" s="2"/>
      <c r="N6" s="2"/>
      <c r="O6" s="2"/>
      <c r="P6" s="2"/>
      <c r="Q6" s="2"/>
      <c r="R6" s="2"/>
      <c r="S6" s="2"/>
      <c r="T6" s="2"/>
      <c r="U6" s="2"/>
      <c r="V6" s="2"/>
      <c r="W6" s="2"/>
      <c r="X6" s="2"/>
      <c r="Y6" s="2"/>
      <c r="Z6" s="2"/>
    </row>
    <row r="7" ht="15" customHeight="1" spans="1:26">
      <c r="A7" s="13" t="s">
        <v>24</v>
      </c>
      <c r="B7" s="13" t="s">
        <v>8190</v>
      </c>
      <c r="C7" s="13" t="s">
        <v>1654</v>
      </c>
      <c r="D7" s="14">
        <v>85</v>
      </c>
      <c r="E7" s="13" t="s">
        <v>21</v>
      </c>
      <c r="F7" s="13" t="s">
        <v>8191</v>
      </c>
      <c r="G7" s="13" t="s">
        <v>8192</v>
      </c>
      <c r="H7" s="2"/>
      <c r="I7" s="2"/>
      <c r="J7" s="2"/>
      <c r="K7" s="2"/>
      <c r="L7" s="2"/>
      <c r="M7" s="2"/>
      <c r="N7" s="2"/>
      <c r="O7" s="2"/>
      <c r="P7" s="2"/>
      <c r="Q7" s="2"/>
      <c r="R7" s="2"/>
      <c r="S7" s="2"/>
      <c r="T7" s="2"/>
      <c r="U7" s="2"/>
      <c r="V7" s="2"/>
      <c r="W7" s="2"/>
      <c r="X7" s="2"/>
      <c r="Y7" s="2"/>
      <c r="Z7" s="2"/>
    </row>
    <row r="8" ht="15" customHeight="1" spans="1:26">
      <c r="A8" s="64" t="s">
        <v>29</v>
      </c>
      <c r="B8" s="13" t="s">
        <v>8193</v>
      </c>
      <c r="C8" s="13" t="s">
        <v>31</v>
      </c>
      <c r="D8" s="65">
        <v>30</v>
      </c>
      <c r="E8" s="13" t="s">
        <v>32</v>
      </c>
      <c r="F8" s="13" t="s">
        <v>8194</v>
      </c>
      <c r="G8" s="13" t="s">
        <v>8195</v>
      </c>
      <c r="H8" s="2"/>
      <c r="I8" s="2"/>
      <c r="J8" s="2"/>
      <c r="K8" s="2"/>
      <c r="L8" s="2"/>
      <c r="M8" s="2"/>
      <c r="N8" s="2"/>
      <c r="O8" s="2"/>
      <c r="P8" s="2"/>
      <c r="Q8" s="2"/>
      <c r="R8" s="2"/>
      <c r="S8" s="2"/>
      <c r="T8" s="2"/>
      <c r="U8" s="2"/>
      <c r="V8" s="2"/>
      <c r="W8" s="2"/>
      <c r="X8" s="2"/>
      <c r="Y8" s="2"/>
      <c r="Z8" s="2"/>
    </row>
    <row r="9" ht="15" customHeight="1" spans="1:26">
      <c r="A9" s="64" t="s">
        <v>35</v>
      </c>
      <c r="B9" s="13" t="s">
        <v>8196</v>
      </c>
      <c r="C9" s="13" t="s">
        <v>31</v>
      </c>
      <c r="D9" s="65">
        <v>30</v>
      </c>
      <c r="E9" s="13" t="s">
        <v>37</v>
      </c>
      <c r="F9" s="13"/>
      <c r="G9" s="13" t="s">
        <v>8197</v>
      </c>
      <c r="H9" s="2"/>
      <c r="I9" s="2"/>
      <c r="J9" s="2"/>
      <c r="K9" s="2"/>
      <c r="L9" s="2"/>
      <c r="M9" s="2"/>
      <c r="N9" s="2"/>
      <c r="O9" s="2"/>
      <c r="P9" s="2"/>
      <c r="Q9" s="2"/>
      <c r="R9" s="2"/>
      <c r="S9" s="2"/>
      <c r="T9" s="2"/>
      <c r="U9" s="2"/>
      <c r="V9" s="2"/>
      <c r="W9" s="2"/>
      <c r="X9" s="2"/>
      <c r="Y9" s="2"/>
      <c r="Z9" s="2"/>
    </row>
    <row r="10" ht="15" customHeight="1" spans="1:26">
      <c r="A10" s="64" t="s">
        <v>40</v>
      </c>
      <c r="B10" s="13" t="s">
        <v>41</v>
      </c>
      <c r="C10" s="13" t="s">
        <v>41</v>
      </c>
      <c r="D10" s="65">
        <v>106</v>
      </c>
      <c r="E10" s="13" t="s">
        <v>21</v>
      </c>
      <c r="F10" s="13" t="s">
        <v>42</v>
      </c>
      <c r="G10" s="13" t="s">
        <v>8198</v>
      </c>
      <c r="H10" s="2"/>
      <c r="I10" s="2"/>
      <c r="J10" s="2"/>
      <c r="K10" s="2"/>
      <c r="L10" s="2"/>
      <c r="M10" s="2"/>
      <c r="N10" s="2"/>
      <c r="O10" s="2"/>
      <c r="P10" s="2"/>
      <c r="Q10" s="2"/>
      <c r="R10" s="2"/>
      <c r="S10" s="2"/>
      <c r="T10" s="2"/>
      <c r="U10" s="2"/>
      <c r="V10" s="2"/>
      <c r="W10" s="2"/>
      <c r="X10" s="2"/>
      <c r="Y10" s="2"/>
      <c r="Z10" s="2"/>
    </row>
    <row r="11" ht="15" customHeight="1" spans="1:26">
      <c r="A11" s="13" t="s">
        <v>44</v>
      </c>
      <c r="B11" s="13" t="s">
        <v>893</v>
      </c>
      <c r="C11" s="13" t="s">
        <v>46</v>
      </c>
      <c r="D11" s="57"/>
      <c r="E11" s="57"/>
      <c r="F11" s="13" t="s">
        <v>47</v>
      </c>
      <c r="G11" s="13" t="s">
        <v>8199</v>
      </c>
      <c r="H11" s="2"/>
      <c r="I11" s="2"/>
      <c r="J11" s="2"/>
      <c r="K11" s="2"/>
      <c r="L11" s="2"/>
      <c r="M11" s="2"/>
      <c r="N11" s="2"/>
      <c r="O11" s="2"/>
      <c r="P11" s="2"/>
      <c r="Q11" s="2"/>
      <c r="R11" s="2"/>
      <c r="S11" s="2"/>
      <c r="T11" s="2"/>
      <c r="U11" s="2"/>
      <c r="V11" s="2"/>
      <c r="W11" s="2"/>
      <c r="X11" s="2"/>
      <c r="Y11" s="2"/>
      <c r="Z11" s="2"/>
    </row>
    <row r="12" ht="15" customHeight="1" spans="1:26">
      <c r="A12" s="13" t="s">
        <v>49</v>
      </c>
      <c r="B12" s="13" t="s">
        <v>8200</v>
      </c>
      <c r="C12" s="13" t="s">
        <v>51</v>
      </c>
      <c r="D12" s="57"/>
      <c r="E12" s="57"/>
      <c r="F12" s="13"/>
      <c r="G12" s="13" t="s">
        <v>8201</v>
      </c>
      <c r="H12" s="2"/>
      <c r="I12" s="2"/>
      <c r="J12" s="2"/>
      <c r="K12" s="2"/>
      <c r="L12" s="2"/>
      <c r="M12" s="2"/>
      <c r="N12" s="2"/>
      <c r="O12" s="2"/>
      <c r="P12" s="2"/>
      <c r="Q12" s="2"/>
      <c r="R12" s="2"/>
      <c r="S12" s="2"/>
      <c r="T12" s="2"/>
      <c r="U12" s="2"/>
      <c r="V12" s="2"/>
      <c r="W12" s="2"/>
      <c r="X12" s="2"/>
      <c r="Y12" s="2"/>
      <c r="Z12" s="2"/>
    </row>
    <row r="13" ht="15" customHeight="1" spans="1:26">
      <c r="A13" s="13" t="s">
        <v>54</v>
      </c>
      <c r="B13" s="13" t="s">
        <v>4747</v>
      </c>
      <c r="C13" s="13" t="s">
        <v>56</v>
      </c>
      <c r="D13" s="57"/>
      <c r="E13" s="57"/>
      <c r="F13" s="13"/>
      <c r="G13" s="13" t="s">
        <v>8202</v>
      </c>
      <c r="H13" s="2"/>
      <c r="I13" s="2"/>
      <c r="J13" s="2"/>
      <c r="K13" s="2"/>
      <c r="L13" s="2"/>
      <c r="M13" s="2"/>
      <c r="N13" s="2"/>
      <c r="O13" s="2"/>
      <c r="P13" s="2"/>
      <c r="Q13" s="2"/>
      <c r="R13" s="2"/>
      <c r="S13" s="2"/>
      <c r="T13" s="2"/>
      <c r="U13" s="2"/>
      <c r="V13" s="2"/>
      <c r="W13" s="2"/>
      <c r="X13" s="2"/>
      <c r="Y13" s="2"/>
      <c r="Z13" s="2"/>
    </row>
    <row r="14" ht="15" customHeight="1" spans="1:26">
      <c r="A14" s="64" t="s">
        <v>59</v>
      </c>
      <c r="B14" s="13" t="s">
        <v>8203</v>
      </c>
      <c r="C14" s="13" t="s">
        <v>61</v>
      </c>
      <c r="D14" s="65">
        <v>13</v>
      </c>
      <c r="E14" s="13" t="s">
        <v>37</v>
      </c>
      <c r="F14" s="13"/>
      <c r="G14" s="13" t="s">
        <v>8204</v>
      </c>
      <c r="H14" s="2"/>
      <c r="I14" s="2"/>
      <c r="J14" s="2"/>
      <c r="K14" s="2"/>
      <c r="L14" s="2"/>
      <c r="M14" s="2"/>
      <c r="N14" s="2"/>
      <c r="O14" s="2"/>
      <c r="P14" s="2"/>
      <c r="Q14" s="2"/>
      <c r="R14" s="2"/>
      <c r="S14" s="2"/>
      <c r="T14" s="2"/>
      <c r="U14" s="2"/>
      <c r="V14" s="2"/>
      <c r="W14" s="2"/>
      <c r="X14" s="2"/>
      <c r="Y14" s="2"/>
      <c r="Z14" s="2"/>
    </row>
    <row r="15" ht="15" customHeight="1" spans="1:26">
      <c r="A15" s="64" t="s">
        <v>64</v>
      </c>
      <c r="B15" s="13" t="s">
        <v>2094</v>
      </c>
      <c r="C15" s="13" t="s">
        <v>66</v>
      </c>
      <c r="D15" s="65">
        <v>13</v>
      </c>
      <c r="E15" s="13" t="s">
        <v>32</v>
      </c>
      <c r="F15" s="13" t="s">
        <v>2095</v>
      </c>
      <c r="G15" s="13" t="s">
        <v>8205</v>
      </c>
      <c r="H15" s="2"/>
      <c r="I15" s="2"/>
      <c r="J15" s="2"/>
      <c r="K15" s="2"/>
      <c r="L15" s="2"/>
      <c r="M15" s="2"/>
      <c r="N15" s="2"/>
      <c r="O15" s="2"/>
      <c r="P15" s="2"/>
      <c r="Q15" s="2"/>
      <c r="R15" s="2"/>
      <c r="S15" s="2"/>
      <c r="T15" s="2"/>
      <c r="U15" s="2"/>
      <c r="V15" s="2"/>
      <c r="W15" s="2"/>
      <c r="X15" s="2"/>
      <c r="Y15" s="2"/>
      <c r="Z15" s="2"/>
    </row>
    <row r="16" ht="15" customHeight="1" spans="1:26">
      <c r="A16" s="64" t="s">
        <v>69</v>
      </c>
      <c r="B16" s="13" t="s">
        <v>2097</v>
      </c>
      <c r="C16" s="13" t="s">
        <v>66</v>
      </c>
      <c r="D16" s="65">
        <v>12</v>
      </c>
      <c r="E16" s="13" t="s">
        <v>71</v>
      </c>
      <c r="F16" s="13" t="s">
        <v>2098</v>
      </c>
      <c r="G16" s="13" t="s">
        <v>8206</v>
      </c>
      <c r="H16" s="2"/>
      <c r="I16" s="2"/>
      <c r="J16" s="2"/>
      <c r="K16" s="2"/>
      <c r="L16" s="2"/>
      <c r="M16" s="2"/>
      <c r="N16" s="2"/>
      <c r="O16" s="2"/>
      <c r="P16" s="2"/>
      <c r="Q16" s="2"/>
      <c r="R16" s="2"/>
      <c r="S16" s="2"/>
      <c r="T16" s="2"/>
      <c r="U16" s="2"/>
      <c r="V16" s="2"/>
      <c r="W16" s="2"/>
      <c r="X16" s="2"/>
      <c r="Y16" s="2"/>
      <c r="Z16" s="2"/>
    </row>
    <row r="17" ht="15" customHeight="1" spans="1:26">
      <c r="A17" s="13" t="s">
        <v>74</v>
      </c>
      <c r="B17" s="13" t="s">
        <v>4480</v>
      </c>
      <c r="C17" s="13" t="s">
        <v>76</v>
      </c>
      <c r="D17" s="57"/>
      <c r="E17" s="57"/>
      <c r="F17" s="13"/>
      <c r="G17" s="13" t="s">
        <v>8207</v>
      </c>
      <c r="H17" s="2"/>
      <c r="I17" s="2"/>
      <c r="J17" s="2"/>
      <c r="K17" s="2"/>
      <c r="L17" s="2"/>
      <c r="M17" s="2"/>
      <c r="N17" s="2"/>
      <c r="O17" s="2"/>
      <c r="P17" s="2"/>
      <c r="Q17" s="2"/>
      <c r="R17" s="2"/>
      <c r="S17" s="2"/>
      <c r="T17" s="2"/>
      <c r="U17" s="2"/>
      <c r="V17" s="2"/>
      <c r="W17" s="2"/>
      <c r="X17" s="2"/>
      <c r="Y17" s="2"/>
      <c r="Z17" s="2"/>
    </row>
    <row r="18" ht="15" customHeight="1" spans="1:26">
      <c r="A18" s="64" t="s">
        <v>79</v>
      </c>
      <c r="B18" s="13" t="s">
        <v>8208</v>
      </c>
      <c r="C18" s="13" t="s">
        <v>81</v>
      </c>
      <c r="D18" s="65">
        <v>30</v>
      </c>
      <c r="E18" s="13" t="s">
        <v>37</v>
      </c>
      <c r="F18" s="68"/>
      <c r="G18" s="13" t="s">
        <v>8209</v>
      </c>
      <c r="H18" s="2"/>
      <c r="I18" s="2"/>
      <c r="J18" s="2"/>
      <c r="K18" s="2"/>
      <c r="L18" s="2"/>
      <c r="M18" s="2"/>
      <c r="N18" s="2"/>
      <c r="O18" s="2"/>
      <c r="P18" s="2"/>
      <c r="Q18" s="2"/>
      <c r="R18" s="2"/>
      <c r="S18" s="2"/>
      <c r="T18" s="2"/>
      <c r="U18" s="2"/>
      <c r="V18" s="2"/>
      <c r="W18" s="2"/>
      <c r="X18" s="2"/>
      <c r="Y18" s="2"/>
      <c r="Z18" s="2"/>
    </row>
    <row r="19" ht="15" customHeight="1" spans="1:26">
      <c r="A19" s="13" t="s">
        <v>84</v>
      </c>
      <c r="B19" s="13" t="s">
        <v>8210</v>
      </c>
      <c r="C19" s="13" t="s">
        <v>86</v>
      </c>
      <c r="D19" s="14">
        <v>134</v>
      </c>
      <c r="E19" s="13" t="s">
        <v>21</v>
      </c>
      <c r="F19" s="13"/>
      <c r="G19" s="13" t="s">
        <v>8211</v>
      </c>
      <c r="H19" s="2"/>
      <c r="I19" s="2"/>
      <c r="J19" s="2"/>
      <c r="K19" s="2"/>
      <c r="L19" s="2"/>
      <c r="M19" s="2"/>
      <c r="N19" s="2"/>
      <c r="O19" s="2"/>
      <c r="P19" s="2"/>
      <c r="Q19" s="2"/>
      <c r="R19" s="2"/>
      <c r="S19" s="2"/>
      <c r="T19" s="2"/>
      <c r="U19" s="2"/>
      <c r="V19" s="2"/>
      <c r="W19" s="2"/>
      <c r="X19" s="2"/>
      <c r="Y19" s="2"/>
      <c r="Z19" s="2"/>
    </row>
    <row r="20" ht="15" customHeight="1" spans="1:26">
      <c r="A20" s="13" t="s">
        <v>89</v>
      </c>
      <c r="B20" s="13" t="s">
        <v>8212</v>
      </c>
      <c r="C20" s="13" t="s">
        <v>91</v>
      </c>
      <c r="D20" s="57"/>
      <c r="E20" s="57"/>
      <c r="F20" s="13"/>
      <c r="G20" s="13" t="s">
        <v>8213</v>
      </c>
      <c r="H20" s="2"/>
      <c r="I20" s="2"/>
      <c r="J20" s="2"/>
      <c r="K20" s="2"/>
      <c r="L20" s="2"/>
      <c r="M20" s="2"/>
      <c r="N20" s="2"/>
      <c r="O20" s="2"/>
      <c r="P20" s="2"/>
      <c r="Q20" s="2"/>
      <c r="R20" s="2"/>
      <c r="S20" s="2"/>
      <c r="T20" s="2"/>
      <c r="U20" s="2"/>
      <c r="V20" s="2"/>
      <c r="W20" s="2"/>
      <c r="X20" s="2"/>
      <c r="Y20" s="2"/>
      <c r="Z20" s="2"/>
    </row>
    <row r="21" ht="15" customHeight="1" spans="1:26">
      <c r="A21" s="64" t="s">
        <v>94</v>
      </c>
      <c r="B21" s="13" t="s">
        <v>1691</v>
      </c>
      <c r="C21" s="13" t="s">
        <v>925</v>
      </c>
      <c r="D21" s="65">
        <v>60</v>
      </c>
      <c r="E21" s="13" t="s">
        <v>71</v>
      </c>
      <c r="F21" s="13"/>
      <c r="G21" s="13" t="s">
        <v>8214</v>
      </c>
      <c r="H21" s="2"/>
      <c r="I21" s="2"/>
      <c r="J21" s="2"/>
      <c r="K21" s="2"/>
      <c r="L21" s="2"/>
      <c r="M21" s="2"/>
      <c r="N21" s="2"/>
      <c r="O21" s="2"/>
      <c r="P21" s="2"/>
      <c r="Q21" s="2"/>
      <c r="R21" s="2"/>
      <c r="S21" s="2"/>
      <c r="T21" s="2"/>
      <c r="U21" s="2"/>
      <c r="V21" s="2"/>
      <c r="W21" s="2"/>
      <c r="X21" s="2"/>
      <c r="Y21" s="2"/>
      <c r="Z21" s="2"/>
    </row>
    <row r="22" ht="15" customHeight="1" spans="1:26">
      <c r="A22" s="64" t="s">
        <v>99</v>
      </c>
      <c r="B22" s="13" t="s">
        <v>928</v>
      </c>
      <c r="C22" s="13" t="s">
        <v>925</v>
      </c>
      <c r="D22" s="65">
        <v>70</v>
      </c>
      <c r="E22" s="13" t="s">
        <v>32</v>
      </c>
      <c r="F22" s="13" t="s">
        <v>929</v>
      </c>
      <c r="G22" s="13" t="s">
        <v>8215</v>
      </c>
      <c r="H22" s="2"/>
      <c r="I22" s="2"/>
      <c r="J22" s="2"/>
      <c r="K22" s="2"/>
      <c r="L22" s="2"/>
      <c r="M22" s="2"/>
      <c r="N22" s="2"/>
      <c r="O22" s="2"/>
      <c r="P22" s="2"/>
      <c r="Q22" s="2"/>
      <c r="R22" s="2"/>
      <c r="S22" s="2"/>
      <c r="T22" s="2"/>
      <c r="U22" s="2"/>
      <c r="V22" s="2"/>
      <c r="W22" s="2"/>
      <c r="X22" s="2"/>
      <c r="Y22" s="2"/>
      <c r="Z22" s="2"/>
    </row>
    <row r="23" ht="15" customHeight="1" spans="1:26">
      <c r="A23" s="64" t="s">
        <v>102</v>
      </c>
      <c r="B23" s="13" t="s">
        <v>8184</v>
      </c>
      <c r="C23" s="13" t="s">
        <v>108</v>
      </c>
      <c r="D23" s="65">
        <v>123</v>
      </c>
      <c r="E23" s="13" t="s">
        <v>21</v>
      </c>
      <c r="F23" s="13" t="s">
        <v>8185</v>
      </c>
      <c r="G23" s="13" t="s">
        <v>8186</v>
      </c>
      <c r="H23" s="2"/>
      <c r="I23" s="2"/>
      <c r="J23" s="2"/>
      <c r="K23" s="2"/>
      <c r="L23" s="2"/>
      <c r="M23" s="2"/>
      <c r="N23" s="2"/>
      <c r="O23" s="2"/>
      <c r="P23" s="2"/>
      <c r="Q23" s="2"/>
      <c r="R23" s="2"/>
      <c r="S23" s="2"/>
      <c r="T23" s="2"/>
      <c r="U23" s="2"/>
      <c r="V23" s="2"/>
      <c r="W23" s="2"/>
      <c r="X23" s="2"/>
      <c r="Y23" s="2"/>
      <c r="Z23" s="2"/>
    </row>
    <row r="24" ht="15" customHeight="1" spans="1:26">
      <c r="A24" s="13" t="s">
        <v>107</v>
      </c>
      <c r="B24" s="13" t="s">
        <v>931</v>
      </c>
      <c r="C24" s="13" t="s">
        <v>104</v>
      </c>
      <c r="D24" s="57"/>
      <c r="E24" s="57"/>
      <c r="F24" s="13" t="s">
        <v>932</v>
      </c>
      <c r="G24" s="13" t="s">
        <v>8216</v>
      </c>
      <c r="H24" s="2"/>
      <c r="I24" s="2"/>
      <c r="J24" s="2"/>
      <c r="K24" s="2"/>
      <c r="L24" s="2"/>
      <c r="M24" s="2"/>
      <c r="N24" s="2"/>
      <c r="O24" s="2"/>
      <c r="P24" s="2"/>
      <c r="Q24" s="2"/>
      <c r="R24" s="2"/>
      <c r="S24" s="2"/>
      <c r="T24" s="2"/>
      <c r="U24" s="2"/>
      <c r="V24" s="2"/>
      <c r="W24" s="2"/>
      <c r="X24" s="2"/>
      <c r="Y24" s="2"/>
      <c r="Z24" s="2"/>
    </row>
    <row r="25" ht="15" customHeight="1" spans="1:26">
      <c r="A25" s="13" t="s">
        <v>110</v>
      </c>
      <c r="B25" s="13" t="s">
        <v>8217</v>
      </c>
      <c r="C25" s="13" t="s">
        <v>112</v>
      </c>
      <c r="D25" s="57"/>
      <c r="E25" s="57"/>
      <c r="F25" s="13" t="s">
        <v>8218</v>
      </c>
      <c r="G25" s="13" t="s">
        <v>8219</v>
      </c>
      <c r="H25" s="2"/>
      <c r="I25" s="2"/>
      <c r="J25" s="2"/>
      <c r="K25" s="2"/>
      <c r="L25" s="2"/>
      <c r="M25" s="2"/>
      <c r="N25" s="2"/>
      <c r="O25" s="2"/>
      <c r="P25" s="2"/>
      <c r="Q25" s="2"/>
      <c r="R25" s="2"/>
      <c r="S25" s="2"/>
      <c r="T25" s="2"/>
      <c r="U25" s="2"/>
      <c r="V25" s="2"/>
      <c r="W25" s="2"/>
      <c r="X25" s="2"/>
      <c r="Y25" s="2"/>
      <c r="Z25" s="2"/>
    </row>
    <row r="26" ht="15" customHeight="1" spans="1:26">
      <c r="A26" s="13" t="s">
        <v>115</v>
      </c>
      <c r="B26" s="13" t="s">
        <v>2116</v>
      </c>
      <c r="C26" s="13" t="s">
        <v>117</v>
      </c>
      <c r="D26" s="65">
        <v>90</v>
      </c>
      <c r="E26" s="13" t="s">
        <v>32</v>
      </c>
      <c r="F26" s="68" t="str">
        <f>HYPERLINK("http://i.forbesimg.com/media/lists/companies/marks-spencer_416x416.jpg","http://i.forbesimg.com/media/lists/companies/marks-spencer_416x416.jpg")</f>
        <v>http://i.forbesimg.com/media/lists/companies/marks-spencer_416x416.jpg</v>
      </c>
      <c r="G26" s="68" t="s">
        <v>8220</v>
      </c>
      <c r="H26" s="2"/>
      <c r="I26" s="2"/>
      <c r="J26" s="2"/>
      <c r="K26" s="2"/>
      <c r="L26" s="2"/>
      <c r="M26" s="2"/>
      <c r="N26" s="2"/>
      <c r="O26" s="2"/>
      <c r="P26" s="2"/>
      <c r="Q26" s="2"/>
      <c r="R26" s="2"/>
      <c r="S26" s="2"/>
      <c r="T26" s="2"/>
      <c r="U26" s="2"/>
      <c r="V26" s="2"/>
      <c r="W26" s="2"/>
      <c r="X26" s="2"/>
      <c r="Y26" s="2"/>
      <c r="Z26" s="2"/>
    </row>
    <row r="27" ht="15" customHeight="1" spans="1:26">
      <c r="A27" s="64" t="s">
        <v>120</v>
      </c>
      <c r="B27" s="13" t="s">
        <v>8221</v>
      </c>
      <c r="C27" s="13" t="s">
        <v>117</v>
      </c>
      <c r="D27" s="65">
        <v>60</v>
      </c>
      <c r="E27" s="13" t="s">
        <v>37</v>
      </c>
      <c r="F27" s="13"/>
      <c r="G27" s="13" t="s">
        <v>8222</v>
      </c>
      <c r="H27" s="2"/>
      <c r="I27" s="2"/>
      <c r="J27" s="2"/>
      <c r="K27" s="2"/>
      <c r="L27" s="2"/>
      <c r="M27" s="2"/>
      <c r="N27" s="2"/>
      <c r="O27" s="2"/>
      <c r="P27" s="2"/>
      <c r="Q27" s="2"/>
      <c r="R27" s="2"/>
      <c r="S27" s="2"/>
      <c r="T27" s="2"/>
      <c r="U27" s="2"/>
      <c r="V27" s="2"/>
      <c r="W27" s="2"/>
      <c r="X27" s="2"/>
      <c r="Y27" s="2"/>
      <c r="Z27" s="2"/>
    </row>
    <row r="28" ht="15" customHeight="1" spans="1:26">
      <c r="A28" s="13" t="s">
        <v>123</v>
      </c>
      <c r="B28" s="13" t="s">
        <v>8223</v>
      </c>
      <c r="C28" s="13" t="s">
        <v>117</v>
      </c>
      <c r="D28" s="65">
        <v>80</v>
      </c>
      <c r="E28" s="13" t="s">
        <v>245</v>
      </c>
      <c r="F28" s="13" t="s">
        <v>8224</v>
      </c>
      <c r="G28" s="13" t="s">
        <v>8225</v>
      </c>
      <c r="H28" s="2"/>
      <c r="I28" s="2"/>
      <c r="J28" s="2"/>
      <c r="K28" s="2"/>
      <c r="L28" s="2"/>
      <c r="M28" s="2"/>
      <c r="N28" s="2"/>
      <c r="O28" s="2"/>
      <c r="P28" s="2"/>
      <c r="Q28" s="2"/>
      <c r="R28" s="2"/>
      <c r="S28" s="2"/>
      <c r="T28" s="2"/>
      <c r="U28" s="2"/>
      <c r="V28" s="2"/>
      <c r="W28" s="2"/>
      <c r="X28" s="2"/>
      <c r="Y28" s="2"/>
      <c r="Z28" s="2"/>
    </row>
    <row r="29" ht="15" customHeight="1" spans="1:26">
      <c r="A29" s="64" t="s">
        <v>127</v>
      </c>
      <c r="B29" s="13" t="s">
        <v>8226</v>
      </c>
      <c r="C29" s="13" t="s">
        <v>117</v>
      </c>
      <c r="D29" s="65">
        <v>50</v>
      </c>
      <c r="E29" s="13" t="s">
        <v>37</v>
      </c>
      <c r="F29" s="13"/>
      <c r="G29" s="13" t="s">
        <v>8227</v>
      </c>
      <c r="H29" s="2"/>
      <c r="I29" s="2"/>
      <c r="J29" s="2"/>
      <c r="K29" s="2"/>
      <c r="L29" s="2"/>
      <c r="M29" s="2"/>
      <c r="N29" s="2"/>
      <c r="O29" s="2"/>
      <c r="P29" s="2"/>
      <c r="Q29" s="2"/>
      <c r="R29" s="2"/>
      <c r="S29" s="2"/>
      <c r="T29" s="2"/>
      <c r="U29" s="2"/>
      <c r="V29" s="2"/>
      <c r="W29" s="2"/>
      <c r="X29" s="2"/>
      <c r="Y29" s="2"/>
      <c r="Z29" s="2"/>
    </row>
    <row r="30" ht="15" customHeight="1" spans="1:26">
      <c r="A30" s="64" t="s">
        <v>131</v>
      </c>
      <c r="B30" s="13" t="s">
        <v>8228</v>
      </c>
      <c r="C30" s="13" t="s">
        <v>117</v>
      </c>
      <c r="D30" s="65">
        <v>50</v>
      </c>
      <c r="E30" s="13" t="s">
        <v>32</v>
      </c>
      <c r="F30" s="13"/>
      <c r="G30" s="13" t="s">
        <v>8229</v>
      </c>
      <c r="H30" s="2"/>
      <c r="I30" s="2"/>
      <c r="J30" s="2"/>
      <c r="K30" s="2"/>
      <c r="L30" s="2"/>
      <c r="M30" s="2"/>
      <c r="N30" s="2"/>
      <c r="O30" s="2"/>
      <c r="P30" s="2"/>
      <c r="Q30" s="2"/>
      <c r="R30" s="2"/>
      <c r="S30" s="2"/>
      <c r="T30" s="2"/>
      <c r="U30" s="2"/>
      <c r="V30" s="2"/>
      <c r="W30" s="2"/>
      <c r="X30" s="2"/>
      <c r="Y30" s="2"/>
      <c r="Z30" s="2"/>
    </row>
    <row r="31" ht="15" customHeight="1" spans="1:26">
      <c r="A31" s="64" t="s">
        <v>135</v>
      </c>
      <c r="B31" s="13" t="s">
        <v>8230</v>
      </c>
      <c r="C31" s="13" t="s">
        <v>117</v>
      </c>
      <c r="D31" s="65">
        <v>30</v>
      </c>
      <c r="E31" s="13" t="s">
        <v>32</v>
      </c>
      <c r="F31" s="13"/>
      <c r="G31" s="13" t="s">
        <v>8231</v>
      </c>
      <c r="H31" s="2"/>
      <c r="I31" s="2"/>
      <c r="J31" s="2"/>
      <c r="K31" s="2"/>
      <c r="L31" s="2"/>
      <c r="M31" s="2"/>
      <c r="N31" s="2"/>
      <c r="O31" s="2"/>
      <c r="P31" s="2"/>
      <c r="Q31" s="2"/>
      <c r="R31" s="2"/>
      <c r="S31" s="2"/>
      <c r="T31" s="2"/>
      <c r="U31" s="2"/>
      <c r="V31" s="2"/>
      <c r="W31" s="2"/>
      <c r="X31" s="2"/>
      <c r="Y31" s="2"/>
      <c r="Z31" s="2"/>
    </row>
    <row r="32" ht="15" customHeight="1" spans="1:26">
      <c r="A32" s="13" t="s">
        <v>139</v>
      </c>
      <c r="B32" s="13" t="s">
        <v>954</v>
      </c>
      <c r="C32" s="13" t="s">
        <v>141</v>
      </c>
      <c r="D32" s="14">
        <v>55</v>
      </c>
      <c r="E32" s="13" t="s">
        <v>37</v>
      </c>
      <c r="F32" s="13" t="s">
        <v>2132</v>
      </c>
      <c r="G32" s="13" t="s">
        <v>8232</v>
      </c>
      <c r="H32" s="2"/>
      <c r="I32" s="2"/>
      <c r="J32" s="2"/>
      <c r="K32" s="2"/>
      <c r="L32" s="2"/>
      <c r="M32" s="2"/>
      <c r="N32" s="2"/>
      <c r="O32" s="2"/>
      <c r="P32" s="2"/>
      <c r="Q32" s="2"/>
      <c r="R32" s="2"/>
      <c r="S32" s="2"/>
      <c r="T32" s="2"/>
      <c r="U32" s="2"/>
      <c r="V32" s="2"/>
      <c r="W32" s="2"/>
      <c r="X32" s="2"/>
      <c r="Y32" s="2"/>
      <c r="Z32" s="2"/>
    </row>
    <row r="33" s="55" customFormat="1" ht="15" customHeight="1" spans="1:26">
      <c r="A33" s="66" t="s">
        <v>144</v>
      </c>
      <c r="B33" s="66" t="s">
        <v>2134</v>
      </c>
      <c r="C33" s="66" t="s">
        <v>146</v>
      </c>
      <c r="D33" s="67"/>
      <c r="E33" s="67"/>
      <c r="F33" s="66"/>
      <c r="G33" s="66" t="s">
        <v>8233</v>
      </c>
      <c r="H33" s="69"/>
      <c r="I33" s="69"/>
      <c r="J33" s="69"/>
      <c r="K33" s="69"/>
      <c r="L33" s="69"/>
      <c r="M33" s="69"/>
      <c r="N33" s="69"/>
      <c r="O33" s="69"/>
      <c r="P33" s="69"/>
      <c r="Q33" s="69"/>
      <c r="R33" s="69"/>
      <c r="S33" s="69"/>
      <c r="T33" s="69"/>
      <c r="U33" s="69"/>
      <c r="V33" s="69"/>
      <c r="W33" s="69"/>
      <c r="X33" s="69"/>
      <c r="Y33" s="69"/>
      <c r="Z33" s="69"/>
    </row>
    <row r="34" ht="15" customHeight="1" spans="1:26">
      <c r="A34" s="13" t="s">
        <v>149</v>
      </c>
      <c r="B34" s="13" t="s">
        <v>8234</v>
      </c>
      <c r="C34" s="13" t="s">
        <v>151</v>
      </c>
      <c r="D34" s="57"/>
      <c r="E34" s="57"/>
      <c r="F34" s="13"/>
      <c r="G34" s="13" t="s">
        <v>8235</v>
      </c>
      <c r="H34" s="2"/>
      <c r="I34" s="2"/>
      <c r="J34" s="2"/>
      <c r="K34" s="2"/>
      <c r="L34" s="2"/>
      <c r="M34" s="2"/>
      <c r="N34" s="2"/>
      <c r="O34" s="2"/>
      <c r="P34" s="2"/>
      <c r="Q34" s="2"/>
      <c r="R34" s="2"/>
      <c r="S34" s="2"/>
      <c r="T34" s="2"/>
      <c r="U34" s="2"/>
      <c r="V34" s="2"/>
      <c r="W34" s="2"/>
      <c r="X34" s="2"/>
      <c r="Y34" s="2"/>
      <c r="Z34" s="2"/>
    </row>
    <row r="35" ht="15" customHeight="1" spans="1:26">
      <c r="A35" s="64" t="s">
        <v>154</v>
      </c>
      <c r="B35" s="13" t="s">
        <v>2139</v>
      </c>
      <c r="C35" s="13" t="s">
        <v>156</v>
      </c>
      <c r="D35" s="65">
        <v>30</v>
      </c>
      <c r="E35" s="13" t="s">
        <v>37</v>
      </c>
      <c r="F35" s="13" t="s">
        <v>8236</v>
      </c>
      <c r="G35" s="13" t="s">
        <v>8237</v>
      </c>
      <c r="H35" s="2"/>
      <c r="I35" s="2"/>
      <c r="J35" s="2"/>
      <c r="K35" s="2"/>
      <c r="L35" s="2"/>
      <c r="M35" s="2"/>
      <c r="N35" s="2"/>
      <c r="O35" s="2"/>
      <c r="P35" s="2"/>
      <c r="Q35" s="2"/>
      <c r="R35" s="2"/>
      <c r="S35" s="2"/>
      <c r="T35" s="2"/>
      <c r="U35" s="2"/>
      <c r="V35" s="2"/>
      <c r="W35" s="2"/>
      <c r="X35" s="2"/>
      <c r="Y35" s="2"/>
      <c r="Z35" s="2"/>
    </row>
    <row r="36" ht="15" customHeight="1" spans="1:26">
      <c r="A36" s="13" t="s">
        <v>159</v>
      </c>
      <c r="B36" s="13" t="s">
        <v>8238</v>
      </c>
      <c r="C36" s="13" t="s">
        <v>161</v>
      </c>
      <c r="D36" s="57"/>
      <c r="E36" s="57"/>
      <c r="F36" s="13"/>
      <c r="G36" s="13" t="s">
        <v>8239</v>
      </c>
      <c r="H36" s="2"/>
      <c r="I36" s="2"/>
      <c r="J36" s="2"/>
      <c r="K36" s="2"/>
      <c r="L36" s="2"/>
      <c r="M36" s="2"/>
      <c r="N36" s="2"/>
      <c r="O36" s="2"/>
      <c r="P36" s="2"/>
      <c r="Q36" s="2"/>
      <c r="R36" s="2"/>
      <c r="S36" s="2"/>
      <c r="T36" s="2"/>
      <c r="U36" s="2"/>
      <c r="V36" s="2"/>
      <c r="W36" s="2"/>
      <c r="X36" s="2"/>
      <c r="Y36" s="2"/>
      <c r="Z36" s="2"/>
    </row>
    <row r="37" ht="15" customHeight="1" spans="1:26">
      <c r="A37" s="13" t="s">
        <v>164</v>
      </c>
      <c r="B37" s="13" t="s">
        <v>1730</v>
      </c>
      <c r="C37" s="13" t="s">
        <v>166</v>
      </c>
      <c r="D37" s="57"/>
      <c r="E37" s="57"/>
      <c r="F37" s="13" t="s">
        <v>1731</v>
      </c>
      <c r="G37" s="13" t="s">
        <v>8240</v>
      </c>
      <c r="H37" s="2"/>
      <c r="I37" s="2"/>
      <c r="J37" s="2"/>
      <c r="K37" s="2"/>
      <c r="L37" s="2"/>
      <c r="M37" s="2"/>
      <c r="N37" s="2"/>
      <c r="O37" s="2"/>
      <c r="P37" s="2"/>
      <c r="Q37" s="2"/>
      <c r="R37" s="2"/>
      <c r="S37" s="2"/>
      <c r="T37" s="2"/>
      <c r="U37" s="2"/>
      <c r="V37" s="2"/>
      <c r="W37" s="2"/>
      <c r="X37" s="2"/>
      <c r="Y37" s="2"/>
      <c r="Z37" s="2"/>
    </row>
    <row r="38" ht="15" customHeight="1" spans="1:26">
      <c r="A38" s="64" t="s">
        <v>169</v>
      </c>
      <c r="B38" s="13" t="s">
        <v>8241</v>
      </c>
      <c r="C38" s="13" t="s">
        <v>171</v>
      </c>
      <c r="D38" s="65">
        <v>46</v>
      </c>
      <c r="E38" s="13" t="s">
        <v>37</v>
      </c>
      <c r="F38" s="13" t="s">
        <v>8242</v>
      </c>
      <c r="G38" s="13" t="s">
        <v>8243</v>
      </c>
      <c r="H38" s="2"/>
      <c r="I38" s="2"/>
      <c r="J38" s="2"/>
      <c r="K38" s="2"/>
      <c r="L38" s="2"/>
      <c r="M38" s="2"/>
      <c r="N38" s="2"/>
      <c r="O38" s="2"/>
      <c r="P38" s="2"/>
      <c r="Q38" s="2"/>
      <c r="R38" s="2"/>
      <c r="S38" s="2"/>
      <c r="T38" s="2"/>
      <c r="U38" s="2"/>
      <c r="V38" s="2"/>
      <c r="W38" s="2"/>
      <c r="X38" s="2"/>
      <c r="Y38" s="2"/>
      <c r="Z38" s="2"/>
    </row>
    <row r="39" ht="15" customHeight="1" spans="1:26">
      <c r="A39" s="64" t="s">
        <v>174</v>
      </c>
      <c r="B39" s="13" t="s">
        <v>2145</v>
      </c>
      <c r="C39" s="13" t="s">
        <v>171</v>
      </c>
      <c r="D39" s="65">
        <v>30</v>
      </c>
      <c r="E39" s="13" t="s">
        <v>37</v>
      </c>
      <c r="F39" s="13" t="s">
        <v>976</v>
      </c>
      <c r="G39" s="13" t="s">
        <v>8244</v>
      </c>
      <c r="H39" s="2"/>
      <c r="I39" s="2"/>
      <c r="J39" s="2"/>
      <c r="K39" s="2"/>
      <c r="L39" s="2"/>
      <c r="M39" s="2"/>
      <c r="N39" s="2"/>
      <c r="O39" s="2"/>
      <c r="P39" s="2"/>
      <c r="Q39" s="2"/>
      <c r="R39" s="2"/>
      <c r="S39" s="2"/>
      <c r="T39" s="2"/>
      <c r="U39" s="2"/>
      <c r="V39" s="2"/>
      <c r="W39" s="2"/>
      <c r="X39" s="2"/>
      <c r="Y39" s="2"/>
      <c r="Z39" s="2"/>
    </row>
    <row r="40" ht="15" customHeight="1" spans="1:26">
      <c r="A40" s="64" t="s">
        <v>178</v>
      </c>
      <c r="B40" s="13" t="s">
        <v>8245</v>
      </c>
      <c r="C40" s="13" t="s">
        <v>180</v>
      </c>
      <c r="D40" s="65">
        <v>45</v>
      </c>
      <c r="E40" s="13" t="s">
        <v>37</v>
      </c>
      <c r="F40" s="57"/>
      <c r="G40" s="68" t="s">
        <v>8246</v>
      </c>
      <c r="H40" s="2"/>
      <c r="I40" s="2"/>
      <c r="J40" s="2"/>
      <c r="K40" s="2"/>
      <c r="L40" s="2"/>
      <c r="M40" s="2"/>
      <c r="N40" s="2"/>
      <c r="O40" s="2"/>
      <c r="P40" s="2"/>
      <c r="Q40" s="2"/>
      <c r="R40" s="2"/>
      <c r="S40" s="2"/>
      <c r="T40" s="2"/>
      <c r="U40" s="2"/>
      <c r="V40" s="2"/>
      <c r="W40" s="2"/>
      <c r="X40" s="2"/>
      <c r="Y40" s="2"/>
      <c r="Z40" s="2"/>
    </row>
    <row r="41" ht="15" customHeight="1" spans="1:26">
      <c r="A41" s="64" t="s">
        <v>183</v>
      </c>
      <c r="B41" s="13" t="s">
        <v>184</v>
      </c>
      <c r="C41" s="13" t="s">
        <v>185</v>
      </c>
      <c r="D41" s="65">
        <v>7</v>
      </c>
      <c r="E41" s="13" t="s">
        <v>37</v>
      </c>
      <c r="F41" s="13" t="s">
        <v>186</v>
      </c>
      <c r="G41" s="13" t="s">
        <v>187</v>
      </c>
      <c r="H41" s="2"/>
      <c r="I41" s="2"/>
      <c r="J41" s="2"/>
      <c r="K41" s="2"/>
      <c r="L41" s="2"/>
      <c r="M41" s="2"/>
      <c r="N41" s="2"/>
      <c r="O41" s="2"/>
      <c r="P41" s="2"/>
      <c r="Q41" s="2"/>
      <c r="R41" s="2"/>
      <c r="S41" s="2"/>
      <c r="T41" s="2"/>
      <c r="U41" s="2"/>
      <c r="V41" s="2"/>
      <c r="W41" s="2"/>
      <c r="X41" s="2"/>
      <c r="Y41" s="2"/>
      <c r="Z41" s="2"/>
    </row>
    <row r="42" ht="15" customHeight="1" spans="1:26">
      <c r="A42" s="64" t="s">
        <v>188</v>
      </c>
      <c r="B42" s="13" t="s">
        <v>8247</v>
      </c>
      <c r="C42" s="13" t="s">
        <v>190</v>
      </c>
      <c r="D42" s="65">
        <v>650</v>
      </c>
      <c r="E42" s="13" t="s">
        <v>37</v>
      </c>
      <c r="F42" s="13" t="s">
        <v>8248</v>
      </c>
      <c r="G42" s="13" t="s">
        <v>8249</v>
      </c>
      <c r="H42" s="2"/>
      <c r="I42" s="2"/>
      <c r="J42" s="2"/>
      <c r="K42" s="2"/>
      <c r="L42" s="2"/>
      <c r="M42" s="2"/>
      <c r="N42" s="2"/>
      <c r="O42" s="2"/>
      <c r="P42" s="2"/>
      <c r="Q42" s="2"/>
      <c r="R42" s="2"/>
      <c r="S42" s="2"/>
      <c r="T42" s="2"/>
      <c r="U42" s="2"/>
      <c r="V42" s="2"/>
      <c r="W42" s="2"/>
      <c r="X42" s="2"/>
      <c r="Y42" s="2"/>
      <c r="Z42" s="2"/>
    </row>
    <row r="43" ht="15" customHeight="1" spans="1:26">
      <c r="A43" s="13" t="s">
        <v>193</v>
      </c>
      <c r="B43" s="13" t="s">
        <v>8250</v>
      </c>
      <c r="C43" s="13" t="s">
        <v>195</v>
      </c>
      <c r="D43" s="57"/>
      <c r="E43" s="57"/>
      <c r="F43" s="13"/>
      <c r="G43" s="13" t="s">
        <v>8251</v>
      </c>
      <c r="H43" s="2"/>
      <c r="I43" s="2"/>
      <c r="J43" s="2"/>
      <c r="K43" s="2"/>
      <c r="L43" s="2"/>
      <c r="M43" s="2"/>
      <c r="N43" s="2"/>
      <c r="O43" s="2"/>
      <c r="P43" s="2"/>
      <c r="Q43" s="2"/>
      <c r="R43" s="2"/>
      <c r="S43" s="2"/>
      <c r="T43" s="2"/>
      <c r="U43" s="2"/>
      <c r="V43" s="2"/>
      <c r="W43" s="2"/>
      <c r="X43" s="2"/>
      <c r="Y43" s="2"/>
      <c r="Z43" s="2"/>
    </row>
    <row r="44" ht="15" customHeight="1" spans="1:26">
      <c r="A44" s="64" t="s">
        <v>198</v>
      </c>
      <c r="B44" s="13" t="s">
        <v>8252</v>
      </c>
      <c r="C44" s="13" t="s">
        <v>200</v>
      </c>
      <c r="D44" s="65">
        <v>30</v>
      </c>
      <c r="E44" s="13" t="s">
        <v>21</v>
      </c>
      <c r="F44" s="13"/>
      <c r="G44" s="13" t="s">
        <v>8253</v>
      </c>
      <c r="H44" s="2"/>
      <c r="I44" s="2"/>
      <c r="J44" s="2"/>
      <c r="K44" s="2"/>
      <c r="L44" s="2"/>
      <c r="M44" s="2"/>
      <c r="N44" s="2"/>
      <c r="O44" s="2"/>
      <c r="P44" s="2"/>
      <c r="Q44" s="2"/>
      <c r="R44" s="2"/>
      <c r="S44" s="2"/>
      <c r="T44" s="2"/>
      <c r="U44" s="2"/>
      <c r="V44" s="2"/>
      <c r="W44" s="2"/>
      <c r="X44" s="2"/>
      <c r="Y44" s="2"/>
      <c r="Z44" s="2"/>
    </row>
    <row r="45" ht="15" customHeight="1" spans="1:26">
      <c r="A45" s="13" t="s">
        <v>203</v>
      </c>
      <c r="B45" s="13" t="s">
        <v>8254</v>
      </c>
      <c r="C45" s="13" t="s">
        <v>200</v>
      </c>
      <c r="D45" s="14">
        <v>80</v>
      </c>
      <c r="E45" s="13" t="s">
        <v>21</v>
      </c>
      <c r="F45" s="13"/>
      <c r="G45" s="13" t="s">
        <v>8255</v>
      </c>
      <c r="H45" s="2"/>
      <c r="I45" s="2"/>
      <c r="J45" s="2"/>
      <c r="K45" s="2"/>
      <c r="L45" s="2"/>
      <c r="M45" s="2"/>
      <c r="N45" s="2"/>
      <c r="O45" s="2"/>
      <c r="P45" s="2"/>
      <c r="Q45" s="2"/>
      <c r="R45" s="2"/>
      <c r="S45" s="2"/>
      <c r="T45" s="2"/>
      <c r="U45" s="2"/>
      <c r="V45" s="2"/>
      <c r="W45" s="2"/>
      <c r="X45" s="2"/>
      <c r="Y45" s="2"/>
      <c r="Z45" s="2"/>
    </row>
    <row r="46" ht="15" customHeight="1" spans="1:26">
      <c r="A46" s="64" t="s">
        <v>207</v>
      </c>
      <c r="B46" s="13" t="s">
        <v>8256</v>
      </c>
      <c r="C46" s="13" t="s">
        <v>209</v>
      </c>
      <c r="D46" s="65">
        <v>5</v>
      </c>
      <c r="E46" s="13" t="s">
        <v>37</v>
      </c>
      <c r="F46" s="68" t="s">
        <v>8257</v>
      </c>
      <c r="G46" s="13" t="s">
        <v>8258</v>
      </c>
      <c r="H46" s="2"/>
      <c r="I46" s="2"/>
      <c r="J46" s="2"/>
      <c r="K46" s="2"/>
      <c r="L46" s="2"/>
      <c r="M46" s="2"/>
      <c r="N46" s="2"/>
      <c r="O46" s="2"/>
      <c r="P46" s="2"/>
      <c r="Q46" s="2"/>
      <c r="R46" s="2"/>
      <c r="S46" s="2"/>
      <c r="T46" s="2"/>
      <c r="U46" s="2"/>
      <c r="V46" s="2"/>
      <c r="W46" s="2"/>
      <c r="X46" s="2"/>
      <c r="Y46" s="2"/>
      <c r="Z46" s="2"/>
    </row>
    <row r="47" ht="15" customHeight="1" spans="1:26">
      <c r="A47" s="13" t="s">
        <v>212</v>
      </c>
      <c r="B47" s="13" t="s">
        <v>8259</v>
      </c>
      <c r="C47" s="13" t="s">
        <v>214</v>
      </c>
      <c r="D47" s="14">
        <v>20</v>
      </c>
      <c r="E47" s="13" t="s">
        <v>37</v>
      </c>
      <c r="F47" s="13"/>
      <c r="G47" s="13" t="s">
        <v>8260</v>
      </c>
      <c r="H47" s="2"/>
      <c r="I47" s="2"/>
      <c r="J47" s="2"/>
      <c r="K47" s="2"/>
      <c r="L47" s="2"/>
      <c r="M47" s="2"/>
      <c r="N47" s="2"/>
      <c r="O47" s="2"/>
      <c r="P47" s="2"/>
      <c r="Q47" s="2"/>
      <c r="R47" s="2"/>
      <c r="S47" s="2"/>
      <c r="T47" s="2"/>
      <c r="U47" s="2"/>
      <c r="V47" s="2"/>
      <c r="W47" s="2"/>
      <c r="X47" s="2"/>
      <c r="Y47" s="2"/>
      <c r="Z47" s="2"/>
    </row>
    <row r="48" ht="15" customHeight="1" spans="1:26">
      <c r="A48" s="13" t="s">
        <v>217</v>
      </c>
      <c r="B48" s="13" t="s">
        <v>8261</v>
      </c>
      <c r="C48" s="13" t="s">
        <v>219</v>
      </c>
      <c r="D48" s="57"/>
      <c r="E48" s="57"/>
      <c r="F48" s="13" t="s">
        <v>2160</v>
      </c>
      <c r="G48" s="13" t="s">
        <v>8262</v>
      </c>
      <c r="H48" s="2"/>
      <c r="I48" s="2"/>
      <c r="J48" s="2"/>
      <c r="K48" s="2"/>
      <c r="L48" s="2"/>
      <c r="M48" s="2"/>
      <c r="N48" s="2"/>
      <c r="O48" s="2"/>
      <c r="P48" s="2"/>
      <c r="Q48" s="2"/>
      <c r="R48" s="2"/>
      <c r="S48" s="2"/>
      <c r="T48" s="2"/>
      <c r="U48" s="2"/>
      <c r="V48" s="2"/>
      <c r="W48" s="2"/>
      <c r="X48" s="2"/>
      <c r="Y48" s="2"/>
      <c r="Z48" s="2"/>
    </row>
    <row r="49" ht="15" customHeight="1" spans="1:26">
      <c r="A49" s="13" t="s">
        <v>222</v>
      </c>
      <c r="B49" s="13" t="s">
        <v>2162</v>
      </c>
      <c r="C49" s="13" t="s">
        <v>224</v>
      </c>
      <c r="D49" s="14">
        <v>96</v>
      </c>
      <c r="E49" s="13" t="s">
        <v>21</v>
      </c>
      <c r="F49" s="13"/>
      <c r="G49" s="13" t="s">
        <v>8263</v>
      </c>
      <c r="H49" s="2"/>
      <c r="I49" s="2"/>
      <c r="J49" s="2"/>
      <c r="K49" s="2"/>
      <c r="L49" s="2"/>
      <c r="M49" s="2"/>
      <c r="N49" s="2"/>
      <c r="O49" s="2"/>
      <c r="P49" s="2"/>
      <c r="Q49" s="2"/>
      <c r="R49" s="2"/>
      <c r="S49" s="2"/>
      <c r="T49" s="2"/>
      <c r="U49" s="2"/>
      <c r="V49" s="2"/>
      <c r="W49" s="2"/>
      <c r="X49" s="2"/>
      <c r="Y49" s="2"/>
      <c r="Z49" s="2"/>
    </row>
    <row r="50" ht="15" customHeight="1" spans="1:26">
      <c r="A50" s="13" t="s">
        <v>227</v>
      </c>
      <c r="B50" s="13" t="s">
        <v>8264</v>
      </c>
      <c r="C50" s="13" t="s">
        <v>229</v>
      </c>
      <c r="D50" s="14">
        <v>66</v>
      </c>
      <c r="E50" s="13" t="s">
        <v>21</v>
      </c>
      <c r="F50" s="13"/>
      <c r="G50" s="13" t="s">
        <v>8265</v>
      </c>
      <c r="H50" s="2"/>
      <c r="I50" s="2"/>
      <c r="J50" s="2"/>
      <c r="K50" s="2"/>
      <c r="L50" s="2"/>
      <c r="M50" s="2"/>
      <c r="N50" s="2"/>
      <c r="O50" s="2"/>
      <c r="P50" s="2"/>
      <c r="Q50" s="2"/>
      <c r="R50" s="2"/>
      <c r="S50" s="2"/>
      <c r="T50" s="2"/>
      <c r="U50" s="2"/>
      <c r="V50" s="2"/>
      <c r="W50" s="2"/>
      <c r="X50" s="2"/>
      <c r="Y50" s="2"/>
      <c r="Z50" s="2"/>
    </row>
    <row r="51" ht="15" customHeight="1" spans="1:26">
      <c r="A51" s="13" t="s">
        <v>231</v>
      </c>
      <c r="B51" s="13" t="s">
        <v>8266</v>
      </c>
      <c r="C51" s="13" t="s">
        <v>224</v>
      </c>
      <c r="D51" s="14">
        <v>156</v>
      </c>
      <c r="E51" s="13" t="s">
        <v>21</v>
      </c>
      <c r="F51" s="13"/>
      <c r="G51" s="13" t="s">
        <v>8267</v>
      </c>
      <c r="H51" s="2"/>
      <c r="I51" s="2"/>
      <c r="J51" s="2"/>
      <c r="K51" s="2"/>
      <c r="L51" s="2"/>
      <c r="M51" s="2"/>
      <c r="N51" s="2"/>
      <c r="O51" s="2"/>
      <c r="P51" s="2"/>
      <c r="Q51" s="2"/>
      <c r="R51" s="2"/>
      <c r="S51" s="2"/>
      <c r="T51" s="2"/>
      <c r="U51" s="2"/>
      <c r="V51" s="2"/>
      <c r="W51" s="2"/>
      <c r="X51" s="2"/>
      <c r="Y51" s="2"/>
      <c r="Z51" s="2"/>
    </row>
    <row r="52" ht="15" customHeight="1" spans="1:26">
      <c r="A52" s="64" t="s">
        <v>234</v>
      </c>
      <c r="B52" s="13" t="s">
        <v>8268</v>
      </c>
      <c r="C52" s="13" t="s">
        <v>236</v>
      </c>
      <c r="D52" s="65">
        <v>30</v>
      </c>
      <c r="E52" s="13" t="s">
        <v>37</v>
      </c>
      <c r="F52" s="13"/>
      <c r="G52" s="57" t="s">
        <v>8269</v>
      </c>
      <c r="H52" s="2"/>
      <c r="I52" s="2"/>
      <c r="J52" s="2"/>
      <c r="K52" s="2"/>
      <c r="L52" s="2"/>
      <c r="M52" s="2"/>
      <c r="N52" s="2"/>
      <c r="O52" s="2"/>
      <c r="P52" s="2"/>
      <c r="Q52" s="2"/>
      <c r="R52" s="2"/>
      <c r="S52" s="2"/>
      <c r="T52" s="2"/>
      <c r="U52" s="2"/>
      <c r="V52" s="2"/>
      <c r="W52" s="2"/>
      <c r="X52" s="2"/>
      <c r="Y52" s="2"/>
      <c r="Z52" s="2"/>
    </row>
    <row r="53" ht="15" customHeight="1" spans="1:26">
      <c r="A53" s="13" t="s">
        <v>239</v>
      </c>
      <c r="B53" s="13" t="s">
        <v>8270</v>
      </c>
      <c r="C53" s="13" t="s">
        <v>236</v>
      </c>
      <c r="D53" s="14">
        <v>230</v>
      </c>
      <c r="E53" s="13" t="s">
        <v>21</v>
      </c>
      <c r="F53" s="13"/>
      <c r="G53" s="13" t="s">
        <v>8271</v>
      </c>
      <c r="H53" s="2"/>
      <c r="I53" s="2"/>
      <c r="J53" s="2"/>
      <c r="K53" s="2"/>
      <c r="L53" s="2"/>
      <c r="M53" s="2"/>
      <c r="N53" s="2"/>
      <c r="O53" s="2"/>
      <c r="P53" s="2"/>
      <c r="Q53" s="2"/>
      <c r="R53" s="2"/>
      <c r="S53" s="2"/>
      <c r="T53" s="2"/>
      <c r="U53" s="2"/>
      <c r="V53" s="2"/>
      <c r="W53" s="2"/>
      <c r="X53" s="2"/>
      <c r="Y53" s="2"/>
      <c r="Z53" s="2"/>
    </row>
    <row r="54" ht="15" customHeight="1" spans="1:26">
      <c r="A54" s="13" t="s">
        <v>243</v>
      </c>
      <c r="B54" s="13" t="s">
        <v>2176</v>
      </c>
      <c r="C54" s="13" t="s">
        <v>236</v>
      </c>
      <c r="D54" s="14">
        <v>100</v>
      </c>
      <c r="E54" s="13" t="s">
        <v>245</v>
      </c>
      <c r="F54" s="57"/>
      <c r="G54" s="57"/>
      <c r="H54" s="2"/>
      <c r="I54" s="2"/>
      <c r="J54" s="2"/>
      <c r="K54" s="2"/>
      <c r="L54" s="2"/>
      <c r="M54" s="2"/>
      <c r="N54" s="2"/>
      <c r="O54" s="2"/>
      <c r="P54" s="2"/>
      <c r="Q54" s="2"/>
      <c r="R54" s="2"/>
      <c r="S54" s="2"/>
      <c r="T54" s="2"/>
      <c r="U54" s="2"/>
      <c r="V54" s="2"/>
      <c r="W54" s="2"/>
      <c r="X54" s="2"/>
      <c r="Y54" s="2"/>
      <c r="Z54" s="2"/>
    </row>
    <row r="55" ht="15" customHeight="1" spans="1:26">
      <c r="A55" s="13" t="s">
        <v>248</v>
      </c>
      <c r="B55" s="13" t="s">
        <v>8272</v>
      </c>
      <c r="C55" s="13" t="s">
        <v>236</v>
      </c>
      <c r="D55" s="14">
        <v>100</v>
      </c>
      <c r="E55" s="13" t="s">
        <v>245</v>
      </c>
      <c r="F55" s="57"/>
      <c r="G55" s="57" t="s">
        <v>8273</v>
      </c>
      <c r="H55" s="2"/>
      <c r="I55" s="2"/>
      <c r="J55" s="2"/>
      <c r="K55" s="2"/>
      <c r="L55" s="2"/>
      <c r="M55" s="2"/>
      <c r="N55" s="2"/>
      <c r="O55" s="2"/>
      <c r="P55" s="2"/>
      <c r="Q55" s="2"/>
      <c r="R55" s="2"/>
      <c r="S55" s="2"/>
      <c r="T55" s="2"/>
      <c r="U55" s="2"/>
      <c r="V55" s="2"/>
      <c r="W55" s="2"/>
      <c r="X55" s="2"/>
      <c r="Y55" s="2"/>
      <c r="Z55" s="2"/>
    </row>
    <row r="56" ht="15" customHeight="1" spans="1:26">
      <c r="A56" s="64" t="s">
        <v>252</v>
      </c>
      <c r="B56" s="13" t="s">
        <v>8274</v>
      </c>
      <c r="C56" s="13" t="s">
        <v>236</v>
      </c>
      <c r="D56" s="65">
        <v>35</v>
      </c>
      <c r="E56" s="13" t="s">
        <v>37</v>
      </c>
      <c r="F56" s="13"/>
      <c r="G56" s="13" t="s">
        <v>8275</v>
      </c>
      <c r="H56" s="2"/>
      <c r="I56" s="2"/>
      <c r="J56" s="2"/>
      <c r="K56" s="2"/>
      <c r="L56" s="2"/>
      <c r="M56" s="2"/>
      <c r="N56" s="2"/>
      <c r="O56" s="2"/>
      <c r="P56" s="2"/>
      <c r="Q56" s="2"/>
      <c r="R56" s="2"/>
      <c r="S56" s="2"/>
      <c r="T56" s="2"/>
      <c r="U56" s="2"/>
      <c r="V56" s="2"/>
      <c r="W56" s="2"/>
      <c r="X56" s="2"/>
      <c r="Y56" s="2"/>
      <c r="Z56" s="2"/>
    </row>
    <row r="57" ht="15" customHeight="1" spans="1:26">
      <c r="A57" s="64" t="s">
        <v>256</v>
      </c>
      <c r="B57" s="13" t="s">
        <v>8276</v>
      </c>
      <c r="C57" s="13" t="s">
        <v>236</v>
      </c>
      <c r="D57" s="65">
        <v>40</v>
      </c>
      <c r="E57" s="13" t="s">
        <v>37</v>
      </c>
      <c r="F57" s="13"/>
      <c r="G57" s="13" t="s">
        <v>8277</v>
      </c>
      <c r="H57" s="2"/>
      <c r="I57" s="2"/>
      <c r="J57" s="2"/>
      <c r="K57" s="2"/>
      <c r="L57" s="2"/>
      <c r="M57" s="2"/>
      <c r="N57" s="2"/>
      <c r="O57" s="2"/>
      <c r="P57" s="2"/>
      <c r="Q57" s="2"/>
      <c r="R57" s="2"/>
      <c r="S57" s="2"/>
      <c r="T57" s="2"/>
      <c r="U57" s="2"/>
      <c r="V57" s="2"/>
      <c r="W57" s="2"/>
      <c r="X57" s="2"/>
      <c r="Y57" s="2"/>
      <c r="Z57" s="2"/>
    </row>
    <row r="58" ht="15" customHeight="1" spans="1:26">
      <c r="A58" s="64" t="s">
        <v>260</v>
      </c>
      <c r="B58" s="13" t="s">
        <v>261</v>
      </c>
      <c r="C58" s="13" t="s">
        <v>236</v>
      </c>
      <c r="D58" s="65">
        <v>8</v>
      </c>
      <c r="E58" s="13" t="s">
        <v>262</v>
      </c>
      <c r="F58" s="13" t="s">
        <v>263</v>
      </c>
      <c r="G58" s="13" t="s">
        <v>8278</v>
      </c>
      <c r="H58" s="2"/>
      <c r="I58" s="2"/>
      <c r="J58" s="2"/>
      <c r="K58" s="2"/>
      <c r="L58" s="2"/>
      <c r="M58" s="2"/>
      <c r="N58" s="2"/>
      <c r="O58" s="2"/>
      <c r="P58" s="2"/>
      <c r="Q58" s="2"/>
      <c r="R58" s="2"/>
      <c r="S58" s="2"/>
      <c r="T58" s="2"/>
      <c r="U58" s="2"/>
      <c r="V58" s="2"/>
      <c r="W58" s="2"/>
      <c r="X58" s="2"/>
      <c r="Y58" s="2"/>
      <c r="Z58" s="2"/>
    </row>
    <row r="59" ht="15" customHeight="1" spans="1:26">
      <c r="A59" s="64" t="s">
        <v>265</v>
      </c>
      <c r="B59" s="13" t="s">
        <v>8279</v>
      </c>
      <c r="C59" s="13" t="s">
        <v>236</v>
      </c>
      <c r="D59" s="65">
        <v>30</v>
      </c>
      <c r="E59" s="13" t="s">
        <v>37</v>
      </c>
      <c r="F59" s="13"/>
      <c r="G59" s="13" t="s">
        <v>8280</v>
      </c>
      <c r="H59" s="2"/>
      <c r="I59" s="2"/>
      <c r="J59" s="2"/>
      <c r="K59" s="2"/>
      <c r="L59" s="2"/>
      <c r="M59" s="2"/>
      <c r="N59" s="2"/>
      <c r="O59" s="2"/>
      <c r="P59" s="2"/>
      <c r="Q59" s="2"/>
      <c r="R59" s="2"/>
      <c r="S59" s="2"/>
      <c r="T59" s="2"/>
      <c r="U59" s="2"/>
      <c r="V59" s="2"/>
      <c r="W59" s="2"/>
      <c r="X59" s="2"/>
      <c r="Y59" s="2"/>
      <c r="Z59" s="2"/>
    </row>
    <row r="60" ht="15" customHeight="1" spans="1:26">
      <c r="A60" s="64" t="s">
        <v>269</v>
      </c>
      <c r="B60" s="13" t="s">
        <v>270</v>
      </c>
      <c r="C60" s="13" t="s">
        <v>236</v>
      </c>
      <c r="D60" s="65">
        <v>35</v>
      </c>
      <c r="E60" s="13" t="s">
        <v>37</v>
      </c>
      <c r="F60" s="13" t="s">
        <v>271</v>
      </c>
      <c r="G60" s="13" t="s">
        <v>8281</v>
      </c>
      <c r="H60" s="2"/>
      <c r="I60" s="2"/>
      <c r="J60" s="2"/>
      <c r="K60" s="2"/>
      <c r="L60" s="2"/>
      <c r="M60" s="2"/>
      <c r="N60" s="2"/>
      <c r="O60" s="2"/>
      <c r="P60" s="2"/>
      <c r="Q60" s="2"/>
      <c r="R60" s="2"/>
      <c r="S60" s="2"/>
      <c r="T60" s="2"/>
      <c r="U60" s="2"/>
      <c r="V60" s="2"/>
      <c r="W60" s="2"/>
      <c r="X60" s="2"/>
      <c r="Y60" s="2"/>
      <c r="Z60" s="2"/>
    </row>
    <row r="61" ht="15" customHeight="1" spans="1:26">
      <c r="A61" s="64" t="s">
        <v>273</v>
      </c>
      <c r="B61" s="13" t="s">
        <v>274</v>
      </c>
      <c r="C61" s="13" t="s">
        <v>236</v>
      </c>
      <c r="D61" s="65">
        <v>30</v>
      </c>
      <c r="E61" s="13" t="s">
        <v>32</v>
      </c>
      <c r="F61" s="13" t="s">
        <v>275</v>
      </c>
      <c r="G61" s="13" t="s">
        <v>8282</v>
      </c>
      <c r="H61" s="2"/>
      <c r="I61" s="2"/>
      <c r="J61" s="2"/>
      <c r="K61" s="2"/>
      <c r="L61" s="2"/>
      <c r="M61" s="2"/>
      <c r="N61" s="2"/>
      <c r="O61" s="2"/>
      <c r="P61" s="2"/>
      <c r="Q61" s="2"/>
      <c r="R61" s="2"/>
      <c r="S61" s="2"/>
      <c r="T61" s="2"/>
      <c r="U61" s="2"/>
      <c r="V61" s="2"/>
      <c r="W61" s="2"/>
      <c r="X61" s="2"/>
      <c r="Y61" s="2"/>
      <c r="Z61" s="2"/>
    </row>
    <row r="62" ht="16.5" customHeight="1" spans="1:26">
      <c r="A62" s="64" t="s">
        <v>277</v>
      </c>
      <c r="B62" s="13" t="s">
        <v>2187</v>
      </c>
      <c r="C62" s="13" t="s">
        <v>236</v>
      </c>
      <c r="D62" s="65">
        <v>37</v>
      </c>
      <c r="E62" s="13" t="s">
        <v>37</v>
      </c>
      <c r="F62" s="13" t="s">
        <v>2188</v>
      </c>
      <c r="G62" s="13" t="s">
        <v>8283</v>
      </c>
      <c r="H62" s="2"/>
      <c r="I62" s="2"/>
      <c r="J62" s="2"/>
      <c r="K62" s="2"/>
      <c r="L62" s="2"/>
      <c r="M62" s="2"/>
      <c r="N62" s="2"/>
      <c r="O62" s="2"/>
      <c r="P62" s="2"/>
      <c r="Q62" s="2"/>
      <c r="R62" s="2"/>
      <c r="S62" s="2"/>
      <c r="T62" s="2"/>
      <c r="U62" s="2"/>
      <c r="V62" s="2"/>
      <c r="W62" s="2"/>
      <c r="X62" s="2"/>
      <c r="Y62" s="2"/>
      <c r="Z62" s="2"/>
    </row>
    <row r="63" ht="15" customHeight="1" spans="1:26">
      <c r="A63" s="64" t="s">
        <v>281</v>
      </c>
      <c r="B63" s="13" t="s">
        <v>8284</v>
      </c>
      <c r="C63" s="13" t="s">
        <v>236</v>
      </c>
      <c r="D63" s="65">
        <v>40</v>
      </c>
      <c r="E63" s="13" t="s">
        <v>37</v>
      </c>
      <c r="F63" s="13"/>
      <c r="G63" s="13" t="s">
        <v>8285</v>
      </c>
      <c r="H63" s="2"/>
      <c r="I63" s="2"/>
      <c r="J63" s="2"/>
      <c r="K63" s="2"/>
      <c r="L63" s="2"/>
      <c r="M63" s="2"/>
      <c r="N63" s="2"/>
      <c r="O63" s="2"/>
      <c r="P63" s="2"/>
      <c r="Q63" s="2"/>
      <c r="R63" s="2"/>
      <c r="S63" s="2"/>
      <c r="T63" s="2"/>
      <c r="U63" s="2"/>
      <c r="V63" s="2"/>
      <c r="W63" s="2"/>
      <c r="X63" s="2"/>
      <c r="Y63" s="2"/>
      <c r="Z63" s="2"/>
    </row>
    <row r="64" ht="15" customHeight="1" spans="1:26">
      <c r="A64" s="13" t="s">
        <v>285</v>
      </c>
      <c r="B64" s="13" t="s">
        <v>8208</v>
      </c>
      <c r="C64" s="13" t="s">
        <v>286</v>
      </c>
      <c r="D64" s="14">
        <v>35</v>
      </c>
      <c r="E64" s="13" t="s">
        <v>37</v>
      </c>
      <c r="F64" s="13"/>
      <c r="G64" s="13" t="s">
        <v>8286</v>
      </c>
      <c r="H64" s="2"/>
      <c r="I64" s="2"/>
      <c r="J64" s="2"/>
      <c r="K64" s="2"/>
      <c r="L64" s="2"/>
      <c r="M64" s="2"/>
      <c r="N64" s="2"/>
      <c r="O64" s="2"/>
      <c r="P64" s="2"/>
      <c r="Q64" s="2"/>
      <c r="R64" s="2"/>
      <c r="S64" s="2"/>
      <c r="T64" s="2"/>
      <c r="U64" s="2"/>
      <c r="V64" s="2"/>
      <c r="W64" s="2"/>
      <c r="X64" s="2"/>
      <c r="Y64" s="2"/>
      <c r="Z64" s="2"/>
    </row>
    <row r="65" ht="15" customHeight="1" spans="1:26">
      <c r="A65" s="64" t="s">
        <v>288</v>
      </c>
      <c r="B65" s="13" t="s">
        <v>8287</v>
      </c>
      <c r="C65" s="13" t="s">
        <v>290</v>
      </c>
      <c r="D65" s="65">
        <v>300</v>
      </c>
      <c r="E65" s="13" t="s">
        <v>37</v>
      </c>
      <c r="F65" s="68"/>
      <c r="G65" s="13" t="s">
        <v>8288</v>
      </c>
      <c r="H65" s="2"/>
      <c r="I65" s="2"/>
      <c r="J65" s="2"/>
      <c r="K65" s="2"/>
      <c r="L65" s="2"/>
      <c r="M65" s="2"/>
      <c r="N65" s="2"/>
      <c r="O65" s="2"/>
      <c r="P65" s="2"/>
      <c r="Q65" s="2"/>
      <c r="R65" s="2"/>
      <c r="S65" s="2"/>
      <c r="T65" s="2"/>
      <c r="U65" s="2"/>
      <c r="V65" s="2"/>
      <c r="W65" s="2"/>
      <c r="X65" s="2"/>
      <c r="Y65" s="2"/>
      <c r="Z65" s="2"/>
    </row>
    <row r="66" ht="15" customHeight="1" spans="1:26">
      <c r="A66" s="64" t="s">
        <v>293</v>
      </c>
      <c r="B66" s="13" t="s">
        <v>8289</v>
      </c>
      <c r="C66" s="13" t="s">
        <v>290</v>
      </c>
      <c r="D66" s="65">
        <v>35</v>
      </c>
      <c r="E66" s="13" t="s">
        <v>37</v>
      </c>
      <c r="F66" s="68" t="s">
        <v>8290</v>
      </c>
      <c r="G66" s="13" t="s">
        <v>8291</v>
      </c>
      <c r="H66" s="2"/>
      <c r="I66" s="2"/>
      <c r="J66" s="2"/>
      <c r="K66" s="2"/>
      <c r="L66" s="2"/>
      <c r="M66" s="2"/>
      <c r="N66" s="2"/>
      <c r="O66" s="2"/>
      <c r="P66" s="2"/>
      <c r="Q66" s="2"/>
      <c r="R66" s="2"/>
      <c r="S66" s="2"/>
      <c r="T66" s="2"/>
      <c r="U66" s="2"/>
      <c r="V66" s="2"/>
      <c r="W66" s="2"/>
      <c r="X66" s="2"/>
      <c r="Y66" s="2"/>
      <c r="Z66" s="2"/>
    </row>
    <row r="67" ht="15" customHeight="1" spans="1:26">
      <c r="A67" s="13" t="s">
        <v>297</v>
      </c>
      <c r="B67" s="13" t="s">
        <v>8292</v>
      </c>
      <c r="C67" s="13" t="s">
        <v>1807</v>
      </c>
      <c r="D67" s="14">
        <v>1000</v>
      </c>
      <c r="E67" s="13" t="s">
        <v>37</v>
      </c>
      <c r="F67" s="13"/>
      <c r="G67" s="13" t="s">
        <v>8293</v>
      </c>
      <c r="H67" s="2"/>
      <c r="I67" s="2"/>
      <c r="J67" s="2"/>
      <c r="K67" s="2"/>
      <c r="L67" s="2"/>
      <c r="M67" s="2"/>
      <c r="N67" s="2"/>
      <c r="O67" s="2"/>
      <c r="P67" s="2"/>
      <c r="Q67" s="2"/>
      <c r="R67" s="2"/>
      <c r="S67" s="2"/>
      <c r="T67" s="2"/>
      <c r="U67" s="2"/>
      <c r="V67" s="2"/>
      <c r="W67" s="2"/>
      <c r="X67" s="2"/>
      <c r="Y67" s="2"/>
      <c r="Z67" s="2"/>
    </row>
    <row r="68" ht="15" customHeight="1" spans="1:26">
      <c r="A68" s="13" t="s">
        <v>302</v>
      </c>
      <c r="B68" s="13" t="s">
        <v>303</v>
      </c>
      <c r="C68" s="13" t="s">
        <v>304</v>
      </c>
      <c r="D68" s="57"/>
      <c r="E68" s="57"/>
      <c r="F68" s="13" t="s">
        <v>305</v>
      </c>
      <c r="G68" s="13" t="s">
        <v>306</v>
      </c>
      <c r="H68" s="2"/>
      <c r="I68" s="2"/>
      <c r="J68" s="2"/>
      <c r="K68" s="2"/>
      <c r="L68" s="2"/>
      <c r="M68" s="2"/>
      <c r="N68" s="2"/>
      <c r="O68" s="2"/>
      <c r="P68" s="2"/>
      <c r="Q68" s="2"/>
      <c r="R68" s="2"/>
      <c r="S68" s="2"/>
      <c r="T68" s="2"/>
      <c r="U68" s="2"/>
      <c r="V68" s="2"/>
      <c r="W68" s="2"/>
      <c r="X68" s="2"/>
      <c r="Y68" s="2"/>
      <c r="Z68" s="2"/>
    </row>
    <row r="69" ht="15" customHeight="1" spans="1:26">
      <c r="A69" s="70" t="s">
        <v>307</v>
      </c>
      <c r="B69" s="63" t="s">
        <v>308</v>
      </c>
      <c r="C69" s="63" t="s">
        <v>309</v>
      </c>
      <c r="D69" s="71">
        <v>45</v>
      </c>
      <c r="E69" s="63" t="s">
        <v>310</v>
      </c>
      <c r="F69" s="63" t="s">
        <v>311</v>
      </c>
      <c r="G69" s="63" t="s">
        <v>8294</v>
      </c>
      <c r="H69" s="2"/>
      <c r="I69" s="2"/>
      <c r="J69" s="2"/>
      <c r="K69" s="2"/>
      <c r="L69" s="2"/>
      <c r="M69" s="2"/>
      <c r="N69" s="2"/>
      <c r="O69" s="2"/>
      <c r="P69" s="2"/>
      <c r="Q69" s="2"/>
      <c r="R69" s="2"/>
      <c r="S69" s="2"/>
      <c r="T69" s="2"/>
      <c r="U69" s="2"/>
      <c r="V69" s="2"/>
      <c r="W69" s="2"/>
      <c r="X69" s="2"/>
      <c r="Y69" s="2"/>
      <c r="Z69" s="2"/>
    </row>
    <row r="70" ht="15" customHeight="1" spans="1:26">
      <c r="A70" s="13" t="s">
        <v>313</v>
      </c>
      <c r="B70" s="13" t="s">
        <v>314</v>
      </c>
      <c r="C70" s="13" t="s">
        <v>315</v>
      </c>
      <c r="D70" s="65">
        <v>90</v>
      </c>
      <c r="E70" s="13" t="s">
        <v>32</v>
      </c>
      <c r="F70" s="73" t="s">
        <v>316</v>
      </c>
      <c r="G70" s="13" t="s">
        <v>8295</v>
      </c>
      <c r="H70" s="2"/>
      <c r="I70" s="2"/>
      <c r="J70" s="2"/>
      <c r="K70" s="2"/>
      <c r="L70" s="2"/>
      <c r="M70" s="2"/>
      <c r="N70" s="2"/>
      <c r="O70" s="2"/>
      <c r="P70" s="2"/>
      <c r="Q70" s="2"/>
      <c r="R70" s="2"/>
      <c r="S70" s="2"/>
      <c r="T70" s="2"/>
      <c r="U70" s="2"/>
      <c r="V70" s="2"/>
      <c r="W70" s="2"/>
      <c r="X70" s="2"/>
      <c r="Y70" s="2"/>
      <c r="Z70" s="2"/>
    </row>
    <row r="71" ht="15" customHeight="1" spans="1:26">
      <c r="A71" s="13" t="s">
        <v>317</v>
      </c>
      <c r="B71" s="13" t="s">
        <v>8296</v>
      </c>
      <c r="C71" s="13" t="s">
        <v>319</v>
      </c>
      <c r="D71" s="65">
        <v>400</v>
      </c>
      <c r="E71" s="13" t="s">
        <v>245</v>
      </c>
      <c r="F71" s="13"/>
      <c r="G71" s="13" t="s">
        <v>8297</v>
      </c>
      <c r="H71" s="2"/>
      <c r="I71" s="2"/>
      <c r="J71" s="2"/>
      <c r="K71" s="2"/>
      <c r="L71" s="2"/>
      <c r="M71" s="2"/>
      <c r="N71" s="2"/>
      <c r="O71" s="2"/>
      <c r="P71" s="2"/>
      <c r="Q71" s="2"/>
      <c r="R71" s="2"/>
      <c r="S71" s="2"/>
      <c r="T71" s="2"/>
      <c r="U71" s="2"/>
      <c r="V71" s="2"/>
      <c r="W71" s="2"/>
      <c r="X71" s="2"/>
      <c r="Y71" s="2"/>
      <c r="Z71" s="2"/>
    </row>
    <row r="72" ht="15" customHeight="1" spans="1:26">
      <c r="A72" s="64" t="s">
        <v>321</v>
      </c>
      <c r="B72" s="13" t="s">
        <v>8298</v>
      </c>
      <c r="C72" s="13" t="s">
        <v>315</v>
      </c>
      <c r="D72" s="65">
        <v>13</v>
      </c>
      <c r="E72" s="13" t="s">
        <v>262</v>
      </c>
      <c r="F72" s="68"/>
      <c r="G72" s="13" t="s">
        <v>8299</v>
      </c>
      <c r="H72" s="2"/>
      <c r="I72" s="2"/>
      <c r="J72" s="2"/>
      <c r="K72" s="2"/>
      <c r="L72" s="2"/>
      <c r="M72" s="2"/>
      <c r="N72" s="2"/>
      <c r="O72" s="2"/>
      <c r="P72" s="2"/>
      <c r="Q72" s="2"/>
      <c r="R72" s="2"/>
      <c r="S72" s="2"/>
      <c r="T72" s="2"/>
      <c r="U72" s="2"/>
      <c r="V72" s="2"/>
      <c r="W72" s="2"/>
      <c r="X72" s="2"/>
      <c r="Y72" s="2"/>
      <c r="Z72" s="2"/>
    </row>
    <row r="73" ht="15" customHeight="1" spans="1:26">
      <c r="A73" s="13" t="s">
        <v>325</v>
      </c>
      <c r="B73" s="13" t="s">
        <v>8300</v>
      </c>
      <c r="C73" s="13" t="s">
        <v>327</v>
      </c>
      <c r="D73" s="14">
        <v>25</v>
      </c>
      <c r="E73" s="13" t="s">
        <v>310</v>
      </c>
      <c r="F73" s="13"/>
      <c r="G73" s="13" t="s">
        <v>8301</v>
      </c>
      <c r="H73" s="2"/>
      <c r="I73" s="2"/>
      <c r="J73" s="2"/>
      <c r="K73" s="2"/>
      <c r="L73" s="2"/>
      <c r="M73" s="2"/>
      <c r="N73" s="2"/>
      <c r="O73" s="2"/>
      <c r="P73" s="2"/>
      <c r="Q73" s="2"/>
      <c r="R73" s="2"/>
      <c r="S73" s="2"/>
      <c r="T73" s="2"/>
      <c r="U73" s="2"/>
      <c r="V73" s="2"/>
      <c r="W73" s="2"/>
      <c r="X73" s="2"/>
      <c r="Y73" s="2"/>
      <c r="Z73" s="2"/>
    </row>
    <row r="74" ht="15" customHeight="1" spans="1:26">
      <c r="A74" s="64" t="s">
        <v>330</v>
      </c>
      <c r="B74" s="13" t="s">
        <v>331</v>
      </c>
      <c r="C74" s="13" t="s">
        <v>315</v>
      </c>
      <c r="D74" s="65">
        <v>50</v>
      </c>
      <c r="E74" s="13" t="s">
        <v>37</v>
      </c>
      <c r="F74" s="13" t="s">
        <v>332</v>
      </c>
      <c r="G74" s="68" t="str">
        <f>HYPERLINK("http://www.topman.com/","www.topman.com")</f>
        <v>www.topman.com</v>
      </c>
      <c r="H74" s="2"/>
      <c r="I74" s="2"/>
      <c r="J74" s="2"/>
      <c r="K74" s="2"/>
      <c r="L74" s="2"/>
      <c r="M74" s="2"/>
      <c r="N74" s="2"/>
      <c r="O74" s="2"/>
      <c r="P74" s="2"/>
      <c r="Q74" s="2"/>
      <c r="R74" s="2"/>
      <c r="S74" s="2"/>
      <c r="T74" s="2"/>
      <c r="U74" s="2"/>
      <c r="V74" s="2"/>
      <c r="W74" s="2"/>
      <c r="X74" s="2"/>
      <c r="Y74" s="2"/>
      <c r="Z74" s="2"/>
    </row>
    <row r="75" ht="15" customHeight="1" spans="1:26">
      <c r="A75" s="64" t="s">
        <v>334</v>
      </c>
      <c r="B75" s="13" t="s">
        <v>335</v>
      </c>
      <c r="C75" s="13" t="s">
        <v>315</v>
      </c>
      <c r="D75" s="65">
        <v>50</v>
      </c>
      <c r="E75" s="13" t="s">
        <v>37</v>
      </c>
      <c r="F75" s="13" t="s">
        <v>336</v>
      </c>
      <c r="G75" s="74" t="s">
        <v>2212</v>
      </c>
      <c r="H75" s="2"/>
      <c r="I75" s="2"/>
      <c r="J75" s="2"/>
      <c r="K75" s="2"/>
      <c r="L75" s="2"/>
      <c r="M75" s="2"/>
      <c r="N75" s="2"/>
      <c r="O75" s="2"/>
      <c r="P75" s="2"/>
      <c r="Q75" s="2"/>
      <c r="R75" s="2"/>
      <c r="S75" s="2"/>
      <c r="T75" s="2"/>
      <c r="U75" s="2"/>
      <c r="V75" s="2"/>
      <c r="W75" s="2"/>
      <c r="X75" s="2"/>
      <c r="Y75" s="2"/>
      <c r="Z75" s="2"/>
    </row>
    <row r="76" ht="15" customHeight="1" spans="1:26">
      <c r="A76" s="64" t="s">
        <v>338</v>
      </c>
      <c r="B76" s="13" t="s">
        <v>339</v>
      </c>
      <c r="C76" s="13" t="s">
        <v>315</v>
      </c>
      <c r="D76" s="65">
        <v>125</v>
      </c>
      <c r="E76" s="13" t="s">
        <v>262</v>
      </c>
      <c r="F76" s="13" t="s">
        <v>340</v>
      </c>
      <c r="G76" s="13" t="s">
        <v>2213</v>
      </c>
      <c r="H76" s="2"/>
      <c r="I76" s="2"/>
      <c r="J76" s="2"/>
      <c r="K76" s="2"/>
      <c r="L76" s="2"/>
      <c r="M76" s="2"/>
      <c r="N76" s="2"/>
      <c r="O76" s="2"/>
      <c r="P76" s="2"/>
      <c r="Q76" s="2"/>
      <c r="R76" s="2"/>
      <c r="S76" s="2"/>
      <c r="T76" s="2"/>
      <c r="U76" s="2"/>
      <c r="V76" s="2"/>
      <c r="W76" s="2"/>
      <c r="X76" s="2"/>
      <c r="Y76" s="2"/>
      <c r="Z76" s="2"/>
    </row>
    <row r="77" ht="15" customHeight="1" spans="1:26">
      <c r="A77" s="64" t="s">
        <v>342</v>
      </c>
      <c r="B77" s="13" t="s">
        <v>343</v>
      </c>
      <c r="C77" s="13" t="s">
        <v>315</v>
      </c>
      <c r="D77" s="65">
        <v>45</v>
      </c>
      <c r="E77" s="13" t="s">
        <v>262</v>
      </c>
      <c r="F77" s="13" t="s">
        <v>344</v>
      </c>
      <c r="G77" s="13" t="s">
        <v>2214</v>
      </c>
      <c r="H77" s="2"/>
      <c r="I77" s="2"/>
      <c r="J77" s="2"/>
      <c r="K77" s="2"/>
      <c r="L77" s="2"/>
      <c r="M77" s="2"/>
      <c r="N77" s="2"/>
      <c r="O77" s="2"/>
      <c r="P77" s="2"/>
      <c r="Q77" s="2"/>
      <c r="R77" s="2"/>
      <c r="S77" s="2"/>
      <c r="T77" s="2"/>
      <c r="U77" s="2"/>
      <c r="V77" s="2"/>
      <c r="W77" s="2"/>
      <c r="X77" s="2"/>
      <c r="Y77" s="2"/>
      <c r="Z77" s="2"/>
    </row>
    <row r="78" ht="15" customHeight="1" spans="1:26">
      <c r="A78" s="64" t="s">
        <v>346</v>
      </c>
      <c r="B78" s="13" t="s">
        <v>347</v>
      </c>
      <c r="C78" s="13" t="s">
        <v>315</v>
      </c>
      <c r="D78" s="65">
        <v>55</v>
      </c>
      <c r="E78" s="13" t="s">
        <v>37</v>
      </c>
      <c r="F78" s="13" t="s">
        <v>348</v>
      </c>
      <c r="G78" s="75" t="s">
        <v>8302</v>
      </c>
      <c r="H78" s="2"/>
      <c r="I78" s="2"/>
      <c r="J78" s="2"/>
      <c r="K78" s="2"/>
      <c r="L78" s="2"/>
      <c r="M78" s="2"/>
      <c r="N78" s="2"/>
      <c r="O78" s="2"/>
      <c r="P78" s="2"/>
      <c r="Q78" s="2"/>
      <c r="R78" s="2"/>
      <c r="S78" s="2"/>
      <c r="T78" s="2"/>
      <c r="U78" s="2"/>
      <c r="V78" s="2"/>
      <c r="W78" s="2"/>
      <c r="X78" s="2"/>
      <c r="Y78" s="2"/>
      <c r="Z78" s="2"/>
    </row>
    <row r="79" ht="15" customHeight="1" spans="1:26">
      <c r="A79" s="64" t="s">
        <v>350</v>
      </c>
      <c r="B79" s="13" t="s">
        <v>351</v>
      </c>
      <c r="C79" s="13" t="s">
        <v>315</v>
      </c>
      <c r="D79" s="65">
        <v>20</v>
      </c>
      <c r="E79" s="13" t="s">
        <v>262</v>
      </c>
      <c r="F79" s="13" t="s">
        <v>352</v>
      </c>
      <c r="G79" s="75" t="s">
        <v>8303</v>
      </c>
      <c r="H79" s="2"/>
      <c r="I79" s="2"/>
      <c r="J79" s="2"/>
      <c r="K79" s="2"/>
      <c r="L79" s="2"/>
      <c r="M79" s="2"/>
      <c r="N79" s="2"/>
      <c r="O79" s="2"/>
      <c r="P79" s="2"/>
      <c r="Q79" s="2"/>
      <c r="R79" s="2"/>
      <c r="S79" s="2"/>
      <c r="T79" s="2"/>
      <c r="U79" s="2"/>
      <c r="V79" s="2"/>
      <c r="W79" s="2"/>
      <c r="X79" s="2"/>
      <c r="Y79" s="2"/>
      <c r="Z79" s="2"/>
    </row>
    <row r="80" ht="15" customHeight="1" spans="1:26">
      <c r="A80" s="13" t="s">
        <v>354</v>
      </c>
      <c r="B80" s="13" t="s">
        <v>355</v>
      </c>
      <c r="C80" s="13" t="s">
        <v>356</v>
      </c>
      <c r="D80" s="65">
        <v>123</v>
      </c>
      <c r="E80" s="13" t="s">
        <v>310</v>
      </c>
      <c r="F80" s="13" t="s">
        <v>357</v>
      </c>
      <c r="G80" s="75" t="s">
        <v>1301</v>
      </c>
      <c r="H80" s="2"/>
      <c r="I80" s="2"/>
      <c r="J80" s="2"/>
      <c r="K80" s="2"/>
      <c r="L80" s="2"/>
      <c r="M80" s="2"/>
      <c r="N80" s="2"/>
      <c r="O80" s="2"/>
      <c r="P80" s="2"/>
      <c r="Q80" s="2"/>
      <c r="R80" s="2"/>
      <c r="S80" s="2"/>
      <c r="T80" s="2"/>
      <c r="U80" s="2"/>
      <c r="V80" s="2"/>
      <c r="W80" s="2"/>
      <c r="X80" s="2"/>
      <c r="Y80" s="2"/>
      <c r="Z80" s="2"/>
    </row>
    <row r="81" ht="15" customHeight="1" spans="1:26">
      <c r="A81" s="13" t="s">
        <v>359</v>
      </c>
      <c r="B81" s="13" t="s">
        <v>8304</v>
      </c>
      <c r="C81" s="13" t="s">
        <v>361</v>
      </c>
      <c r="D81" s="65">
        <v>55</v>
      </c>
      <c r="E81" s="13" t="s">
        <v>310</v>
      </c>
      <c r="F81" s="13" t="s">
        <v>8305</v>
      </c>
      <c r="G81" s="13" t="s">
        <v>8306</v>
      </c>
      <c r="H81" s="2"/>
      <c r="I81" s="2"/>
      <c r="J81" s="2"/>
      <c r="K81" s="2"/>
      <c r="L81" s="2"/>
      <c r="M81" s="2"/>
      <c r="N81" s="2"/>
      <c r="O81" s="2"/>
      <c r="P81" s="2"/>
      <c r="Q81" s="2"/>
      <c r="R81" s="2"/>
      <c r="S81" s="2"/>
      <c r="T81" s="2"/>
      <c r="U81" s="2"/>
      <c r="V81" s="2"/>
      <c r="W81" s="2"/>
      <c r="X81" s="2"/>
      <c r="Y81" s="2"/>
      <c r="Z81" s="2"/>
    </row>
    <row r="82" ht="15" customHeight="1" spans="1:26">
      <c r="A82" s="64" t="s">
        <v>364</v>
      </c>
      <c r="B82" s="13" t="s">
        <v>365</v>
      </c>
      <c r="C82" s="13" t="s">
        <v>366</v>
      </c>
      <c r="D82" s="65">
        <v>35</v>
      </c>
      <c r="E82" s="13" t="s">
        <v>262</v>
      </c>
      <c r="F82" s="13" t="s">
        <v>367</v>
      </c>
      <c r="G82" s="75" t="s">
        <v>8307</v>
      </c>
      <c r="H82" s="2"/>
      <c r="I82" s="2"/>
      <c r="J82" s="2"/>
      <c r="K82" s="2"/>
      <c r="L82" s="2"/>
      <c r="M82" s="2"/>
      <c r="N82" s="2"/>
      <c r="O82" s="2"/>
      <c r="P82" s="2"/>
      <c r="Q82" s="2"/>
      <c r="R82" s="2"/>
      <c r="S82" s="2"/>
      <c r="T82" s="2"/>
      <c r="U82" s="2"/>
      <c r="V82" s="2"/>
      <c r="W82" s="2"/>
      <c r="X82" s="2"/>
      <c r="Y82" s="2"/>
      <c r="Z82" s="2"/>
    </row>
    <row r="83" ht="15" customHeight="1" spans="1:26">
      <c r="A83" s="64" t="s">
        <v>368</v>
      </c>
      <c r="B83" s="13" t="s">
        <v>369</v>
      </c>
      <c r="C83" s="13" t="s">
        <v>366</v>
      </c>
      <c r="D83" s="65">
        <v>30</v>
      </c>
      <c r="E83" s="13" t="s">
        <v>262</v>
      </c>
      <c r="F83" s="13" t="s">
        <v>370</v>
      </c>
      <c r="G83" s="75" t="s">
        <v>8308</v>
      </c>
      <c r="H83" s="2"/>
      <c r="I83" s="2"/>
      <c r="J83" s="2"/>
      <c r="K83" s="2"/>
      <c r="L83" s="2"/>
      <c r="M83" s="2"/>
      <c r="N83" s="2"/>
      <c r="O83" s="2"/>
      <c r="P83" s="2"/>
      <c r="Q83" s="2"/>
      <c r="R83" s="2"/>
      <c r="S83" s="2"/>
      <c r="T83" s="2"/>
      <c r="U83" s="2"/>
      <c r="V83" s="2"/>
      <c r="W83" s="2"/>
      <c r="X83" s="2"/>
      <c r="Y83" s="2"/>
      <c r="Z83" s="2"/>
    </row>
    <row r="84" ht="15" customHeight="1" spans="1:26">
      <c r="A84" s="64" t="s">
        <v>371</v>
      </c>
      <c r="B84" s="13" t="s">
        <v>372</v>
      </c>
      <c r="C84" s="13" t="s">
        <v>373</v>
      </c>
      <c r="D84" s="65">
        <v>35</v>
      </c>
      <c r="E84" s="13" t="s">
        <v>37</v>
      </c>
      <c r="F84" s="13" t="s">
        <v>374</v>
      </c>
      <c r="G84" s="13" t="s">
        <v>8309</v>
      </c>
      <c r="H84" s="2"/>
      <c r="I84" s="2"/>
      <c r="J84" s="2"/>
      <c r="K84" s="2"/>
      <c r="L84" s="2"/>
      <c r="M84" s="2"/>
      <c r="N84" s="2"/>
      <c r="O84" s="2"/>
      <c r="P84" s="2"/>
      <c r="Q84" s="2"/>
      <c r="R84" s="2"/>
      <c r="S84" s="2"/>
      <c r="T84" s="2"/>
      <c r="U84" s="2"/>
      <c r="V84" s="2"/>
      <c r="W84" s="2"/>
      <c r="X84" s="2"/>
      <c r="Y84" s="2"/>
      <c r="Z84" s="2"/>
    </row>
    <row r="85" ht="15" customHeight="1" spans="1:26">
      <c r="A85" s="64" t="s">
        <v>375</v>
      </c>
      <c r="B85" s="13" t="s">
        <v>8310</v>
      </c>
      <c r="C85" s="13" t="s">
        <v>373</v>
      </c>
      <c r="D85" s="65">
        <v>90</v>
      </c>
      <c r="E85" s="13" t="s">
        <v>37</v>
      </c>
      <c r="F85" s="13" t="s">
        <v>8311</v>
      </c>
      <c r="G85" s="13" t="s">
        <v>8312</v>
      </c>
      <c r="H85" s="2"/>
      <c r="I85" s="2"/>
      <c r="J85" s="2"/>
      <c r="K85" s="2"/>
      <c r="L85" s="2"/>
      <c r="M85" s="2"/>
      <c r="N85" s="2"/>
      <c r="O85" s="2"/>
      <c r="P85" s="2"/>
      <c r="Q85" s="2"/>
      <c r="R85" s="2"/>
      <c r="S85" s="2"/>
      <c r="T85" s="2"/>
      <c r="U85" s="2"/>
      <c r="V85" s="2"/>
      <c r="W85" s="2"/>
      <c r="X85" s="2"/>
      <c r="Y85" s="2"/>
      <c r="Z85" s="2"/>
    </row>
    <row r="86" ht="15" customHeight="1" spans="1:26">
      <c r="A86" s="64" t="s">
        <v>379</v>
      </c>
      <c r="B86" s="13" t="s">
        <v>2226</v>
      </c>
      <c r="C86" s="13" t="s">
        <v>373</v>
      </c>
      <c r="D86" s="65">
        <v>66</v>
      </c>
      <c r="E86" s="13" t="s">
        <v>21</v>
      </c>
      <c r="F86" s="13" t="s">
        <v>2227</v>
      </c>
      <c r="G86" s="13" t="s">
        <v>8313</v>
      </c>
      <c r="H86" s="2"/>
      <c r="I86" s="2"/>
      <c r="J86" s="2"/>
      <c r="K86" s="2"/>
      <c r="L86" s="2"/>
      <c r="M86" s="2"/>
      <c r="N86" s="2"/>
      <c r="O86" s="2"/>
      <c r="P86" s="2"/>
      <c r="Q86" s="2"/>
      <c r="R86" s="2"/>
      <c r="S86" s="2"/>
      <c r="T86" s="2"/>
      <c r="U86" s="2"/>
      <c r="V86" s="2"/>
      <c r="W86" s="2"/>
      <c r="X86" s="2"/>
      <c r="Y86" s="2"/>
      <c r="Z86" s="2"/>
    </row>
    <row r="87" ht="15" customHeight="1" spans="1:26">
      <c r="A87" s="13" t="s">
        <v>383</v>
      </c>
      <c r="B87" s="13" t="s">
        <v>1838</v>
      </c>
      <c r="C87" s="13" t="s">
        <v>373</v>
      </c>
      <c r="D87" s="65">
        <v>150</v>
      </c>
      <c r="E87" s="13" t="s">
        <v>310</v>
      </c>
      <c r="F87" s="13" t="s">
        <v>1839</v>
      </c>
      <c r="G87" s="13" t="s">
        <v>8314</v>
      </c>
      <c r="H87" s="2"/>
      <c r="I87" s="2"/>
      <c r="J87" s="2"/>
      <c r="K87" s="2"/>
      <c r="L87" s="2"/>
      <c r="M87" s="2"/>
      <c r="N87" s="2"/>
      <c r="O87" s="2"/>
      <c r="P87" s="2"/>
      <c r="Q87" s="2"/>
      <c r="R87" s="2"/>
      <c r="S87" s="2"/>
      <c r="T87" s="2"/>
      <c r="U87" s="2"/>
      <c r="V87" s="2"/>
      <c r="W87" s="2"/>
      <c r="X87" s="2"/>
      <c r="Y87" s="2"/>
      <c r="Z87" s="2"/>
    </row>
    <row r="88" ht="15" customHeight="1" spans="1:26">
      <c r="A88" s="13" t="s">
        <v>387</v>
      </c>
      <c r="B88" s="13" t="s">
        <v>388</v>
      </c>
      <c r="C88" s="13" t="s">
        <v>373</v>
      </c>
      <c r="D88" s="65">
        <v>76</v>
      </c>
      <c r="E88" s="13" t="s">
        <v>37</v>
      </c>
      <c r="F88" s="13" t="s">
        <v>389</v>
      </c>
      <c r="G88" s="13" t="s">
        <v>8315</v>
      </c>
      <c r="H88" s="2"/>
      <c r="I88" s="2"/>
      <c r="J88" s="2"/>
      <c r="K88" s="2"/>
      <c r="L88" s="2"/>
      <c r="M88" s="2"/>
      <c r="N88" s="2"/>
      <c r="O88" s="2"/>
      <c r="P88" s="2"/>
      <c r="Q88" s="2"/>
      <c r="R88" s="2"/>
      <c r="S88" s="2"/>
      <c r="T88" s="2"/>
      <c r="U88" s="2"/>
      <c r="V88" s="2"/>
      <c r="W88" s="2"/>
      <c r="X88" s="2"/>
      <c r="Y88" s="2"/>
      <c r="Z88" s="2"/>
    </row>
    <row r="89" ht="15" customHeight="1" spans="1:26">
      <c r="A89" s="13" t="s">
        <v>391</v>
      </c>
      <c r="B89" s="13" t="s">
        <v>392</v>
      </c>
      <c r="C89" s="13" t="s">
        <v>393</v>
      </c>
      <c r="D89" s="14">
        <v>3500</v>
      </c>
      <c r="E89" s="13" t="s">
        <v>21</v>
      </c>
      <c r="F89" s="13" t="s">
        <v>394</v>
      </c>
      <c r="G89" s="75" t="s">
        <v>8316</v>
      </c>
      <c r="H89" s="2"/>
      <c r="I89" s="2"/>
      <c r="J89" s="2"/>
      <c r="K89" s="2"/>
      <c r="L89" s="2"/>
      <c r="M89" s="2"/>
      <c r="N89" s="2"/>
      <c r="O89" s="2"/>
      <c r="P89" s="2"/>
      <c r="Q89" s="2"/>
      <c r="R89" s="2"/>
      <c r="S89" s="2"/>
      <c r="T89" s="2"/>
      <c r="U89" s="2"/>
      <c r="V89" s="2"/>
      <c r="W89" s="2"/>
      <c r="X89" s="2"/>
      <c r="Y89" s="2"/>
      <c r="Z89" s="2"/>
    </row>
    <row r="90" ht="15" customHeight="1" spans="1:26">
      <c r="A90" s="13" t="s">
        <v>395</v>
      </c>
      <c r="B90" s="13" t="s">
        <v>396</v>
      </c>
      <c r="C90" s="13" t="s">
        <v>393</v>
      </c>
      <c r="D90" s="14">
        <v>1230</v>
      </c>
      <c r="E90" s="13" t="s">
        <v>21</v>
      </c>
      <c r="F90" s="13" t="s">
        <v>397</v>
      </c>
      <c r="G90" s="13" t="s">
        <v>398</v>
      </c>
      <c r="H90" s="2"/>
      <c r="I90" s="2"/>
      <c r="J90" s="2"/>
      <c r="K90" s="2"/>
      <c r="L90" s="2"/>
      <c r="M90" s="2"/>
      <c r="N90" s="2"/>
      <c r="O90" s="2"/>
      <c r="P90" s="2"/>
      <c r="Q90" s="2"/>
      <c r="R90" s="2"/>
      <c r="S90" s="2"/>
      <c r="T90" s="2"/>
      <c r="U90" s="2"/>
      <c r="V90" s="2"/>
      <c r="W90" s="2"/>
      <c r="X90" s="2"/>
      <c r="Y90" s="2"/>
      <c r="Z90" s="2"/>
    </row>
    <row r="91" ht="15" customHeight="1" spans="1:26">
      <c r="A91" s="13" t="s">
        <v>399</v>
      </c>
      <c r="B91" s="13" t="s">
        <v>8317</v>
      </c>
      <c r="C91" s="13" t="s">
        <v>224</v>
      </c>
      <c r="D91" s="65">
        <v>130</v>
      </c>
      <c r="E91" s="13" t="s">
        <v>262</v>
      </c>
      <c r="F91" s="13"/>
      <c r="G91" s="13" t="s">
        <v>8318</v>
      </c>
      <c r="H91" s="2"/>
      <c r="I91" s="2"/>
      <c r="J91" s="2"/>
      <c r="K91" s="2"/>
      <c r="L91" s="2"/>
      <c r="M91" s="2"/>
      <c r="N91" s="2"/>
      <c r="O91" s="2"/>
      <c r="P91" s="2"/>
      <c r="Q91" s="2"/>
      <c r="R91" s="2"/>
      <c r="S91" s="2"/>
      <c r="T91" s="2"/>
      <c r="U91" s="2"/>
      <c r="V91" s="2"/>
      <c r="W91" s="2"/>
      <c r="X91" s="2"/>
      <c r="Y91" s="2"/>
      <c r="Z91" s="2"/>
    </row>
    <row r="92" ht="15" customHeight="1" spans="1:26">
      <c r="A92" s="13" t="s">
        <v>403</v>
      </c>
      <c r="B92" s="13" t="s">
        <v>8319</v>
      </c>
      <c r="C92" s="13" t="s">
        <v>229</v>
      </c>
      <c r="D92" s="65">
        <v>500</v>
      </c>
      <c r="E92" s="13" t="s">
        <v>21</v>
      </c>
      <c r="F92" s="13"/>
      <c r="G92" s="13" t="s">
        <v>8320</v>
      </c>
      <c r="H92" s="2"/>
      <c r="I92" s="2"/>
      <c r="J92" s="2"/>
      <c r="K92" s="2"/>
      <c r="L92" s="2"/>
      <c r="M92" s="2"/>
      <c r="N92" s="2"/>
      <c r="O92" s="2"/>
      <c r="P92" s="2"/>
      <c r="Q92" s="2"/>
      <c r="R92" s="2"/>
      <c r="S92" s="2"/>
      <c r="T92" s="2"/>
      <c r="U92" s="2"/>
      <c r="V92" s="2"/>
      <c r="W92" s="2"/>
      <c r="X92" s="2"/>
      <c r="Y92" s="2"/>
      <c r="Z92" s="2"/>
    </row>
    <row r="93" ht="15" customHeight="1" spans="1:26">
      <c r="A93" s="13" t="s">
        <v>407</v>
      </c>
      <c r="B93" s="13" t="s">
        <v>8321</v>
      </c>
      <c r="C93" s="13" t="s">
        <v>229</v>
      </c>
      <c r="D93" s="65">
        <v>350</v>
      </c>
      <c r="E93" s="13" t="s">
        <v>21</v>
      </c>
      <c r="F93" s="13" t="s">
        <v>8322</v>
      </c>
      <c r="G93" s="13" t="s">
        <v>8323</v>
      </c>
      <c r="H93" s="2"/>
      <c r="I93" s="2"/>
      <c r="J93" s="2"/>
      <c r="K93" s="2"/>
      <c r="L93" s="2"/>
      <c r="M93" s="2"/>
      <c r="N93" s="2"/>
      <c r="O93" s="2"/>
      <c r="P93" s="2"/>
      <c r="Q93" s="2"/>
      <c r="R93" s="2"/>
      <c r="S93" s="2"/>
      <c r="T93" s="2"/>
      <c r="U93" s="2"/>
      <c r="V93" s="2"/>
      <c r="W93" s="2"/>
      <c r="X93" s="2"/>
      <c r="Y93" s="2"/>
      <c r="Z93" s="2"/>
    </row>
    <row r="94" ht="15" customHeight="1" spans="1:26">
      <c r="A94" s="13" t="s">
        <v>411</v>
      </c>
      <c r="B94" s="13" t="s">
        <v>8324</v>
      </c>
      <c r="C94" s="13" t="s">
        <v>413</v>
      </c>
      <c r="D94" s="14">
        <v>50</v>
      </c>
      <c r="E94" s="13" t="s">
        <v>310</v>
      </c>
      <c r="F94" s="13" t="s">
        <v>8325</v>
      </c>
      <c r="G94" s="13" t="s">
        <v>8326</v>
      </c>
      <c r="H94" s="2"/>
      <c r="I94" s="2"/>
      <c r="J94" s="2"/>
      <c r="K94" s="2"/>
      <c r="L94" s="2"/>
      <c r="M94" s="2"/>
      <c r="N94" s="2"/>
      <c r="O94" s="2"/>
      <c r="P94" s="2"/>
      <c r="Q94" s="2"/>
      <c r="R94" s="2"/>
      <c r="S94" s="2"/>
      <c r="T94" s="2"/>
      <c r="U94" s="2"/>
      <c r="V94" s="2"/>
      <c r="W94" s="2"/>
      <c r="X94" s="2"/>
      <c r="Y94" s="2"/>
      <c r="Z94" s="2"/>
    </row>
    <row r="95" ht="15" customHeight="1" spans="1:26">
      <c r="A95" s="13" t="s">
        <v>416</v>
      </c>
      <c r="B95" s="13" t="s">
        <v>2468</v>
      </c>
      <c r="C95" s="13" t="s">
        <v>418</v>
      </c>
      <c r="D95" s="14">
        <v>35</v>
      </c>
      <c r="E95" s="13" t="s">
        <v>310</v>
      </c>
      <c r="F95" s="13" t="s">
        <v>8327</v>
      </c>
      <c r="G95" s="13" t="s">
        <v>8328</v>
      </c>
      <c r="H95" s="2"/>
      <c r="I95" s="2"/>
      <c r="J95" s="2"/>
      <c r="K95" s="2"/>
      <c r="L95" s="2"/>
      <c r="M95" s="2"/>
      <c r="N95" s="2"/>
      <c r="O95" s="2"/>
      <c r="P95" s="2"/>
      <c r="Q95" s="2"/>
      <c r="R95" s="2"/>
      <c r="S95" s="2"/>
      <c r="T95" s="2"/>
      <c r="U95" s="2"/>
      <c r="V95" s="2"/>
      <c r="W95" s="2"/>
      <c r="X95" s="2"/>
      <c r="Y95" s="2"/>
      <c r="Z95" s="2"/>
    </row>
    <row r="96" ht="15" customHeight="1" spans="1:26">
      <c r="A96" s="13" t="s">
        <v>421</v>
      </c>
      <c r="B96" s="13" t="s">
        <v>8329</v>
      </c>
      <c r="C96" s="13" t="s">
        <v>423</v>
      </c>
      <c r="D96" s="14">
        <v>67</v>
      </c>
      <c r="E96" s="13" t="s">
        <v>310</v>
      </c>
      <c r="F96" s="13"/>
      <c r="G96" s="13" t="s">
        <v>8330</v>
      </c>
      <c r="H96" s="2"/>
      <c r="I96" s="2"/>
      <c r="J96" s="2"/>
      <c r="K96" s="2"/>
      <c r="L96" s="2"/>
      <c r="M96" s="2"/>
      <c r="N96" s="2"/>
      <c r="O96" s="2"/>
      <c r="P96" s="2"/>
      <c r="Q96" s="2"/>
      <c r="R96" s="2"/>
      <c r="S96" s="2"/>
      <c r="T96" s="2"/>
      <c r="U96" s="2"/>
      <c r="V96" s="2"/>
      <c r="W96" s="2"/>
      <c r="X96" s="2"/>
      <c r="Y96" s="2"/>
      <c r="Z96" s="2"/>
    </row>
    <row r="97" ht="15" customHeight="1" spans="1:26">
      <c r="A97" s="13" t="s">
        <v>426</v>
      </c>
      <c r="B97" s="13" t="s">
        <v>8331</v>
      </c>
      <c r="C97" s="13" t="s">
        <v>428</v>
      </c>
      <c r="D97" s="65">
        <v>13</v>
      </c>
      <c r="E97" s="13" t="s">
        <v>262</v>
      </c>
      <c r="F97" s="13"/>
      <c r="G97" s="13" t="s">
        <v>8332</v>
      </c>
      <c r="H97" s="2"/>
      <c r="I97" s="2"/>
      <c r="J97" s="2"/>
      <c r="K97" s="2"/>
      <c r="L97" s="2"/>
      <c r="M97" s="2"/>
      <c r="N97" s="2"/>
      <c r="O97" s="2"/>
      <c r="P97" s="2"/>
      <c r="Q97" s="2"/>
      <c r="R97" s="2"/>
      <c r="S97" s="2"/>
      <c r="T97" s="2"/>
      <c r="U97" s="2"/>
      <c r="V97" s="2"/>
      <c r="W97" s="2"/>
      <c r="X97" s="2"/>
      <c r="Y97" s="2"/>
      <c r="Z97" s="2"/>
    </row>
    <row r="98" ht="15" customHeight="1" spans="1:26">
      <c r="A98" s="13" t="s">
        <v>431</v>
      </c>
      <c r="B98" s="13" t="s">
        <v>8333</v>
      </c>
      <c r="C98" s="13" t="s">
        <v>428</v>
      </c>
      <c r="D98" s="65">
        <v>879</v>
      </c>
      <c r="E98" s="13" t="s">
        <v>21</v>
      </c>
      <c r="F98" s="13"/>
      <c r="G98" s="13" t="s">
        <v>8334</v>
      </c>
      <c r="H98" s="2"/>
      <c r="I98" s="2"/>
      <c r="J98" s="2"/>
      <c r="K98" s="2"/>
      <c r="L98" s="2"/>
      <c r="M98" s="2"/>
      <c r="N98" s="2"/>
      <c r="O98" s="2"/>
      <c r="P98" s="2"/>
      <c r="Q98" s="2"/>
      <c r="R98" s="2"/>
      <c r="S98" s="2"/>
      <c r="T98" s="2"/>
      <c r="U98" s="2"/>
      <c r="V98" s="2"/>
      <c r="W98" s="2"/>
      <c r="X98" s="2"/>
      <c r="Y98" s="2"/>
      <c r="Z98" s="2"/>
    </row>
    <row r="99" ht="15" customHeight="1" spans="1:26">
      <c r="A99" s="13" t="s">
        <v>435</v>
      </c>
      <c r="B99" s="13" t="s">
        <v>8335</v>
      </c>
      <c r="C99" s="13" t="s">
        <v>428</v>
      </c>
      <c r="D99" s="14">
        <v>1000</v>
      </c>
      <c r="E99" s="13" t="s">
        <v>21</v>
      </c>
      <c r="F99" s="13"/>
      <c r="G99" s="13" t="s">
        <v>8336</v>
      </c>
      <c r="H99" s="2"/>
      <c r="I99" s="2"/>
      <c r="J99" s="2"/>
      <c r="K99" s="2"/>
      <c r="L99" s="2"/>
      <c r="M99" s="2"/>
      <c r="N99" s="2"/>
      <c r="O99" s="2"/>
      <c r="P99" s="2"/>
      <c r="Q99" s="2"/>
      <c r="R99" s="2"/>
      <c r="S99" s="2"/>
      <c r="T99" s="2"/>
      <c r="U99" s="2"/>
      <c r="V99" s="2"/>
      <c r="W99" s="2"/>
      <c r="X99" s="2"/>
      <c r="Y99" s="2"/>
      <c r="Z99" s="2"/>
    </row>
    <row r="100" ht="15" customHeight="1" spans="1:26">
      <c r="A100" s="64" t="s">
        <v>439</v>
      </c>
      <c r="B100" s="13" t="s">
        <v>8337</v>
      </c>
      <c r="C100" s="13" t="s">
        <v>315</v>
      </c>
      <c r="D100" s="65">
        <v>15</v>
      </c>
      <c r="E100" s="13" t="s">
        <v>37</v>
      </c>
      <c r="F100" s="13"/>
      <c r="G100" s="13" t="s">
        <v>8338</v>
      </c>
      <c r="H100" s="2"/>
      <c r="I100" s="2"/>
      <c r="J100" s="2"/>
      <c r="K100" s="2"/>
      <c r="L100" s="2"/>
      <c r="M100" s="2"/>
      <c r="N100" s="2"/>
      <c r="O100" s="2"/>
      <c r="P100" s="2"/>
      <c r="Q100" s="2"/>
      <c r="R100" s="2"/>
      <c r="S100" s="2"/>
      <c r="T100" s="2"/>
      <c r="U100" s="2"/>
      <c r="V100" s="2"/>
      <c r="W100" s="2"/>
      <c r="X100" s="2"/>
      <c r="Y100" s="2"/>
      <c r="Z100" s="2"/>
    </row>
    <row r="101" ht="15" customHeight="1" spans="1:26">
      <c r="A101" s="13" t="s">
        <v>443</v>
      </c>
      <c r="B101" s="13" t="s">
        <v>8339</v>
      </c>
      <c r="C101" s="13" t="s">
        <v>445</v>
      </c>
      <c r="D101" s="14">
        <v>188</v>
      </c>
      <c r="E101" s="13" t="s">
        <v>310</v>
      </c>
      <c r="F101" s="13"/>
      <c r="G101" s="13" t="s">
        <v>8340</v>
      </c>
      <c r="H101" s="2"/>
      <c r="I101" s="2"/>
      <c r="J101" s="2"/>
      <c r="K101" s="2"/>
      <c r="L101" s="2"/>
      <c r="M101" s="2"/>
      <c r="N101" s="2"/>
      <c r="O101" s="2"/>
      <c r="P101" s="2"/>
      <c r="Q101" s="2"/>
      <c r="R101" s="2"/>
      <c r="S101" s="2"/>
      <c r="T101" s="2"/>
      <c r="U101" s="2"/>
      <c r="V101" s="2"/>
      <c r="W101" s="2"/>
      <c r="X101" s="2"/>
      <c r="Y101" s="2"/>
      <c r="Z101" s="2"/>
    </row>
    <row r="102" ht="15" customHeight="1" spans="1:26">
      <c r="A102" s="13" t="s">
        <v>448</v>
      </c>
      <c r="B102" s="13" t="s">
        <v>8341</v>
      </c>
      <c r="C102" s="13" t="s">
        <v>450</v>
      </c>
      <c r="D102" s="65">
        <v>95</v>
      </c>
      <c r="E102" s="13" t="s">
        <v>310</v>
      </c>
      <c r="F102" s="13"/>
      <c r="G102" s="13" t="s">
        <v>8342</v>
      </c>
      <c r="H102" s="2"/>
      <c r="I102" s="2"/>
      <c r="J102" s="2"/>
      <c r="K102" s="2"/>
      <c r="L102" s="2"/>
      <c r="M102" s="2"/>
      <c r="N102" s="2"/>
      <c r="O102" s="2"/>
      <c r="P102" s="2"/>
      <c r="Q102" s="2"/>
      <c r="R102" s="2"/>
      <c r="S102" s="2"/>
      <c r="T102" s="2"/>
      <c r="U102" s="2"/>
      <c r="V102" s="2"/>
      <c r="W102" s="2"/>
      <c r="X102" s="2"/>
      <c r="Y102" s="2"/>
      <c r="Z102" s="2"/>
    </row>
    <row r="103" ht="15" customHeight="1" spans="1:26">
      <c r="A103" s="13" t="s">
        <v>452</v>
      </c>
      <c r="B103" s="13" t="s">
        <v>8343</v>
      </c>
      <c r="C103" s="13" t="s">
        <v>450</v>
      </c>
      <c r="D103" s="65">
        <v>89</v>
      </c>
      <c r="E103" s="13" t="s">
        <v>310</v>
      </c>
      <c r="F103" s="13"/>
      <c r="G103" s="13" t="s">
        <v>8344</v>
      </c>
      <c r="H103" s="2"/>
      <c r="I103" s="2"/>
      <c r="J103" s="2"/>
      <c r="K103" s="2"/>
      <c r="L103" s="2"/>
      <c r="M103" s="2"/>
      <c r="N103" s="2"/>
      <c r="O103" s="2"/>
      <c r="P103" s="2"/>
      <c r="Q103" s="2"/>
      <c r="R103" s="2"/>
      <c r="S103" s="2"/>
      <c r="T103" s="2"/>
      <c r="U103" s="2"/>
      <c r="V103" s="2"/>
      <c r="W103" s="2"/>
      <c r="X103" s="2"/>
      <c r="Y103" s="2"/>
      <c r="Z103" s="2"/>
    </row>
    <row r="104" ht="15" customHeight="1" spans="1:26">
      <c r="A104" s="13" t="s">
        <v>455</v>
      </c>
      <c r="B104" s="13" t="s">
        <v>8345</v>
      </c>
      <c r="C104" s="13" t="s">
        <v>457</v>
      </c>
      <c r="D104" s="14">
        <v>400</v>
      </c>
      <c r="E104" s="13" t="s">
        <v>21</v>
      </c>
      <c r="F104" s="13"/>
      <c r="G104" s="13" t="s">
        <v>8346</v>
      </c>
      <c r="H104" s="2"/>
      <c r="I104" s="2"/>
      <c r="J104" s="2"/>
      <c r="K104" s="2"/>
      <c r="L104" s="2"/>
      <c r="M104" s="2"/>
      <c r="N104" s="2"/>
      <c r="O104" s="2"/>
      <c r="P104" s="2"/>
      <c r="Q104" s="2"/>
      <c r="R104" s="2"/>
      <c r="S104" s="2"/>
      <c r="T104" s="2"/>
      <c r="U104" s="2"/>
      <c r="V104" s="2"/>
      <c r="W104" s="2"/>
      <c r="X104" s="2"/>
      <c r="Y104" s="2"/>
      <c r="Z104" s="2"/>
    </row>
    <row r="105" ht="15" customHeight="1" spans="1:26">
      <c r="A105" s="13" t="s">
        <v>460</v>
      </c>
      <c r="B105" s="13" t="s">
        <v>8347</v>
      </c>
      <c r="C105" s="13" t="s">
        <v>462</v>
      </c>
      <c r="D105" s="14">
        <v>8</v>
      </c>
      <c r="E105" s="13" t="s">
        <v>37</v>
      </c>
      <c r="F105" s="13"/>
      <c r="G105" s="13" t="s">
        <v>8348</v>
      </c>
      <c r="H105" s="2"/>
      <c r="I105" s="2"/>
      <c r="J105" s="2"/>
      <c r="K105" s="2"/>
      <c r="L105" s="2"/>
      <c r="M105" s="2"/>
      <c r="N105" s="2"/>
      <c r="O105" s="2"/>
      <c r="P105" s="2"/>
      <c r="Q105" s="2"/>
      <c r="R105" s="2"/>
      <c r="S105" s="2"/>
      <c r="T105" s="2"/>
      <c r="U105" s="2"/>
      <c r="V105" s="2"/>
      <c r="W105" s="2"/>
      <c r="X105" s="2"/>
      <c r="Y105" s="2"/>
      <c r="Z105" s="2"/>
    </row>
    <row r="106" ht="15" customHeight="1" spans="1:26">
      <c r="A106" s="64" t="s">
        <v>465</v>
      </c>
      <c r="B106" s="13" t="s">
        <v>466</v>
      </c>
      <c r="C106" s="13" t="s">
        <v>315</v>
      </c>
      <c r="D106" s="65">
        <v>30</v>
      </c>
      <c r="E106" s="13" t="s">
        <v>21</v>
      </c>
      <c r="F106" s="13" t="s">
        <v>467</v>
      </c>
      <c r="G106" s="13" t="s">
        <v>8349</v>
      </c>
      <c r="H106" s="2"/>
      <c r="I106" s="2"/>
      <c r="J106" s="2"/>
      <c r="K106" s="2"/>
      <c r="L106" s="2"/>
      <c r="M106" s="2"/>
      <c r="N106" s="2"/>
      <c r="O106" s="2"/>
      <c r="P106" s="2"/>
      <c r="Q106" s="2"/>
      <c r="R106" s="2"/>
      <c r="S106" s="2"/>
      <c r="T106" s="2"/>
      <c r="U106" s="2"/>
      <c r="V106" s="2"/>
      <c r="W106" s="2"/>
      <c r="X106" s="2"/>
      <c r="Y106" s="2"/>
      <c r="Z106" s="2"/>
    </row>
    <row r="107" ht="15" customHeight="1" spans="1:26">
      <c r="A107" s="13" t="s">
        <v>469</v>
      </c>
      <c r="B107" s="13" t="s">
        <v>8350</v>
      </c>
      <c r="C107" s="13" t="s">
        <v>471</v>
      </c>
      <c r="D107" s="14">
        <v>43</v>
      </c>
      <c r="E107" s="13" t="s">
        <v>310</v>
      </c>
      <c r="F107" s="13" t="s">
        <v>8351</v>
      </c>
      <c r="G107" s="75" t="s">
        <v>8352</v>
      </c>
      <c r="H107" s="2"/>
      <c r="I107" s="2"/>
      <c r="J107" s="2"/>
      <c r="K107" s="2"/>
      <c r="L107" s="2"/>
      <c r="M107" s="2"/>
      <c r="N107" s="2"/>
      <c r="O107" s="2"/>
      <c r="P107" s="2"/>
      <c r="Q107" s="2"/>
      <c r="R107" s="2"/>
      <c r="S107" s="2"/>
      <c r="T107" s="2"/>
      <c r="U107" s="2"/>
      <c r="V107" s="2"/>
      <c r="W107" s="2"/>
      <c r="X107" s="2"/>
      <c r="Y107" s="2"/>
      <c r="Z107" s="2"/>
    </row>
    <row r="108" ht="15" customHeight="1" spans="1:26">
      <c r="A108" s="13" t="s">
        <v>474</v>
      </c>
      <c r="B108" s="13" t="s">
        <v>8353</v>
      </c>
      <c r="C108" s="13" t="s">
        <v>476</v>
      </c>
      <c r="D108" s="65">
        <v>123</v>
      </c>
      <c r="E108" s="13" t="s">
        <v>310</v>
      </c>
      <c r="F108" s="13"/>
      <c r="G108" s="13" t="s">
        <v>8354</v>
      </c>
      <c r="H108" s="2"/>
      <c r="I108" s="2"/>
      <c r="J108" s="2"/>
      <c r="K108" s="2"/>
      <c r="L108" s="2"/>
      <c r="M108" s="2"/>
      <c r="N108" s="2"/>
      <c r="O108" s="2"/>
      <c r="P108" s="2"/>
      <c r="Q108" s="2"/>
      <c r="R108" s="2"/>
      <c r="S108" s="2"/>
      <c r="T108" s="2"/>
      <c r="U108" s="2"/>
      <c r="V108" s="2"/>
      <c r="W108" s="2"/>
      <c r="X108" s="2"/>
      <c r="Y108" s="2"/>
      <c r="Z108" s="2"/>
    </row>
    <row r="109" ht="15" customHeight="1" spans="1:26">
      <c r="A109" s="13" t="s">
        <v>479</v>
      </c>
      <c r="B109" s="13" t="s">
        <v>8355</v>
      </c>
      <c r="C109" s="13" t="s">
        <v>476</v>
      </c>
      <c r="D109" s="65">
        <v>76</v>
      </c>
      <c r="E109" s="13" t="s">
        <v>310</v>
      </c>
      <c r="F109" s="13"/>
      <c r="G109" s="13" t="s">
        <v>8356</v>
      </c>
      <c r="H109" s="2"/>
      <c r="I109" s="2"/>
      <c r="J109" s="2"/>
      <c r="K109" s="2"/>
      <c r="L109" s="2"/>
      <c r="M109" s="2"/>
      <c r="N109" s="2"/>
      <c r="O109" s="2"/>
      <c r="P109" s="2"/>
      <c r="Q109" s="2"/>
      <c r="R109" s="2"/>
      <c r="S109" s="2"/>
      <c r="T109" s="2"/>
      <c r="U109" s="2"/>
      <c r="V109" s="2"/>
      <c r="W109" s="2"/>
      <c r="X109" s="2"/>
      <c r="Y109" s="2"/>
      <c r="Z109" s="2"/>
    </row>
    <row r="110" ht="15" customHeight="1" spans="1:26">
      <c r="A110" s="64" t="s">
        <v>483</v>
      </c>
      <c r="B110" s="13" t="s">
        <v>8357</v>
      </c>
      <c r="C110" s="13" t="s">
        <v>485</v>
      </c>
      <c r="D110" s="65">
        <v>77</v>
      </c>
      <c r="E110" s="13" t="s">
        <v>37</v>
      </c>
      <c r="F110" s="13"/>
      <c r="G110" s="13" t="s">
        <v>8358</v>
      </c>
      <c r="H110" s="2"/>
      <c r="I110" s="2"/>
      <c r="J110" s="2"/>
      <c r="K110" s="2"/>
      <c r="L110" s="2"/>
      <c r="M110" s="2"/>
      <c r="N110" s="2"/>
      <c r="O110" s="2"/>
      <c r="P110" s="2"/>
      <c r="Q110" s="2"/>
      <c r="R110" s="2"/>
      <c r="S110" s="2"/>
      <c r="T110" s="2"/>
      <c r="U110" s="2"/>
      <c r="V110" s="2"/>
      <c r="W110" s="2"/>
      <c r="X110" s="2"/>
      <c r="Y110" s="2"/>
      <c r="Z110" s="2"/>
    </row>
    <row r="111" ht="15" customHeight="1" spans="1:26">
      <c r="A111" s="13" t="s">
        <v>488</v>
      </c>
      <c r="B111" s="13" t="s">
        <v>8359</v>
      </c>
      <c r="C111" s="13" t="s">
        <v>490</v>
      </c>
      <c r="D111" s="14">
        <v>50</v>
      </c>
      <c r="E111" s="13" t="s">
        <v>37</v>
      </c>
      <c r="F111" s="13"/>
      <c r="G111" s="13" t="s">
        <v>8360</v>
      </c>
      <c r="H111" s="2"/>
      <c r="I111" s="2"/>
      <c r="J111" s="2"/>
      <c r="K111" s="2"/>
      <c r="L111" s="2"/>
      <c r="M111" s="2"/>
      <c r="N111" s="2"/>
      <c r="O111" s="2"/>
      <c r="P111" s="2"/>
      <c r="Q111" s="2"/>
      <c r="R111" s="2"/>
      <c r="S111" s="2"/>
      <c r="T111" s="2"/>
      <c r="U111" s="2"/>
      <c r="V111" s="2"/>
      <c r="W111" s="2"/>
      <c r="X111" s="2"/>
      <c r="Y111" s="2"/>
      <c r="Z111" s="2"/>
    </row>
    <row r="112" ht="15" customHeight="1" spans="1:26">
      <c r="A112" s="13" t="s">
        <v>493</v>
      </c>
      <c r="B112" s="13" t="s">
        <v>8361</v>
      </c>
      <c r="C112" s="13" t="s">
        <v>495</v>
      </c>
      <c r="D112" s="57"/>
      <c r="E112" s="57"/>
      <c r="F112" s="13"/>
      <c r="G112" s="13" t="s">
        <v>8362</v>
      </c>
      <c r="H112" s="2"/>
      <c r="I112" s="2"/>
      <c r="J112" s="2"/>
      <c r="K112" s="2"/>
      <c r="L112" s="2"/>
      <c r="M112" s="2"/>
      <c r="N112" s="2"/>
      <c r="O112" s="2"/>
      <c r="P112" s="2"/>
      <c r="Q112" s="2"/>
      <c r="R112" s="2"/>
      <c r="S112" s="2"/>
      <c r="T112" s="2"/>
      <c r="U112" s="2"/>
      <c r="V112" s="2"/>
      <c r="W112" s="2"/>
      <c r="X112" s="2"/>
      <c r="Y112" s="2"/>
      <c r="Z112" s="2"/>
    </row>
    <row r="113" ht="15" customHeight="1" spans="1:26">
      <c r="A113" s="13" t="s">
        <v>498</v>
      </c>
      <c r="B113" s="13" t="s">
        <v>8363</v>
      </c>
      <c r="C113" s="13" t="s">
        <v>500</v>
      </c>
      <c r="D113" s="57"/>
      <c r="E113" s="57"/>
      <c r="F113" s="13"/>
      <c r="G113" s="13" t="s">
        <v>8364</v>
      </c>
      <c r="H113" s="2"/>
      <c r="I113" s="2"/>
      <c r="J113" s="2"/>
      <c r="K113" s="2"/>
      <c r="L113" s="2"/>
      <c r="M113" s="2"/>
      <c r="N113" s="2"/>
      <c r="O113" s="2"/>
      <c r="P113" s="2"/>
      <c r="Q113" s="2"/>
      <c r="R113" s="2"/>
      <c r="S113" s="2"/>
      <c r="T113" s="2"/>
      <c r="U113" s="2"/>
      <c r="V113" s="2"/>
      <c r="W113" s="2"/>
      <c r="X113" s="2"/>
      <c r="Y113" s="2"/>
      <c r="Z113" s="2"/>
    </row>
    <row r="114" ht="15" customHeight="1" spans="1:26">
      <c r="A114" s="64" t="s">
        <v>503</v>
      </c>
      <c r="B114" s="13" t="s">
        <v>8365</v>
      </c>
      <c r="C114" s="13" t="s">
        <v>505</v>
      </c>
      <c r="D114" s="65">
        <v>38</v>
      </c>
      <c r="E114" s="13" t="s">
        <v>37</v>
      </c>
      <c r="F114" s="13"/>
      <c r="G114" s="13" t="s">
        <v>8366</v>
      </c>
      <c r="H114" s="2"/>
      <c r="I114" s="2"/>
      <c r="J114" s="2"/>
      <c r="K114" s="2"/>
      <c r="L114" s="2"/>
      <c r="M114" s="2"/>
      <c r="N114" s="2"/>
      <c r="O114" s="2"/>
      <c r="P114" s="2"/>
      <c r="Q114" s="2"/>
      <c r="R114" s="2"/>
      <c r="S114" s="2"/>
      <c r="T114" s="2"/>
      <c r="U114" s="2"/>
      <c r="V114" s="2"/>
      <c r="W114" s="2"/>
      <c r="X114" s="2"/>
      <c r="Y114" s="2"/>
      <c r="Z114" s="2"/>
    </row>
    <row r="115" ht="15" customHeight="1" spans="1:26">
      <c r="A115" s="13" t="s">
        <v>508</v>
      </c>
      <c r="B115" s="13" t="s">
        <v>8367</v>
      </c>
      <c r="C115" s="13" t="s">
        <v>510</v>
      </c>
      <c r="D115" s="14">
        <v>40</v>
      </c>
      <c r="E115" s="13" t="s">
        <v>37</v>
      </c>
      <c r="F115" s="13"/>
      <c r="G115" s="13" t="s">
        <v>8368</v>
      </c>
      <c r="H115" s="2"/>
      <c r="I115" s="2"/>
      <c r="J115" s="2"/>
      <c r="K115" s="2"/>
      <c r="L115" s="2"/>
      <c r="M115" s="2"/>
      <c r="N115" s="2"/>
      <c r="O115" s="2"/>
      <c r="P115" s="2"/>
      <c r="Q115" s="2"/>
      <c r="R115" s="2"/>
      <c r="S115" s="2"/>
      <c r="T115" s="2"/>
      <c r="U115" s="2"/>
      <c r="V115" s="2"/>
      <c r="W115" s="2"/>
      <c r="X115" s="2"/>
      <c r="Y115" s="2"/>
      <c r="Z115" s="2"/>
    </row>
    <row r="116" ht="15" customHeight="1" spans="1:26">
      <c r="A116" s="13" t="s">
        <v>513</v>
      </c>
      <c r="B116" s="13" t="s">
        <v>8369</v>
      </c>
      <c r="C116" s="13" t="s">
        <v>515</v>
      </c>
      <c r="D116" s="14">
        <v>40</v>
      </c>
      <c r="E116" s="13" t="s">
        <v>37</v>
      </c>
      <c r="F116" s="13"/>
      <c r="G116" s="13" t="s">
        <v>8370</v>
      </c>
      <c r="H116" s="2"/>
      <c r="I116" s="2"/>
      <c r="J116" s="2"/>
      <c r="K116" s="2"/>
      <c r="L116" s="2"/>
      <c r="M116" s="2"/>
      <c r="N116" s="2"/>
      <c r="O116" s="2"/>
      <c r="P116" s="2"/>
      <c r="Q116" s="2"/>
      <c r="R116" s="2"/>
      <c r="S116" s="2"/>
      <c r="T116" s="2"/>
      <c r="U116" s="2"/>
      <c r="V116" s="2"/>
      <c r="W116" s="2"/>
      <c r="X116" s="2"/>
      <c r="Y116" s="2"/>
      <c r="Z116" s="2"/>
    </row>
    <row r="117" ht="15" customHeight="1" spans="1:26">
      <c r="A117" s="13" t="s">
        <v>518</v>
      </c>
      <c r="B117" s="13" t="s">
        <v>8371</v>
      </c>
      <c r="C117" s="13" t="s">
        <v>519</v>
      </c>
      <c r="D117" s="14">
        <v>45</v>
      </c>
      <c r="E117" s="13" t="s">
        <v>37</v>
      </c>
      <c r="F117" s="13" t="s">
        <v>8372</v>
      </c>
      <c r="G117" s="13" t="s">
        <v>8373</v>
      </c>
      <c r="H117" s="2"/>
      <c r="I117" s="2"/>
      <c r="J117" s="2"/>
      <c r="K117" s="2"/>
      <c r="L117" s="2"/>
      <c r="M117" s="2"/>
      <c r="N117" s="2"/>
      <c r="O117" s="2"/>
      <c r="P117" s="2"/>
      <c r="Q117" s="2"/>
      <c r="R117" s="2"/>
      <c r="S117" s="2"/>
      <c r="T117" s="2"/>
      <c r="U117" s="2"/>
      <c r="V117" s="2"/>
      <c r="W117" s="2"/>
      <c r="X117" s="2"/>
      <c r="Y117" s="2"/>
      <c r="Z117" s="2"/>
    </row>
    <row r="118" ht="15" customHeight="1" spans="1:26">
      <c r="A118" s="13" t="s">
        <v>520</v>
      </c>
      <c r="B118" s="13" t="s">
        <v>8374</v>
      </c>
      <c r="C118" s="13" t="s">
        <v>515</v>
      </c>
      <c r="D118" s="14">
        <v>50</v>
      </c>
      <c r="E118" s="13" t="s">
        <v>37</v>
      </c>
      <c r="F118" s="13" t="s">
        <v>8375</v>
      </c>
      <c r="G118" s="13" t="s">
        <v>8376</v>
      </c>
      <c r="H118" s="2"/>
      <c r="I118" s="2"/>
      <c r="J118" s="2"/>
      <c r="K118" s="2"/>
      <c r="L118" s="2"/>
      <c r="M118" s="2"/>
      <c r="N118" s="2"/>
      <c r="O118" s="2"/>
      <c r="P118" s="2"/>
      <c r="Q118" s="2"/>
      <c r="R118" s="2"/>
      <c r="S118" s="2"/>
      <c r="T118" s="2"/>
      <c r="U118" s="2"/>
      <c r="V118" s="2"/>
      <c r="W118" s="2"/>
      <c r="X118" s="2"/>
      <c r="Y118" s="2"/>
      <c r="Z118" s="2"/>
    </row>
    <row r="119" ht="15" customHeight="1" spans="1:26">
      <c r="A119" s="64" t="s">
        <v>522</v>
      </c>
      <c r="B119" s="13" t="s">
        <v>8377</v>
      </c>
      <c r="C119" s="13" t="s">
        <v>524</v>
      </c>
      <c r="D119" s="65">
        <v>90</v>
      </c>
      <c r="E119" s="13" t="s">
        <v>21</v>
      </c>
      <c r="F119" s="13" t="s">
        <v>8378</v>
      </c>
      <c r="G119" s="74" t="s">
        <v>8379</v>
      </c>
      <c r="H119" s="2"/>
      <c r="I119" s="2"/>
      <c r="J119" s="2"/>
      <c r="K119" s="2"/>
      <c r="L119" s="2"/>
      <c r="M119" s="2"/>
      <c r="N119" s="2"/>
      <c r="O119" s="2"/>
      <c r="P119" s="2"/>
      <c r="Q119" s="2"/>
      <c r="R119" s="2"/>
      <c r="S119" s="2"/>
      <c r="T119" s="2"/>
      <c r="U119" s="2"/>
      <c r="V119" s="2"/>
      <c r="W119" s="2"/>
      <c r="X119" s="2"/>
      <c r="Y119" s="2"/>
      <c r="Z119" s="2"/>
    </row>
    <row r="120" ht="15" customHeight="1" spans="1:26">
      <c r="A120" s="13" t="s">
        <v>527</v>
      </c>
      <c r="B120" s="13" t="s">
        <v>528</v>
      </c>
      <c r="C120" s="13" t="s">
        <v>529</v>
      </c>
      <c r="D120" s="72"/>
      <c r="E120" s="57"/>
      <c r="F120" s="13" t="s">
        <v>530</v>
      </c>
      <c r="G120" s="13" t="s">
        <v>531</v>
      </c>
      <c r="H120" s="2"/>
      <c r="I120" s="2"/>
      <c r="J120" s="2"/>
      <c r="K120" s="2"/>
      <c r="L120" s="2"/>
      <c r="M120" s="2"/>
      <c r="N120" s="2"/>
      <c r="O120" s="2"/>
      <c r="P120" s="2"/>
      <c r="Q120" s="2"/>
      <c r="R120" s="2"/>
      <c r="S120" s="2"/>
      <c r="T120" s="2"/>
      <c r="U120" s="2"/>
      <c r="V120" s="2"/>
      <c r="W120" s="2"/>
      <c r="X120" s="2"/>
      <c r="Y120" s="2"/>
      <c r="Z120" s="2"/>
    </row>
    <row r="121" ht="15" customHeight="1" spans="1:26">
      <c r="A121" s="13" t="s">
        <v>532</v>
      </c>
      <c r="B121" s="13" t="s">
        <v>8380</v>
      </c>
      <c r="C121" s="13" t="s">
        <v>534</v>
      </c>
      <c r="D121" s="14">
        <v>120</v>
      </c>
      <c r="E121" s="13" t="s">
        <v>37</v>
      </c>
      <c r="F121" s="13" t="s">
        <v>8381</v>
      </c>
      <c r="G121" s="13" t="s">
        <v>8382</v>
      </c>
      <c r="H121" s="2"/>
      <c r="I121" s="2"/>
      <c r="J121" s="2"/>
      <c r="K121" s="2"/>
      <c r="L121" s="2"/>
      <c r="M121" s="2"/>
      <c r="N121" s="2"/>
      <c r="O121" s="2"/>
      <c r="P121" s="2"/>
      <c r="Q121" s="2"/>
      <c r="R121" s="2"/>
      <c r="S121" s="2"/>
      <c r="T121" s="2"/>
      <c r="U121" s="2"/>
      <c r="V121" s="2"/>
      <c r="W121" s="2"/>
      <c r="X121" s="2"/>
      <c r="Y121" s="2"/>
      <c r="Z121" s="2"/>
    </row>
    <row r="122" ht="15" customHeight="1" spans="1:26">
      <c r="A122" s="64" t="s">
        <v>537</v>
      </c>
      <c r="B122" s="13" t="s">
        <v>8383</v>
      </c>
      <c r="C122" s="13" t="s">
        <v>539</v>
      </c>
      <c r="D122" s="65">
        <v>60</v>
      </c>
      <c r="E122" s="13" t="s">
        <v>37</v>
      </c>
      <c r="F122" s="13" t="s">
        <v>8384</v>
      </c>
      <c r="G122" s="13" t="s">
        <v>8385</v>
      </c>
      <c r="H122" s="2"/>
      <c r="I122" s="2"/>
      <c r="J122" s="2"/>
      <c r="K122" s="2"/>
      <c r="L122" s="2"/>
      <c r="M122" s="2"/>
      <c r="N122" s="2"/>
      <c r="O122" s="2"/>
      <c r="P122" s="2"/>
      <c r="Q122" s="2"/>
      <c r="R122" s="2"/>
      <c r="S122" s="2"/>
      <c r="T122" s="2"/>
      <c r="U122" s="2"/>
      <c r="V122" s="2"/>
      <c r="W122" s="2"/>
      <c r="X122" s="2"/>
      <c r="Y122" s="2"/>
      <c r="Z122" s="2"/>
    </row>
    <row r="123" ht="15" customHeight="1" spans="1:26">
      <c r="A123" s="64" t="s">
        <v>542</v>
      </c>
      <c r="B123" s="13" t="s">
        <v>8386</v>
      </c>
      <c r="C123" s="13" t="s">
        <v>539</v>
      </c>
      <c r="D123" s="65">
        <v>50</v>
      </c>
      <c r="E123" s="13" t="s">
        <v>37</v>
      </c>
      <c r="F123" s="13"/>
      <c r="G123" s="13" t="s">
        <v>8387</v>
      </c>
      <c r="H123" s="2"/>
      <c r="I123" s="2"/>
      <c r="J123" s="2"/>
      <c r="K123" s="2"/>
      <c r="L123" s="2"/>
      <c r="M123" s="2"/>
      <c r="N123" s="2"/>
      <c r="O123" s="2"/>
      <c r="P123" s="2"/>
      <c r="Q123" s="2"/>
      <c r="R123" s="2"/>
      <c r="S123" s="2"/>
      <c r="T123" s="2"/>
      <c r="U123" s="2"/>
      <c r="V123" s="2"/>
      <c r="W123" s="2"/>
      <c r="X123" s="2"/>
      <c r="Y123" s="2"/>
      <c r="Z123" s="2"/>
    </row>
    <row r="124" ht="15" customHeight="1" spans="1:26">
      <c r="A124" s="13" t="s">
        <v>546</v>
      </c>
      <c r="B124" s="13" t="s">
        <v>8388</v>
      </c>
      <c r="C124" s="13" t="s">
        <v>548</v>
      </c>
      <c r="D124" s="14">
        <v>100</v>
      </c>
      <c r="E124" s="13" t="s">
        <v>37</v>
      </c>
      <c r="F124" s="13" t="s">
        <v>8389</v>
      </c>
      <c r="G124" s="13" t="s">
        <v>8390</v>
      </c>
      <c r="H124" s="2"/>
      <c r="I124" s="2"/>
      <c r="J124" s="2"/>
      <c r="K124" s="2"/>
      <c r="L124" s="2"/>
      <c r="M124" s="2"/>
      <c r="N124" s="2"/>
      <c r="O124" s="2"/>
      <c r="P124" s="2"/>
      <c r="Q124" s="2"/>
      <c r="R124" s="2"/>
      <c r="S124" s="2"/>
      <c r="T124" s="2"/>
      <c r="U124" s="2"/>
      <c r="V124" s="2"/>
      <c r="W124" s="2"/>
      <c r="X124" s="2"/>
      <c r="Y124" s="2"/>
      <c r="Z124" s="2"/>
    </row>
    <row r="125" ht="15" customHeight="1" spans="1:26">
      <c r="A125" s="64" t="s">
        <v>551</v>
      </c>
      <c r="B125" s="13" t="s">
        <v>8391</v>
      </c>
      <c r="C125" s="13" t="s">
        <v>553</v>
      </c>
      <c r="D125" s="65">
        <v>30</v>
      </c>
      <c r="E125" s="13" t="s">
        <v>37</v>
      </c>
      <c r="F125" s="68"/>
      <c r="G125" s="13" t="s">
        <v>8392</v>
      </c>
      <c r="H125" s="2"/>
      <c r="I125" s="2"/>
      <c r="J125" s="2"/>
      <c r="K125" s="2"/>
      <c r="L125" s="2"/>
      <c r="M125" s="2"/>
      <c r="N125" s="2"/>
      <c r="O125" s="2"/>
      <c r="P125" s="2"/>
      <c r="Q125" s="2"/>
      <c r="R125" s="2"/>
      <c r="S125" s="2"/>
      <c r="T125" s="2"/>
      <c r="U125" s="2"/>
      <c r="V125" s="2"/>
      <c r="W125" s="2"/>
      <c r="X125" s="2"/>
      <c r="Y125" s="2"/>
      <c r="Z125" s="2"/>
    </row>
    <row r="126" ht="15" customHeight="1" spans="1:26">
      <c r="A126" s="13" t="s">
        <v>556</v>
      </c>
      <c r="B126" s="13" t="s">
        <v>8391</v>
      </c>
      <c r="C126" s="13" t="s">
        <v>557</v>
      </c>
      <c r="D126" s="14">
        <v>30</v>
      </c>
      <c r="E126" s="13" t="s">
        <v>37</v>
      </c>
      <c r="F126" s="13"/>
      <c r="G126" s="13" t="s">
        <v>8392</v>
      </c>
      <c r="H126" s="2"/>
      <c r="I126" s="2"/>
      <c r="J126" s="2"/>
      <c r="K126" s="2"/>
      <c r="L126" s="2"/>
      <c r="M126" s="2"/>
      <c r="N126" s="2"/>
      <c r="O126" s="2"/>
      <c r="P126" s="2"/>
      <c r="Q126" s="2"/>
      <c r="R126" s="2"/>
      <c r="S126" s="2"/>
      <c r="T126" s="2"/>
      <c r="U126" s="2"/>
      <c r="V126" s="2"/>
      <c r="W126" s="2"/>
      <c r="X126" s="2"/>
      <c r="Y126" s="2"/>
      <c r="Z126" s="2"/>
    </row>
    <row r="127" ht="15" customHeight="1" spans="1:26">
      <c r="A127" s="13" t="s">
        <v>558</v>
      </c>
      <c r="B127" s="13" t="s">
        <v>8383</v>
      </c>
      <c r="C127" s="13" t="s">
        <v>539</v>
      </c>
      <c r="D127" s="65">
        <v>60</v>
      </c>
      <c r="E127" s="13" t="s">
        <v>37</v>
      </c>
      <c r="F127" s="13" t="s">
        <v>8384</v>
      </c>
      <c r="G127" s="13" t="s">
        <v>8385</v>
      </c>
      <c r="H127" s="2"/>
      <c r="I127" s="2"/>
      <c r="J127" s="2"/>
      <c r="K127" s="2"/>
      <c r="L127" s="2"/>
      <c r="M127" s="2"/>
      <c r="N127" s="2"/>
      <c r="O127" s="2"/>
      <c r="P127" s="2"/>
      <c r="Q127" s="2"/>
      <c r="R127" s="2"/>
      <c r="S127" s="2"/>
      <c r="T127" s="2"/>
      <c r="U127" s="2"/>
      <c r="V127" s="2"/>
      <c r="W127" s="2"/>
      <c r="X127" s="2"/>
      <c r="Y127" s="2"/>
      <c r="Z127" s="2"/>
    </row>
    <row r="128" ht="15" customHeight="1" spans="1:26">
      <c r="A128" s="13" t="s">
        <v>563</v>
      </c>
      <c r="B128" s="13" t="s">
        <v>8393</v>
      </c>
      <c r="C128" s="13" t="s">
        <v>565</v>
      </c>
      <c r="D128" s="14">
        <v>80</v>
      </c>
      <c r="E128" s="13" t="s">
        <v>37</v>
      </c>
      <c r="F128" s="13"/>
      <c r="G128" s="13" t="s">
        <v>8394</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7975</v>
      </c>
      <c r="C129" s="10" t="s">
        <v>570</v>
      </c>
      <c r="D129" s="2"/>
      <c r="E129" s="2"/>
      <c r="F129" s="2" t="s">
        <v>8395</v>
      </c>
      <c r="G129" s="2" t="s">
        <v>8396</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2308</v>
      </c>
      <c r="C130" s="2" t="s">
        <v>570</v>
      </c>
      <c r="D130" s="2"/>
      <c r="E130" s="2"/>
      <c r="F130" s="2" t="s">
        <v>2309</v>
      </c>
      <c r="G130" s="2"/>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8397</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8398</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8399</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8400</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8401</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1209</v>
      </c>
      <c r="C136" s="11" t="s">
        <v>578</v>
      </c>
      <c r="D136" s="2"/>
      <c r="E136" s="2"/>
      <c r="F136" s="2" t="s">
        <v>589</v>
      </c>
      <c r="G136" s="2" t="s">
        <v>590</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8402</v>
      </c>
      <c r="C137" s="11" t="s">
        <v>578</v>
      </c>
      <c r="D137" s="2"/>
      <c r="E137" s="2"/>
      <c r="F137" s="2"/>
      <c r="G137" t="s">
        <v>8403</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8404</v>
      </c>
      <c r="C138" s="11" t="s">
        <v>578</v>
      </c>
      <c r="D138" s="2"/>
      <c r="E138" s="2"/>
      <c r="F138" s="2"/>
      <c r="G138" s="2" t="s">
        <v>8405</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8406</v>
      </c>
      <c r="C139" s="11" t="s">
        <v>578</v>
      </c>
      <c r="D139" s="2"/>
      <c r="E139" s="2"/>
      <c r="F139" s="2"/>
      <c r="G139" s="2" t="s">
        <v>8407</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8408</v>
      </c>
      <c r="C140" s="11" t="s">
        <v>578</v>
      </c>
      <c r="D140" s="2"/>
      <c r="E140" s="2"/>
      <c r="F140" s="2" t="s">
        <v>8409</v>
      </c>
      <c r="G140" s="2" t="s">
        <v>8410</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8411</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8412</v>
      </c>
      <c r="C145" s="11" t="s">
        <v>612</v>
      </c>
      <c r="D145" s="2"/>
      <c r="E145" s="2"/>
      <c r="F145" s="2"/>
      <c r="G145" s="2" t="s">
        <v>8413</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2" t="s">
        <v>8414</v>
      </c>
      <c r="C146" s="11" t="s">
        <v>612</v>
      </c>
      <c r="D146" s="2"/>
      <c r="E146" s="2"/>
      <c r="F146" s="2"/>
      <c r="G146" s="2" t="s">
        <v>8415</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8416</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8417</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8418</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8419</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8420</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8421</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8422</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8423</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ht="15" customHeight="1" spans="1:26">
      <c r="A157" s="13" t="s">
        <v>646</v>
      </c>
      <c r="B157" s="13" t="s">
        <v>8380</v>
      </c>
      <c r="C157" s="13" t="s">
        <v>648</v>
      </c>
      <c r="D157" s="14">
        <v>120</v>
      </c>
      <c r="E157" s="13" t="s">
        <v>37</v>
      </c>
      <c r="F157" s="13" t="s">
        <v>8381</v>
      </c>
      <c r="G157" s="13" t="s">
        <v>8424</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1960</v>
      </c>
      <c r="C158" s="11" t="s">
        <v>653</v>
      </c>
      <c r="D158" s="2"/>
      <c r="E158" s="2"/>
      <c r="F158" s="2" t="s">
        <v>8425</v>
      </c>
      <c r="G158" s="2" t="s">
        <v>8426</v>
      </c>
      <c r="H158" s="2"/>
      <c r="I158" s="2"/>
      <c r="J158" s="2"/>
      <c r="K158" s="2"/>
      <c r="L158" s="2"/>
      <c r="M158" s="2"/>
      <c r="N158" s="2"/>
      <c r="O158" s="2"/>
      <c r="P158" s="2"/>
      <c r="Q158" s="2"/>
      <c r="R158" s="2"/>
      <c r="S158" s="2"/>
      <c r="T158" s="2"/>
      <c r="U158" s="2"/>
      <c r="V158" s="2"/>
      <c r="W158" s="2"/>
      <c r="X158" s="2"/>
      <c r="Y158" s="2"/>
      <c r="Z158" s="2"/>
    </row>
    <row r="159" ht="13.5" customHeight="1" spans="1:26">
      <c r="A159" s="37" t="s">
        <v>656</v>
      </c>
      <c r="B159" s="2" t="s">
        <v>2342</v>
      </c>
      <c r="C159" s="37" t="s">
        <v>658</v>
      </c>
      <c r="D159" s="38"/>
      <c r="E159" s="39"/>
      <c r="F159" s="9" t="s">
        <v>659</v>
      </c>
      <c r="G159" s="9" t="s">
        <v>8427</v>
      </c>
      <c r="H159" s="40"/>
      <c r="I159" s="39"/>
      <c r="J159" s="39"/>
      <c r="K159" s="39"/>
      <c r="L159" s="39"/>
      <c r="M159" s="39"/>
      <c r="N159" s="39"/>
      <c r="O159" s="39"/>
      <c r="P159" s="39"/>
      <c r="Q159" s="39"/>
      <c r="R159" s="2"/>
      <c r="S159" s="2"/>
      <c r="T159" s="2"/>
      <c r="U159" s="2"/>
      <c r="V159" s="2"/>
      <c r="W159" s="2"/>
      <c r="X159" s="2"/>
      <c r="Y159" s="2"/>
      <c r="Z159" s="2"/>
    </row>
    <row r="160" ht="13.5" customHeight="1" spans="1:26">
      <c r="A160" s="2" t="s">
        <v>661</v>
      </c>
      <c r="B160" s="2" t="s">
        <v>2344</v>
      </c>
      <c r="C160" s="2" t="s">
        <v>658</v>
      </c>
      <c r="D160" s="39"/>
      <c r="E160" s="39"/>
      <c r="F160" s="9" t="str">
        <f>HYPERLINK("https://seeklogo.com/images/M/mastercard-logo-473B8726A9-seeklogo.com.png","https://seeklogo.com/images/M/mastercard-logo-473B8726A9-seeklogo.com.png")</f>
        <v>https://seeklogo.com/images/M/mastercard-logo-473B8726A9-seeklogo.com.png</v>
      </c>
      <c r="G160" s="9" t="s">
        <v>8427</v>
      </c>
      <c r="H160" s="39"/>
      <c r="I160" s="39"/>
      <c r="J160" s="39"/>
      <c r="K160" s="39"/>
      <c r="L160" s="39"/>
      <c r="M160" s="39"/>
      <c r="N160" s="39"/>
      <c r="O160" s="39"/>
      <c r="P160" s="39"/>
      <c r="Q160" s="39"/>
      <c r="R160" s="2"/>
      <c r="S160" s="2"/>
      <c r="T160" s="2"/>
      <c r="U160" s="2"/>
      <c r="V160" s="2"/>
      <c r="W160" s="2"/>
      <c r="X160" s="2"/>
      <c r="Y160" s="2"/>
      <c r="Z160" s="2"/>
    </row>
    <row r="161" ht="13.5" customHeight="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31:B143 B145:B148 B155:B156">
      <formula1>ValidLondonCounterpartyNames</formula1>
    </dataValidation>
  </dataValidations>
  <hyperlinks>
    <hyperlink ref="G78" r:id="rId1" display="www.zara.com/"/>
    <hyperlink ref="G80" r:id="rId2" display="http://www.maccosmetics.com"/>
    <hyperlink ref="G82" r:id="rId3" display="https://www.ebay.com.hk"/>
    <hyperlink ref="G83" r:id="rId4" display="http://www.amazon.com.hk"/>
    <hyperlink ref="G89" r:id="rId5" display="http://www.chanel.com/en_HK/"/>
  </hyperlinks>
  <pageMargins left="0.699305555555556" right="0.699305555555556"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 width="14.8303571428571" customWidth="1"/>
    <col min="2" max="2" width="33.5" customWidth="1"/>
    <col min="3" max="3" width="21.3303571428571" customWidth="1"/>
    <col min="4" max="6" width="18.5" customWidth="1"/>
    <col min="7" max="7" width="45.5" customWidth="1"/>
    <col min="8" max="17" width="8.66071428571429" customWidth="1"/>
    <col min="18" max="26" width="11.1607142857143" customWidth="1"/>
  </cols>
  <sheetData>
    <row r="1" customHeight="1" spans="1:26">
      <c r="A1" s="49"/>
      <c r="B1" s="49"/>
      <c r="C1" s="49"/>
      <c r="D1" s="49"/>
      <c r="E1" s="49"/>
      <c r="F1" s="49"/>
      <c r="G1" s="49"/>
      <c r="H1" s="2"/>
      <c r="I1" s="2"/>
      <c r="J1" s="2"/>
      <c r="K1" s="2"/>
      <c r="L1" s="2"/>
      <c r="M1" s="2"/>
      <c r="N1" s="2"/>
      <c r="O1" s="2"/>
      <c r="P1" s="2"/>
      <c r="Q1" s="2"/>
      <c r="R1" s="2"/>
      <c r="S1" s="2"/>
      <c r="T1" s="2"/>
      <c r="U1" s="2"/>
      <c r="V1" s="2"/>
      <c r="W1" s="2"/>
      <c r="X1" s="2"/>
      <c r="Y1" s="2"/>
      <c r="Z1" s="2"/>
    </row>
    <row r="2" ht="27.75" customHeight="1" spans="1:26">
      <c r="A2" s="50" t="s">
        <v>1643</v>
      </c>
      <c r="B2" s="51" t="s">
        <v>1245</v>
      </c>
      <c r="C2" s="51" t="s">
        <v>1246</v>
      </c>
      <c r="D2" s="51" t="s">
        <v>1247</v>
      </c>
      <c r="E2" s="51" t="s">
        <v>7</v>
      </c>
      <c r="F2" s="51" t="s">
        <v>1248</v>
      </c>
      <c r="G2" s="51" t="s">
        <v>1249</v>
      </c>
      <c r="H2" s="2"/>
      <c r="I2" s="2"/>
      <c r="J2" s="2"/>
      <c r="K2" s="2"/>
      <c r="L2" s="2"/>
      <c r="M2" s="2"/>
      <c r="N2" s="2"/>
      <c r="O2" s="2"/>
      <c r="P2" s="2"/>
      <c r="Q2" s="2"/>
      <c r="R2" s="2"/>
      <c r="S2" s="2"/>
      <c r="T2" s="2"/>
      <c r="U2" s="2"/>
      <c r="V2" s="2"/>
      <c r="W2" s="2"/>
      <c r="X2" s="2"/>
      <c r="Y2" s="2"/>
      <c r="Z2" s="2"/>
    </row>
    <row r="3" ht="27.75" customHeight="1" spans="1:26">
      <c r="A3" s="50" t="s">
        <v>8428</v>
      </c>
      <c r="B3" s="51" t="s">
        <v>1245</v>
      </c>
      <c r="C3" s="51" t="s">
        <v>1246</v>
      </c>
      <c r="D3" s="51" t="s">
        <v>1247</v>
      </c>
      <c r="E3" s="51" t="s">
        <v>7</v>
      </c>
      <c r="F3" s="51" t="s">
        <v>1248</v>
      </c>
      <c r="G3" s="51" t="s">
        <v>1249</v>
      </c>
      <c r="H3" s="2"/>
      <c r="I3" s="2"/>
      <c r="J3" s="2"/>
      <c r="K3" s="2"/>
      <c r="L3" s="2"/>
      <c r="M3" s="2"/>
      <c r="N3" s="2"/>
      <c r="O3" s="2"/>
      <c r="P3" s="2"/>
      <c r="Q3" s="2"/>
      <c r="R3" s="2"/>
      <c r="S3" s="2"/>
      <c r="T3" s="2"/>
      <c r="U3" s="2"/>
      <c r="V3" s="2"/>
      <c r="W3" s="2"/>
      <c r="X3" s="2"/>
      <c r="Y3" s="2"/>
      <c r="Z3" s="2"/>
    </row>
    <row r="4" customHeight="1" spans="1:26">
      <c r="A4" s="52" t="s">
        <v>680</v>
      </c>
      <c r="B4" s="52" t="s">
        <v>8429</v>
      </c>
      <c r="C4" s="52" t="s">
        <v>117</v>
      </c>
      <c r="D4" s="53">
        <v>100</v>
      </c>
      <c r="E4" s="52" t="s">
        <v>32</v>
      </c>
      <c r="F4" s="52" t="s">
        <v>8430</v>
      </c>
      <c r="G4" s="54" t="str">
        <f>HYPERLINK("http://www.pewex-supermercati.it/","http://www.pewex-supermercati.it/")</f>
        <v>http://www.pewex-supermercati.it/</v>
      </c>
      <c r="H4" s="2"/>
      <c r="I4" s="2"/>
      <c r="J4" s="2"/>
      <c r="K4" s="2"/>
      <c r="L4" s="2"/>
      <c r="M4" s="2"/>
      <c r="N4" s="2"/>
      <c r="O4" s="2"/>
      <c r="P4" s="2"/>
      <c r="Q4" s="2"/>
      <c r="R4" s="2"/>
      <c r="S4" s="2"/>
      <c r="T4" s="2"/>
      <c r="U4" s="2"/>
      <c r="V4" s="2"/>
      <c r="W4" s="2"/>
      <c r="X4" s="2"/>
      <c r="Y4" s="2"/>
      <c r="Z4" s="2"/>
    </row>
    <row r="5" customHeight="1" spans="1:26">
      <c r="A5" s="52" t="s">
        <v>680</v>
      </c>
      <c r="B5" s="52" t="s">
        <v>8431</v>
      </c>
      <c r="C5" s="52" t="s">
        <v>117</v>
      </c>
      <c r="D5" s="53">
        <v>120</v>
      </c>
      <c r="E5" s="52" t="s">
        <v>32</v>
      </c>
      <c r="F5" s="52" t="s">
        <v>8432</v>
      </c>
      <c r="G5" s="52" t="s">
        <v>8432</v>
      </c>
      <c r="H5" s="2"/>
      <c r="I5" s="2"/>
      <c r="J5" s="2"/>
      <c r="K5" s="2"/>
      <c r="L5" s="2"/>
      <c r="M5" s="2"/>
      <c r="N5" s="2"/>
      <c r="O5" s="2"/>
      <c r="P5" s="2"/>
      <c r="Q5" s="2"/>
      <c r="R5" s="2"/>
      <c r="S5" s="2"/>
      <c r="T5" s="2"/>
      <c r="U5" s="2"/>
      <c r="V5" s="2"/>
      <c r="W5" s="2"/>
      <c r="X5" s="2"/>
      <c r="Y5" s="2"/>
      <c r="Z5" s="2"/>
    </row>
    <row r="6" customHeight="1" spans="1:26">
      <c r="A6" s="52" t="s">
        <v>680</v>
      </c>
      <c r="B6" s="52" t="s">
        <v>8433</v>
      </c>
      <c r="C6" s="52" t="s">
        <v>117</v>
      </c>
      <c r="D6" s="53">
        <v>80</v>
      </c>
      <c r="E6" s="52" t="s">
        <v>32</v>
      </c>
      <c r="F6" s="54" t="str">
        <f>HYPERLINK("http://www.e-coop.it/CoopTema-Restyle2015B-theme/_styled/assets/img/brand.png","http://www.e-coop.it/CoopTema-Restyle2015B-theme/_styled/assets/img/brand.png")</f>
        <v>http://www.e-coop.it/CoopTema-Restyle2015B-theme/_styled/assets/img/brand.png</v>
      </c>
      <c r="G6" s="54" t="str">
        <f>HYPERLINK("http://www.e-coop.it/web/guest?antiCache=1433866905742","http://www.e-coop.it/web/guest?antiCache=1433866905742")</f>
        <v>http://www.e-coop.it/web/guest?antiCache=1433866905742</v>
      </c>
      <c r="H6" s="2"/>
      <c r="I6" s="2"/>
      <c r="J6" s="2"/>
      <c r="K6" s="2"/>
      <c r="L6" s="2"/>
      <c r="M6" s="2"/>
      <c r="N6" s="2"/>
      <c r="O6" s="2"/>
      <c r="P6" s="2"/>
      <c r="Q6" s="2"/>
      <c r="R6" s="2"/>
      <c r="S6" s="2"/>
      <c r="T6" s="2"/>
      <c r="U6" s="2"/>
      <c r="V6" s="2"/>
      <c r="W6" s="2"/>
      <c r="X6" s="2"/>
      <c r="Y6" s="2"/>
      <c r="Z6" s="2"/>
    </row>
    <row r="7" customHeight="1" spans="1:26">
      <c r="A7" s="52" t="s">
        <v>680</v>
      </c>
      <c r="B7" s="52" t="s">
        <v>8434</v>
      </c>
      <c r="C7" s="52" t="s">
        <v>8435</v>
      </c>
      <c r="D7" s="53">
        <v>60</v>
      </c>
      <c r="E7" s="52" t="s">
        <v>32</v>
      </c>
      <c r="F7" s="54" t="str">
        <f>HYPERLINK("http://www.todis.it/","http://www.todis.it/")</f>
        <v>http://www.todis.it/</v>
      </c>
      <c r="G7" s="52" t="s">
        <v>8436</v>
      </c>
      <c r="H7" s="2"/>
      <c r="I7" s="2"/>
      <c r="J7" s="2"/>
      <c r="K7" s="2"/>
      <c r="L7" s="2"/>
      <c r="M7" s="2"/>
      <c r="N7" s="2"/>
      <c r="O7" s="2"/>
      <c r="P7" s="2"/>
      <c r="Q7" s="2"/>
      <c r="R7" s="2"/>
      <c r="S7" s="2"/>
      <c r="T7" s="2"/>
      <c r="U7" s="2"/>
      <c r="V7" s="2"/>
      <c r="W7" s="2"/>
      <c r="X7" s="2"/>
      <c r="Y7" s="2"/>
      <c r="Z7" s="2"/>
    </row>
    <row r="8" customHeight="1" spans="1:26">
      <c r="A8" s="52" t="s">
        <v>753</v>
      </c>
      <c r="B8" s="52" t="s">
        <v>8437</v>
      </c>
      <c r="C8" s="52" t="s">
        <v>8438</v>
      </c>
      <c r="D8" s="53">
        <v>150</v>
      </c>
      <c r="E8" s="52" t="s">
        <v>1514</v>
      </c>
      <c r="F8" s="54" t="str">
        <f>HYPERLINK("http://www.giuliuspetshop.it/imgs/logo.jpg","http://www.giuliuspetshop.it/imgs/logo.jpg")</f>
        <v>http://www.giuliuspetshop.it/imgs/logo.jpg</v>
      </c>
      <c r="G8" s="52" t="s">
        <v>8439</v>
      </c>
      <c r="H8" s="2"/>
      <c r="I8" s="2"/>
      <c r="J8" s="2"/>
      <c r="K8" s="2"/>
      <c r="L8" s="2"/>
      <c r="M8" s="2"/>
      <c r="N8" s="2"/>
      <c r="O8" s="2"/>
      <c r="P8" s="2"/>
      <c r="Q8" s="2"/>
      <c r="R8" s="2"/>
      <c r="S8" s="2"/>
      <c r="T8" s="2"/>
      <c r="U8" s="2"/>
      <c r="V8" s="2"/>
      <c r="W8" s="2"/>
      <c r="X8" s="2"/>
      <c r="Y8" s="2"/>
      <c r="Z8" s="2"/>
    </row>
    <row r="9" customHeight="1" spans="1:26">
      <c r="A9" s="52" t="s">
        <v>753</v>
      </c>
      <c r="B9" s="52" t="s">
        <v>8440</v>
      </c>
      <c r="C9" s="52" t="s">
        <v>8438</v>
      </c>
      <c r="D9" s="53">
        <v>130</v>
      </c>
      <c r="E9" s="52" t="s">
        <v>1514</v>
      </c>
      <c r="F9" s="54" t="str">
        <f>HYPERLINK("http://www.arcaplanet.it/skin/frontend/rwd/default/images/logo.png","http://www.arcaplanet.it/skin/frontend/rwd/default/images/logo.png")</f>
        <v>http://www.arcaplanet.it/skin/frontend/rwd/default/images/logo.png</v>
      </c>
      <c r="G9" s="52" t="s">
        <v>8441</v>
      </c>
      <c r="H9" s="2"/>
      <c r="I9" s="2"/>
      <c r="J9" s="2"/>
      <c r="K9" s="2"/>
      <c r="L9" s="2"/>
      <c r="M9" s="2"/>
      <c r="N9" s="2"/>
      <c r="O9" s="2"/>
      <c r="P9" s="2"/>
      <c r="Q9" s="2"/>
      <c r="R9" s="2"/>
      <c r="S9" s="2"/>
      <c r="T9" s="2"/>
      <c r="U9" s="2"/>
      <c r="V9" s="2"/>
      <c r="W9" s="2"/>
      <c r="X9" s="2"/>
      <c r="Y9" s="2"/>
      <c r="Z9" s="2"/>
    </row>
    <row r="10" customHeight="1" spans="1:26">
      <c r="A10" s="52" t="s">
        <v>753</v>
      </c>
      <c r="B10" s="52" t="s">
        <v>8442</v>
      </c>
      <c r="C10" s="52" t="s">
        <v>8438</v>
      </c>
      <c r="D10" s="53">
        <v>170</v>
      </c>
      <c r="E10" s="52" t="s">
        <v>1514</v>
      </c>
      <c r="F10" s="54" t="str">
        <f>HYPERLINK("http://www.moby-dick.it/image/data/System/moby-dick-logo.png","http://www.moby-dick.it/image/data/System/moby-dick-logo.png")</f>
        <v>http://www.moby-dick.it/image/data/System/moby-dick-logo.png</v>
      </c>
      <c r="G10" s="54" t="str">
        <f>HYPERLINK("http://www.moby-dick.it/","http://www.moby-dick.it/")</f>
        <v>http://www.moby-dick.it/</v>
      </c>
      <c r="H10" s="2"/>
      <c r="I10" s="2"/>
      <c r="J10" s="2"/>
      <c r="K10" s="2"/>
      <c r="L10" s="2"/>
      <c r="M10" s="2"/>
      <c r="N10" s="2"/>
      <c r="O10" s="2"/>
      <c r="P10" s="2"/>
      <c r="Q10" s="2"/>
      <c r="R10" s="2"/>
      <c r="S10" s="2"/>
      <c r="T10" s="2"/>
      <c r="U10" s="2"/>
      <c r="V10" s="2"/>
      <c r="W10" s="2"/>
      <c r="X10" s="2"/>
      <c r="Y10" s="2"/>
      <c r="Z10" s="2"/>
    </row>
    <row r="11" customHeight="1" spans="1:26">
      <c r="A11" s="52" t="s">
        <v>753</v>
      </c>
      <c r="B11" s="52" t="s">
        <v>8443</v>
      </c>
      <c r="C11" s="52" t="s">
        <v>8438</v>
      </c>
      <c r="D11" s="53">
        <v>110</v>
      </c>
      <c r="E11" s="52" t="s">
        <v>1514</v>
      </c>
      <c r="F11" s="54" t="str">
        <f>HYPERLINK("http://www.planetpet.it/images/logo.png","http://www.planetpet.it/images/logo.png")</f>
        <v>http://www.planetpet.it/images/logo.png</v>
      </c>
      <c r="G11" s="54" t="str">
        <f>HYPERLINK("http://www.planetpet.it/pages/","http://www.planetpet.it/pages/")</f>
        <v>http://www.planetpet.it/pages/</v>
      </c>
      <c r="H11" s="2"/>
      <c r="I11" s="2"/>
      <c r="J11" s="2"/>
      <c r="K11" s="2"/>
      <c r="L11" s="2"/>
      <c r="M11" s="2"/>
      <c r="N11" s="2"/>
      <c r="O11" s="2"/>
      <c r="P11" s="2"/>
      <c r="Q11" s="2"/>
      <c r="R11" s="2"/>
      <c r="S11" s="2"/>
      <c r="T11" s="2"/>
      <c r="U11" s="2"/>
      <c r="V11" s="2"/>
      <c r="W11" s="2"/>
      <c r="X11" s="2"/>
      <c r="Y11" s="2"/>
      <c r="Z11" s="2"/>
    </row>
    <row r="12" customHeight="1" spans="1:26">
      <c r="A12" s="52" t="s">
        <v>853</v>
      </c>
      <c r="B12" s="52" t="s">
        <v>8444</v>
      </c>
      <c r="C12" s="52" t="s">
        <v>772</v>
      </c>
      <c r="D12" s="53">
        <v>250</v>
      </c>
      <c r="E12" s="52" t="s">
        <v>1284</v>
      </c>
      <c r="F12" s="54" t="str">
        <f>HYPERLINK("http://www.pandora.net/it-it","http://www.pandora.net/it-it")</f>
        <v>http://www.pandora.net/it-it</v>
      </c>
      <c r="G12" s="54" t="str">
        <f>HYPERLINK("http://www.pandora.net/it-it","http://www.pandora.net/it-it")</f>
        <v>http://www.pandora.net/it-it</v>
      </c>
      <c r="H12" s="2"/>
      <c r="I12" s="2"/>
      <c r="J12" s="2"/>
      <c r="K12" s="2"/>
      <c r="L12" s="2"/>
      <c r="M12" s="2"/>
      <c r="N12" s="2"/>
      <c r="O12" s="2"/>
      <c r="P12" s="2"/>
      <c r="Q12" s="2"/>
      <c r="R12" s="2"/>
      <c r="S12" s="2"/>
      <c r="T12" s="2"/>
      <c r="U12" s="2"/>
      <c r="V12" s="2"/>
      <c r="W12" s="2"/>
      <c r="X12" s="2"/>
      <c r="Y12" s="2"/>
      <c r="Z12" s="2"/>
    </row>
    <row r="13" customHeight="1" spans="1:26">
      <c r="A13" s="52" t="s">
        <v>853</v>
      </c>
      <c r="B13" s="52" t="s">
        <v>8445</v>
      </c>
      <c r="C13" s="52" t="s">
        <v>8446</v>
      </c>
      <c r="D13" s="53">
        <v>300</v>
      </c>
      <c r="E13" s="52" t="s">
        <v>1284</v>
      </c>
      <c r="F13" s="54" t="str">
        <f>HYPERLINK("http://www.stroilioro.com/img/logo_it.png","http://www.stroilioro.com/img/logo_it.png")</f>
        <v>http://www.stroilioro.com/img/logo_it.png</v>
      </c>
      <c r="G13" s="54" t="str">
        <f>HYPERLINK("http://www.stroilioro.com/","http://www.stroilioro.com/")</f>
        <v>http://www.stroilioro.com/</v>
      </c>
      <c r="H13" s="2"/>
      <c r="I13" s="2"/>
      <c r="J13" s="2"/>
      <c r="K13" s="2"/>
      <c r="L13" s="2"/>
      <c r="M13" s="2"/>
      <c r="N13" s="2"/>
      <c r="O13" s="2"/>
      <c r="P13" s="2"/>
      <c r="Q13" s="2"/>
      <c r="R13" s="2"/>
      <c r="S13" s="2"/>
      <c r="T13" s="2"/>
      <c r="U13" s="2"/>
      <c r="V13" s="2"/>
      <c r="W13" s="2"/>
      <c r="X13" s="2"/>
      <c r="Y13" s="2"/>
      <c r="Z13" s="2"/>
    </row>
    <row r="14" customHeight="1" spans="1:26">
      <c r="A14" s="52" t="s">
        <v>853</v>
      </c>
      <c r="B14" s="52" t="s">
        <v>8447</v>
      </c>
      <c r="C14" s="52" t="s">
        <v>8448</v>
      </c>
      <c r="D14" s="53">
        <v>80</v>
      </c>
      <c r="E14" s="52" t="s">
        <v>1284</v>
      </c>
      <c r="F14" s="54" t="str">
        <f>HYPERLINK("http://www.morellato.com/shop/skin/frontend/morellato/default/images/logo.jpg","http://www.morellato.com/shop/skin/frontend/morellato/default/images/logo.jpg")</f>
        <v>http://www.morellato.com/shop/skin/frontend/morellato/default/images/logo.jpg</v>
      </c>
      <c r="G14" s="52" t="s">
        <v>8449</v>
      </c>
      <c r="H14" s="2"/>
      <c r="I14" s="2"/>
      <c r="J14" s="2"/>
      <c r="K14" s="2"/>
      <c r="L14" s="2"/>
      <c r="M14" s="2"/>
      <c r="N14" s="2"/>
      <c r="O14" s="2"/>
      <c r="P14" s="2"/>
      <c r="Q14" s="2"/>
      <c r="R14" s="2"/>
      <c r="S14" s="2"/>
      <c r="T14" s="2"/>
      <c r="U14" s="2"/>
      <c r="V14" s="2"/>
      <c r="W14" s="2"/>
      <c r="X14" s="2"/>
      <c r="Y14" s="2"/>
      <c r="Z14" s="2"/>
    </row>
    <row r="15" customHeight="1" spans="1:26">
      <c r="A15" s="52" t="s">
        <v>770</v>
      </c>
      <c r="B15" s="52" t="s">
        <v>8450</v>
      </c>
      <c r="C15" s="52" t="s">
        <v>8451</v>
      </c>
      <c r="D15" s="53">
        <v>1500</v>
      </c>
      <c r="E15" s="52" t="s">
        <v>1284</v>
      </c>
      <c r="F15" s="54" t="str">
        <f>HYPERLINK("http://www.hausmann-co.com/wp-content/themes/hausmann/images/hausmann-logo.png","http://www.hausmann-co.com/wp-content/themes/hausmann/images/hausmann-logo.png")</f>
        <v>http://www.hausmann-co.com/wp-content/themes/hausmann/images/hausmann-logo.png</v>
      </c>
      <c r="G15" s="54" t="str">
        <f>HYPERLINK("http://www.hausmann-co.com/","http://www.hausmann-co.com/")</f>
        <v>http://www.hausmann-co.com/</v>
      </c>
      <c r="H15" s="2"/>
      <c r="I15" s="2"/>
      <c r="J15" s="2"/>
      <c r="K15" s="2"/>
      <c r="L15" s="2"/>
      <c r="M15" s="2"/>
      <c r="N15" s="2"/>
      <c r="O15" s="2"/>
      <c r="P15" s="2"/>
      <c r="Q15" s="2"/>
      <c r="R15" s="2"/>
      <c r="S15" s="2"/>
      <c r="T15" s="2"/>
      <c r="U15" s="2"/>
      <c r="V15" s="2"/>
      <c r="W15" s="2"/>
      <c r="X15" s="2"/>
      <c r="Y15" s="2"/>
      <c r="Z15" s="2"/>
    </row>
    <row r="16" customHeight="1" spans="1:26">
      <c r="A16" s="52" t="s">
        <v>770</v>
      </c>
      <c r="B16" s="52" t="s">
        <v>1126</v>
      </c>
      <c r="C16" s="52" t="s">
        <v>8451</v>
      </c>
      <c r="D16" s="53">
        <v>1000</v>
      </c>
      <c r="E16" s="52" t="s">
        <v>1284</v>
      </c>
      <c r="F16" s="54" t="str">
        <f>HYPERLINK("http://www.bulgari.com/it-it","http://www.bulgari.com/it-it")</f>
        <v>http://www.bulgari.com/it-it</v>
      </c>
      <c r="G16" s="54" t="str">
        <f>HYPERLINK("http://www.bulgari.com/it-it","http://www.bulgari.com/it-it")</f>
        <v>http://www.bulgari.com/it-it</v>
      </c>
      <c r="H16" s="2"/>
      <c r="I16" s="2"/>
      <c r="J16" s="2"/>
      <c r="K16" s="2"/>
      <c r="L16" s="2"/>
      <c r="M16" s="2"/>
      <c r="N16" s="2"/>
      <c r="O16" s="2"/>
      <c r="P16" s="2"/>
      <c r="Q16" s="2"/>
      <c r="R16" s="2"/>
      <c r="S16" s="2"/>
      <c r="T16" s="2"/>
      <c r="U16" s="2"/>
      <c r="V16" s="2"/>
      <c r="W16" s="2"/>
      <c r="X16" s="2"/>
      <c r="Y16" s="2"/>
      <c r="Z16" s="2"/>
    </row>
    <row r="17" customHeight="1" spans="1:26">
      <c r="A17" s="52" t="s">
        <v>770</v>
      </c>
      <c r="B17" s="52" t="s">
        <v>8452</v>
      </c>
      <c r="C17" s="52" t="s">
        <v>8453</v>
      </c>
      <c r="D17" s="53">
        <v>5000</v>
      </c>
      <c r="E17" s="52" t="s">
        <v>1284</v>
      </c>
      <c r="F17" s="54" t="str">
        <f>HYPERLINK("http://www.panerai.com/it/home.html","http://www.panerai.com/it/home.html")</f>
        <v>http://www.panerai.com/it/home.html</v>
      </c>
      <c r="G17" s="54" t="str">
        <f>HYPERLINK("http://www.panerai.com/it/home.html","http://www.panerai.com/it/home.html")</f>
        <v>http://www.panerai.com/it/home.html</v>
      </c>
      <c r="H17" s="2"/>
      <c r="I17" s="2"/>
      <c r="J17" s="2"/>
      <c r="K17" s="2"/>
      <c r="L17" s="2"/>
      <c r="M17" s="2"/>
      <c r="N17" s="2"/>
      <c r="O17" s="2"/>
      <c r="P17" s="2"/>
      <c r="Q17" s="2"/>
      <c r="R17" s="2"/>
      <c r="S17" s="2"/>
      <c r="T17" s="2"/>
      <c r="U17" s="2"/>
      <c r="V17" s="2"/>
      <c r="W17" s="2"/>
      <c r="X17" s="2"/>
      <c r="Y17" s="2"/>
      <c r="Z17" s="2"/>
    </row>
    <row r="18" customHeight="1" spans="1:26">
      <c r="A18" s="52" t="s">
        <v>668</v>
      </c>
      <c r="B18" s="52" t="s">
        <v>8454</v>
      </c>
      <c r="C18" s="52" t="s">
        <v>8455</v>
      </c>
      <c r="D18" s="53">
        <v>200</v>
      </c>
      <c r="E18" s="52" t="s">
        <v>8456</v>
      </c>
      <c r="F18" s="54" t="str">
        <f>HYPERLINK("http://www.rinascente.it/rinascente/commons/img/logo.png","http://www.rinascente.it/rinascente/commons/img/logo.png")</f>
        <v>http://www.rinascente.it/rinascente/commons/img/logo.png</v>
      </c>
      <c r="G18" s="54" t="str">
        <f>HYPERLINK("http://www.rinascente.it/rinascente/it","http://www.rinascente.it/rinascente/it")</f>
        <v>http://www.rinascente.it/rinascente/it</v>
      </c>
      <c r="H18" s="2"/>
      <c r="I18" s="2"/>
      <c r="J18" s="2"/>
      <c r="K18" s="2"/>
      <c r="L18" s="2"/>
      <c r="M18" s="2"/>
      <c r="N18" s="2"/>
      <c r="O18" s="2"/>
      <c r="P18" s="2"/>
      <c r="Q18" s="2"/>
      <c r="R18" s="2"/>
      <c r="S18" s="2"/>
      <c r="T18" s="2"/>
      <c r="U18" s="2"/>
      <c r="V18" s="2"/>
      <c r="W18" s="2"/>
      <c r="X18" s="2"/>
      <c r="Y18" s="2"/>
      <c r="Z18" s="2"/>
    </row>
    <row r="19" customHeight="1" spans="1:26">
      <c r="A19" s="52" t="s">
        <v>668</v>
      </c>
      <c r="B19" s="52" t="s">
        <v>8457</v>
      </c>
      <c r="C19" s="52" t="s">
        <v>8458</v>
      </c>
      <c r="D19" s="53">
        <v>300</v>
      </c>
      <c r="E19" s="52" t="s">
        <v>8456</v>
      </c>
      <c r="F19" s="54" t="str">
        <f>HYPERLINK("http://www.coin.it/images/fallback/logo_default.png","http://www.coin.it/images/fallback/logo_default.png")</f>
        <v>http://www.coin.it/images/fallback/logo_default.png</v>
      </c>
      <c r="G19" s="52" t="s">
        <v>8459</v>
      </c>
      <c r="H19" s="2"/>
      <c r="I19" s="2"/>
      <c r="J19" s="2"/>
      <c r="K19" s="2"/>
      <c r="L19" s="2"/>
      <c r="M19" s="2"/>
      <c r="N19" s="2"/>
      <c r="O19" s="2"/>
      <c r="P19" s="2"/>
      <c r="Q19" s="2"/>
      <c r="R19" s="2"/>
      <c r="S19" s="2"/>
      <c r="T19" s="2"/>
      <c r="U19" s="2"/>
      <c r="V19" s="2"/>
      <c r="W19" s="2"/>
      <c r="X19" s="2"/>
      <c r="Y19" s="2"/>
      <c r="Z19" s="2"/>
    </row>
    <row r="20" customHeight="1" spans="1:26">
      <c r="A20" s="52" t="s">
        <v>668</v>
      </c>
      <c r="B20" s="52" t="s">
        <v>8460</v>
      </c>
      <c r="C20" s="52" t="s">
        <v>8458</v>
      </c>
      <c r="D20" s="53">
        <v>70</v>
      </c>
      <c r="E20" s="52" t="s">
        <v>8456</v>
      </c>
      <c r="F20" s="54" t="str">
        <f>HYPERLINK("http://demandware.edgesuite.net/aakz_prd/on/demandware.static/Sites-ovs-italy-Site/-/it_IT/dw76c977ef/images/OVS_logo.jpg","http://demandware.edgesuite.net/aakz_prd/on/demandware.static/Sites-ovs-italy-Site/-/it_IT/dw76c977ef/images/OVS_logo.jpg")</f>
        <v>http://demandware.edgesuite.net/aakz_prd/on/demandware.static/Sites-ovs-italy-Site/-/it_IT/dw76c977ef/images/OVS_logo.jpg</v>
      </c>
      <c r="G20" s="52" t="s">
        <v>8461</v>
      </c>
      <c r="H20" s="2"/>
      <c r="I20" s="2"/>
      <c r="J20" s="2"/>
      <c r="K20" s="2"/>
      <c r="L20" s="2"/>
      <c r="M20" s="2"/>
      <c r="N20" s="2"/>
      <c r="O20" s="2"/>
      <c r="P20" s="2"/>
      <c r="Q20" s="2"/>
      <c r="R20" s="2"/>
      <c r="S20" s="2"/>
      <c r="T20" s="2"/>
      <c r="U20" s="2"/>
      <c r="V20" s="2"/>
      <c r="W20" s="2"/>
      <c r="X20" s="2"/>
      <c r="Y20" s="2"/>
      <c r="Z20" s="2"/>
    </row>
    <row r="21" customHeight="1" spans="1:26">
      <c r="A21" s="52" t="s">
        <v>721</v>
      </c>
      <c r="B21" s="52" t="s">
        <v>8462</v>
      </c>
      <c r="C21" s="52" t="s">
        <v>8463</v>
      </c>
      <c r="D21" s="53">
        <v>350</v>
      </c>
      <c r="E21" s="52" t="s">
        <v>8456</v>
      </c>
      <c r="F21" s="54" t="str">
        <f>HYPERLINK("http://www.mcarthurglen.com/media/2159872/castel_romano_logo.jpg","http://www.mcarthurglen.com/media/2159872/castel_romano_logo.jpg")</f>
        <v>http://www.mcarthurglen.com/media/2159872/castel_romano_logo.jpg</v>
      </c>
      <c r="G21" s="54" t="str">
        <f>HYPERLINK("http://www.mcarthurglen.com/it/castel-romano-designer-outlet/it/?gclid=CjwKEAjwndqrBRC16IyeqPicp3ASJAB-vB-c1OwiWIn0HYzNLTaR9nhfjqR4N08nWH7bn-4rO2aCuBoC7yzw_wcB","http://www.mcarthurglen.com/it/castel-romano-designer-outlet/it/?gclid=CjwKEAjwndqrBRC16IyeqPicp3ASJAB-vB-c1OwiWIn0HYzNLTaR9nhfjqR4N08nWH7bn-4rO2aCuBoC7yzw_wcB")</f>
        <v>http://www.mcarthurglen.com/it/castel-romano-designer-outlet/it/?gclid=CjwKEAjwndqrBRC16IyeqPicp3ASJAB-vB-c1OwiWIn0HYzNLTaR9nhfjqR4N08nWH7bn-4rO2aCuBoC7yzw_wcB</v>
      </c>
      <c r="H21" s="2"/>
      <c r="I21" s="2"/>
      <c r="J21" s="2"/>
      <c r="K21" s="2"/>
      <c r="L21" s="2"/>
      <c r="M21" s="2"/>
      <c r="N21" s="2"/>
      <c r="O21" s="2"/>
      <c r="P21" s="2"/>
      <c r="Q21" s="2"/>
      <c r="R21" s="2"/>
      <c r="S21" s="2"/>
      <c r="T21" s="2"/>
      <c r="U21" s="2"/>
      <c r="V21" s="2"/>
      <c r="W21" s="2"/>
      <c r="X21" s="2"/>
      <c r="Y21" s="2"/>
      <c r="Z21" s="2"/>
    </row>
    <row r="22" customHeight="1" spans="1:26">
      <c r="A22" s="52" t="s">
        <v>686</v>
      </c>
      <c r="B22" s="52" t="s">
        <v>8464</v>
      </c>
      <c r="C22" s="52" t="s">
        <v>8465</v>
      </c>
      <c r="D22" s="53">
        <v>250</v>
      </c>
      <c r="E22" s="52" t="s">
        <v>1514</v>
      </c>
      <c r="F22" s="52" t="s">
        <v>8466</v>
      </c>
      <c r="G22" s="52" t="s">
        <v>8467</v>
      </c>
      <c r="H22" s="2"/>
      <c r="I22" s="2"/>
      <c r="J22" s="2"/>
      <c r="K22" s="2"/>
      <c r="L22" s="2"/>
      <c r="M22" s="2"/>
      <c r="N22" s="2"/>
      <c r="O22" s="2"/>
      <c r="P22" s="2"/>
      <c r="Q22" s="2"/>
      <c r="R22" s="2"/>
      <c r="S22" s="2"/>
      <c r="T22" s="2"/>
      <c r="U22" s="2"/>
      <c r="V22" s="2"/>
      <c r="W22" s="2"/>
      <c r="X22" s="2"/>
      <c r="Y22" s="2"/>
      <c r="Z22" s="2"/>
    </row>
    <row r="23" customHeight="1" spans="1:26">
      <c r="A23" s="52" t="s">
        <v>686</v>
      </c>
      <c r="B23" s="52" t="s">
        <v>8468</v>
      </c>
      <c r="C23" s="52" t="s">
        <v>8465</v>
      </c>
      <c r="D23" s="53">
        <v>250</v>
      </c>
      <c r="E23" s="52" t="s">
        <v>1514</v>
      </c>
      <c r="F23" s="54" t="str">
        <f>HYPERLINK("http://www.aceaenergia.it/SiteCollectionImages/logo.png","http://www.aceaenergia.it/SiteCollectionImages/logo.png")</f>
        <v>http://www.aceaenergia.it/SiteCollectionImages/logo.png</v>
      </c>
      <c r="G23" s="54" t="str">
        <f>HYPERLINK("http://www.aceaenergia.it/casa/offerte/unica/monoraria/lucegas?gclid=CjwKEAjwndqrBRC16IyeqPicp3ASJAB-vB-cPEI25RbHDjQ2DFGiPkbcxoUfRAR1XTpSNZQ3VKIvLBoCSLzw_wcB","http://www.aceaenergia.it/casa/offerte/unica/monoraria/lucegas?gclid=CjwKEAjwndqrBRC16IyeqPicp3ASJAB-vB-cPEI25RbHDjQ2DFGiPkbcxoUfRAR1XTpSNZQ3VKIvLBoCSLzw_wcB")</f>
        <v>http://www.aceaenergia.it/casa/offerte/unica/monoraria/lucegas?gclid=CjwKEAjwndqrBRC16IyeqPicp3ASJAB-vB-cPEI25RbHDjQ2DFGiPkbcxoUfRAR1XTpSNZQ3VKIvLBoCSLzw_wcB</v>
      </c>
      <c r="H23" s="2"/>
      <c r="I23" s="2"/>
      <c r="J23" s="2"/>
      <c r="K23" s="2"/>
      <c r="L23" s="2"/>
      <c r="M23" s="2"/>
      <c r="N23" s="2"/>
      <c r="O23" s="2"/>
      <c r="P23" s="2"/>
      <c r="Q23" s="2"/>
      <c r="R23" s="2"/>
      <c r="S23" s="2"/>
      <c r="T23" s="2"/>
      <c r="U23" s="2"/>
      <c r="V23" s="2"/>
      <c r="W23" s="2"/>
      <c r="X23" s="2"/>
      <c r="Y23" s="2"/>
      <c r="Z23" s="2"/>
    </row>
    <row r="24" customHeight="1" spans="1:26">
      <c r="A24" s="52" t="s">
        <v>686</v>
      </c>
      <c r="B24" s="52" t="s">
        <v>8469</v>
      </c>
      <c r="C24" s="52" t="s">
        <v>8465</v>
      </c>
      <c r="D24" s="53">
        <v>250</v>
      </c>
      <c r="E24" s="52" t="s">
        <v>1514</v>
      </c>
      <c r="F24" s="54" t="str">
        <f>HYPERLINK("http://www.edison.it/it","http://www.edison.it/it")</f>
        <v>http://www.edison.it/it</v>
      </c>
      <c r="G24" s="54" t="str">
        <f>HYPERLINK("http://www.edison.it/it","http://www.edison.it/it")</f>
        <v>http://www.edison.it/it</v>
      </c>
      <c r="H24" s="2"/>
      <c r="I24" s="2"/>
      <c r="J24" s="2"/>
      <c r="K24" s="2"/>
      <c r="L24" s="2"/>
      <c r="M24" s="2"/>
      <c r="N24" s="2"/>
      <c r="O24" s="2"/>
      <c r="P24" s="2"/>
      <c r="Q24" s="2"/>
      <c r="R24" s="2"/>
      <c r="S24" s="2"/>
      <c r="T24" s="2"/>
      <c r="U24" s="2"/>
      <c r="V24" s="2"/>
      <c r="W24" s="2"/>
      <c r="X24" s="2"/>
      <c r="Y24" s="2"/>
      <c r="Z24" s="2"/>
    </row>
    <row r="25" customHeight="1" spans="1:26">
      <c r="A25" s="52" t="s">
        <v>1368</v>
      </c>
      <c r="B25" s="52" t="s">
        <v>8470</v>
      </c>
      <c r="C25" s="52" t="s">
        <v>8471</v>
      </c>
      <c r="D25" s="53">
        <v>170</v>
      </c>
      <c r="E25" s="52" t="s">
        <v>1514</v>
      </c>
      <c r="F25" s="54" t="str">
        <f>HYPERLINK("http://www.lacicognaabbigliamento.it/wp-content/uploads/2015/04/cropped-wordpress-cover.gif","http://www.lacicognaabbigliamento.it/wp-content/uploads/2015/04/cropped-wordpress-cover.gif")</f>
        <v>http://www.lacicognaabbigliamento.it/wp-content/uploads/2015/04/cropped-wordpress-cover.gif</v>
      </c>
      <c r="G25" s="52" t="s">
        <v>8472</v>
      </c>
      <c r="H25" s="2"/>
      <c r="I25" s="2"/>
      <c r="J25" s="2"/>
      <c r="K25" s="2"/>
      <c r="L25" s="2"/>
      <c r="M25" s="2"/>
      <c r="N25" s="2"/>
      <c r="O25" s="2"/>
      <c r="P25" s="2"/>
      <c r="Q25" s="2"/>
      <c r="R25" s="2"/>
      <c r="S25" s="2"/>
      <c r="T25" s="2"/>
      <c r="U25" s="2"/>
      <c r="V25" s="2"/>
      <c r="W25" s="2"/>
      <c r="X25" s="2"/>
      <c r="Y25" s="2"/>
      <c r="Z25" s="2"/>
    </row>
    <row r="26" customHeight="1" spans="1:26">
      <c r="A26" s="52" t="s">
        <v>1368</v>
      </c>
      <c r="B26" s="52" t="s">
        <v>8473</v>
      </c>
      <c r="C26" s="52" t="s">
        <v>8474</v>
      </c>
      <c r="D26" s="53">
        <v>280</v>
      </c>
      <c r="E26" s="52" t="s">
        <v>1514</v>
      </c>
      <c r="F26" s="54" t="str">
        <f>HYPERLINK("http://www.prenatal.it/static/content/dam/green/it/media/logoprenatal.gif","http://www.prenatal.it/static/content/dam/green/it/media/logoprenatal.gif")</f>
        <v>http://www.prenatal.it/static/content/dam/green/it/media/logoprenatal.gif</v>
      </c>
      <c r="G26" s="52" t="s">
        <v>8475</v>
      </c>
      <c r="H26" s="2"/>
      <c r="I26" s="2"/>
      <c r="J26" s="2"/>
      <c r="K26" s="2"/>
      <c r="L26" s="2"/>
      <c r="M26" s="2"/>
      <c r="N26" s="2"/>
      <c r="O26" s="2"/>
      <c r="P26" s="2"/>
      <c r="Q26" s="2"/>
      <c r="R26" s="2"/>
      <c r="S26" s="2"/>
      <c r="T26" s="2"/>
      <c r="U26" s="2"/>
      <c r="V26" s="2"/>
      <c r="W26" s="2"/>
      <c r="X26" s="2"/>
      <c r="Y26" s="2"/>
      <c r="Z26" s="2"/>
    </row>
    <row r="27" customHeight="1" spans="1:26">
      <c r="A27" s="52" t="s">
        <v>1368</v>
      </c>
      <c r="B27" s="52" t="s">
        <v>8476</v>
      </c>
      <c r="C27" s="52" t="s">
        <v>8477</v>
      </c>
      <c r="D27" s="53">
        <v>130</v>
      </c>
      <c r="E27" s="52" t="s">
        <v>1514</v>
      </c>
      <c r="F27" s="54" t="str">
        <f>HYPERLINK("http://www.primigi.it/images/logo1.png","http://www.primigi.it/images/logo1.png")</f>
        <v>http://www.primigi.it/images/logo1.png</v>
      </c>
      <c r="G27" s="52" t="s">
        <v>8478</v>
      </c>
      <c r="H27" s="2"/>
      <c r="I27" s="2"/>
      <c r="J27" s="2"/>
      <c r="K27" s="2"/>
      <c r="L27" s="2"/>
      <c r="M27" s="2"/>
      <c r="N27" s="2"/>
      <c r="O27" s="2"/>
      <c r="P27" s="2"/>
      <c r="Q27" s="2"/>
      <c r="R27" s="2"/>
      <c r="S27" s="2"/>
      <c r="T27" s="2"/>
      <c r="U27" s="2"/>
      <c r="V27" s="2"/>
      <c r="W27" s="2"/>
      <c r="X27" s="2"/>
      <c r="Y27" s="2"/>
      <c r="Z27" s="2"/>
    </row>
    <row r="28" customHeight="1" spans="1:26">
      <c r="A28" s="52" t="s">
        <v>871</v>
      </c>
      <c r="B28" s="52" t="s">
        <v>8479</v>
      </c>
      <c r="C28" s="52" t="s">
        <v>8480</v>
      </c>
      <c r="D28" s="53">
        <v>1200</v>
      </c>
      <c r="E28" s="52" t="s">
        <v>1284</v>
      </c>
      <c r="F28" s="54" t="str">
        <f>HYPERLINK("http://www.prada.com/etc/designs/prada/images/base/ipad_logo_nero.png","http://www.prada.com/etc/designs/prada/images/base/ipad_logo_nero.png")</f>
        <v>http://www.prada.com/etc/designs/prada/images/base/ipad_logo_nero.png</v>
      </c>
      <c r="G28" s="54" t="str">
        <f>HYPERLINK("http://www.prada.com/it.html?cc=IT","http://www.prada.com/it.html?cc=IT")</f>
        <v>http://www.prada.com/it.html?cc=IT</v>
      </c>
      <c r="H28" s="2"/>
      <c r="I28" s="2"/>
      <c r="J28" s="2"/>
      <c r="K28" s="2"/>
      <c r="L28" s="2"/>
      <c r="M28" s="2"/>
      <c r="N28" s="2"/>
      <c r="O28" s="2"/>
      <c r="P28" s="2"/>
      <c r="Q28" s="2"/>
      <c r="R28" s="2"/>
      <c r="S28" s="2"/>
      <c r="T28" s="2"/>
      <c r="U28" s="2"/>
      <c r="V28" s="2"/>
      <c r="W28" s="2"/>
      <c r="X28" s="2"/>
      <c r="Y28" s="2"/>
      <c r="Z28" s="2"/>
    </row>
    <row r="29" customHeight="1" spans="1:26">
      <c r="A29" s="52" t="s">
        <v>871</v>
      </c>
      <c r="B29" s="52" t="s">
        <v>8481</v>
      </c>
      <c r="C29" s="52" t="s">
        <v>8480</v>
      </c>
      <c r="D29" s="53">
        <v>2500</v>
      </c>
      <c r="E29" s="52" t="s">
        <v>1284</v>
      </c>
      <c r="F29" s="52" t="s">
        <v>8482</v>
      </c>
      <c r="G29" s="52" t="s">
        <v>8482</v>
      </c>
      <c r="H29" s="2"/>
      <c r="I29" s="2"/>
      <c r="J29" s="2"/>
      <c r="K29" s="2"/>
      <c r="L29" s="2"/>
      <c r="M29" s="2"/>
      <c r="N29" s="2"/>
      <c r="O29" s="2"/>
      <c r="P29" s="2"/>
      <c r="Q29" s="2"/>
      <c r="R29" s="2"/>
      <c r="S29" s="2"/>
      <c r="T29" s="2"/>
      <c r="U29" s="2"/>
      <c r="V29" s="2"/>
      <c r="W29" s="2"/>
      <c r="X29" s="2"/>
      <c r="Y29" s="2"/>
      <c r="Z29" s="2"/>
    </row>
    <row r="30" customHeight="1" spans="1:26">
      <c r="A30" s="52" t="s">
        <v>871</v>
      </c>
      <c r="B30" s="52" t="s">
        <v>8483</v>
      </c>
      <c r="C30" s="52" t="s">
        <v>8480</v>
      </c>
      <c r="D30" s="53">
        <v>1800</v>
      </c>
      <c r="E30" s="52" t="s">
        <v>1284</v>
      </c>
      <c r="F30" s="52" t="s">
        <v>8484</v>
      </c>
      <c r="G30" s="52" t="s">
        <v>8484</v>
      </c>
      <c r="H30" s="2"/>
      <c r="I30" s="2"/>
      <c r="J30" s="2"/>
      <c r="K30" s="2"/>
      <c r="L30" s="2"/>
      <c r="M30" s="2"/>
      <c r="N30" s="2"/>
      <c r="O30" s="2"/>
      <c r="P30" s="2"/>
      <c r="Q30" s="2"/>
      <c r="R30" s="2"/>
      <c r="S30" s="2"/>
      <c r="T30" s="2"/>
      <c r="U30" s="2"/>
      <c r="V30" s="2"/>
      <c r="W30" s="2"/>
      <c r="X30" s="2"/>
      <c r="Y30" s="2"/>
      <c r="Z30" s="2"/>
    </row>
    <row r="31" customHeight="1" spans="1:26">
      <c r="A31" s="52" t="s">
        <v>713</v>
      </c>
      <c r="B31" s="52" t="s">
        <v>902</v>
      </c>
      <c r="C31" s="52" t="s">
        <v>61</v>
      </c>
      <c r="D31" s="53">
        <v>8</v>
      </c>
      <c r="E31" s="52" t="s">
        <v>8456</v>
      </c>
      <c r="F31" s="54" t="str">
        <f>HYPERLINK("http://www.thespacecinema.it/","http://www.thespacecinema.it/")</f>
        <v>http://www.thespacecinema.it/</v>
      </c>
      <c r="G31" s="54" t="str">
        <f>HYPERLINK("http://www.thespacecinema.it/","http://www.thespacecinema.it/")</f>
        <v>http://www.thespacecinema.it/</v>
      </c>
      <c r="H31" s="2"/>
      <c r="I31" s="2"/>
      <c r="J31" s="2"/>
      <c r="K31" s="2"/>
      <c r="L31" s="2"/>
      <c r="M31" s="2"/>
      <c r="N31" s="2"/>
      <c r="O31" s="2"/>
      <c r="P31" s="2"/>
      <c r="Q31" s="2"/>
      <c r="R31" s="2"/>
      <c r="S31" s="2"/>
      <c r="T31" s="2"/>
      <c r="U31" s="2"/>
      <c r="V31" s="2"/>
      <c r="W31" s="2"/>
      <c r="X31" s="2"/>
      <c r="Y31" s="2"/>
      <c r="Z31" s="2"/>
    </row>
    <row r="32" customHeight="1" spans="1:26">
      <c r="A32" s="52" t="s">
        <v>713</v>
      </c>
      <c r="B32" s="52" t="s">
        <v>8485</v>
      </c>
      <c r="C32" s="52" t="s">
        <v>61</v>
      </c>
      <c r="D32" s="53">
        <v>8</v>
      </c>
      <c r="E32" s="52" t="s">
        <v>8456</v>
      </c>
      <c r="F32" s="52" t="s">
        <v>8486</v>
      </c>
      <c r="G32" s="52" t="s">
        <v>8487</v>
      </c>
      <c r="H32" s="2"/>
      <c r="I32" s="2"/>
      <c r="J32" s="2"/>
      <c r="K32" s="2"/>
      <c r="L32" s="2"/>
      <c r="M32" s="2"/>
      <c r="N32" s="2"/>
      <c r="O32" s="2"/>
      <c r="P32" s="2"/>
      <c r="Q32" s="2"/>
      <c r="R32" s="2"/>
      <c r="S32" s="2"/>
      <c r="T32" s="2"/>
      <c r="U32" s="2"/>
      <c r="V32" s="2"/>
      <c r="W32" s="2"/>
      <c r="X32" s="2"/>
      <c r="Y32" s="2"/>
      <c r="Z32" s="2"/>
    </row>
    <row r="33" customHeight="1" spans="1:26">
      <c r="A33" s="52" t="s">
        <v>713</v>
      </c>
      <c r="B33" s="52" t="s">
        <v>8488</v>
      </c>
      <c r="C33" s="52" t="s">
        <v>8489</v>
      </c>
      <c r="D33" s="53">
        <v>120</v>
      </c>
      <c r="E33" s="52" t="s">
        <v>8456</v>
      </c>
      <c r="F33" s="52" t="s">
        <v>8490</v>
      </c>
      <c r="G33" s="54" t="str">
        <f>HYPERLINK("http://www.teatroallascala.org/it/index.html","http://www.teatroallascala.org/it/index.html")</f>
        <v>http://www.teatroallascala.org/it/index.html</v>
      </c>
      <c r="H33" s="2"/>
      <c r="I33" s="2"/>
      <c r="J33" s="2"/>
      <c r="K33" s="2"/>
      <c r="L33" s="2"/>
      <c r="M33" s="2"/>
      <c r="N33" s="2"/>
      <c r="O33" s="2"/>
      <c r="P33" s="2"/>
      <c r="Q33" s="2"/>
      <c r="R33" s="2"/>
      <c r="S33" s="2"/>
      <c r="T33" s="2"/>
      <c r="U33" s="2"/>
      <c r="V33" s="2"/>
      <c r="W33" s="2"/>
      <c r="X33" s="2"/>
      <c r="Y33" s="2"/>
      <c r="Z33" s="2"/>
    </row>
    <row r="34" customHeight="1" spans="1:26">
      <c r="A34" s="52" t="s">
        <v>728</v>
      </c>
      <c r="B34" s="52" t="s">
        <v>8491</v>
      </c>
      <c r="C34" s="52" t="s">
        <v>8492</v>
      </c>
      <c r="D34" s="53">
        <v>40</v>
      </c>
      <c r="E34" s="52" t="s">
        <v>8456</v>
      </c>
      <c r="F34" s="54" t="str">
        <f>HYPERLINK("http://www.ricordi.it/static/theme/img/logo.jpg","http://www.ricordi.it/static/theme/img/logo.jpg")</f>
        <v>http://www.ricordi.it/static/theme/img/logo.jpg</v>
      </c>
      <c r="G34" s="54" t="str">
        <f>HYPERLINK("http://www.ricordi.it/","http://www.ricordi.it/")</f>
        <v>http://www.ricordi.it/</v>
      </c>
      <c r="H34" s="2"/>
      <c r="I34" s="2"/>
      <c r="J34" s="2"/>
      <c r="K34" s="2"/>
      <c r="L34" s="2"/>
      <c r="M34" s="2"/>
      <c r="N34" s="2"/>
      <c r="O34" s="2"/>
      <c r="P34" s="2"/>
      <c r="Q34" s="2"/>
      <c r="R34" s="2"/>
      <c r="S34" s="2"/>
      <c r="T34" s="2"/>
      <c r="U34" s="2"/>
      <c r="V34" s="2"/>
      <c r="W34" s="2"/>
      <c r="X34" s="2"/>
      <c r="Y34" s="2"/>
      <c r="Z34" s="2"/>
    </row>
    <row r="35" customHeight="1" spans="1:26">
      <c r="A35" s="52" t="s">
        <v>728</v>
      </c>
      <c r="B35" s="52" t="s">
        <v>1103</v>
      </c>
      <c r="C35" s="52" t="s">
        <v>728</v>
      </c>
      <c r="D35" s="53">
        <v>150</v>
      </c>
      <c r="E35" s="52" t="s">
        <v>8456</v>
      </c>
      <c r="F35" s="54" t="str">
        <f>HYPERLINK("http://www.euronics.it/","http://www.euronics.it/")</f>
        <v>http://www.euronics.it/</v>
      </c>
      <c r="G35" s="54" t="str">
        <f>HYPERLINK("http://www.euronics.it/","http://www.euronics.it/")</f>
        <v>http://www.euronics.it/</v>
      </c>
      <c r="H35" s="2"/>
      <c r="I35" s="2"/>
      <c r="J35" s="2"/>
      <c r="K35" s="2"/>
      <c r="L35" s="2"/>
      <c r="M35" s="2"/>
      <c r="N35" s="2"/>
      <c r="O35" s="2"/>
      <c r="P35" s="2"/>
      <c r="Q35" s="2"/>
      <c r="R35" s="2"/>
      <c r="S35" s="2"/>
      <c r="T35" s="2"/>
      <c r="U35" s="2"/>
      <c r="V35" s="2"/>
      <c r="W35" s="2"/>
      <c r="X35" s="2"/>
      <c r="Y35" s="2"/>
      <c r="Z35" s="2"/>
    </row>
    <row r="36" customHeight="1" spans="1:26">
      <c r="A36" s="52" t="s">
        <v>728</v>
      </c>
      <c r="B36" s="52" t="s">
        <v>1100</v>
      </c>
      <c r="C36" s="52" t="s">
        <v>728</v>
      </c>
      <c r="D36" s="53">
        <v>150</v>
      </c>
      <c r="E36" s="52" t="s">
        <v>8456</v>
      </c>
      <c r="F36" s="52" t="s">
        <v>8493</v>
      </c>
      <c r="G36" s="52" t="s">
        <v>8494</v>
      </c>
      <c r="H36" s="2"/>
      <c r="I36" s="2"/>
      <c r="J36" s="2"/>
      <c r="K36" s="2"/>
      <c r="L36" s="2"/>
      <c r="M36" s="2"/>
      <c r="N36" s="2"/>
      <c r="O36" s="2"/>
      <c r="P36" s="2"/>
      <c r="Q36" s="2"/>
      <c r="R36" s="2"/>
      <c r="S36" s="2"/>
      <c r="T36" s="2"/>
      <c r="U36" s="2"/>
      <c r="V36" s="2"/>
      <c r="W36" s="2"/>
      <c r="X36" s="2"/>
      <c r="Y36" s="2"/>
      <c r="Z36" s="2"/>
    </row>
    <row r="37" customHeight="1" spans="1:26">
      <c r="A37" s="52" t="s">
        <v>701</v>
      </c>
      <c r="B37" s="52" t="s">
        <v>8495</v>
      </c>
      <c r="C37" s="52" t="s">
        <v>8496</v>
      </c>
      <c r="D37" s="53">
        <v>370</v>
      </c>
      <c r="E37" s="52" t="s">
        <v>8456</v>
      </c>
      <c r="F37" s="52" t="s">
        <v>8497</v>
      </c>
      <c r="G37" s="52" t="s">
        <v>8498</v>
      </c>
      <c r="H37" s="2"/>
      <c r="I37" s="2"/>
      <c r="J37" s="2"/>
      <c r="K37" s="2"/>
      <c r="L37" s="2"/>
      <c r="M37" s="2"/>
      <c r="N37" s="2"/>
      <c r="O37" s="2"/>
      <c r="P37" s="2"/>
      <c r="Q37" s="2"/>
      <c r="R37" s="2"/>
      <c r="S37" s="2"/>
      <c r="T37" s="2"/>
      <c r="U37" s="2"/>
      <c r="V37" s="2"/>
      <c r="W37" s="2"/>
      <c r="X37" s="2"/>
      <c r="Y37" s="2"/>
      <c r="Z37" s="2"/>
    </row>
    <row r="38" customHeight="1" spans="1:26">
      <c r="A38" s="52" t="s">
        <v>701</v>
      </c>
      <c r="B38" s="52" t="s">
        <v>8499</v>
      </c>
      <c r="C38" s="52" t="s">
        <v>8496</v>
      </c>
      <c r="D38" s="53">
        <v>370</v>
      </c>
      <c r="E38" s="52" t="s">
        <v>8456</v>
      </c>
      <c r="F38" s="52" t="s">
        <v>8500</v>
      </c>
      <c r="G38" s="52" t="s">
        <v>8500</v>
      </c>
      <c r="H38" s="2"/>
      <c r="I38" s="2"/>
      <c r="J38" s="2"/>
      <c r="K38" s="2"/>
      <c r="L38" s="2"/>
      <c r="M38" s="2"/>
      <c r="N38" s="2"/>
      <c r="O38" s="2"/>
      <c r="P38" s="2"/>
      <c r="Q38" s="2"/>
      <c r="R38" s="2"/>
      <c r="S38" s="2"/>
      <c r="T38" s="2"/>
      <c r="U38" s="2"/>
      <c r="V38" s="2"/>
      <c r="W38" s="2"/>
      <c r="X38" s="2"/>
      <c r="Y38" s="2"/>
      <c r="Z38" s="2"/>
    </row>
    <row r="39" customHeight="1" spans="1:26">
      <c r="A39" s="52" t="s">
        <v>701</v>
      </c>
      <c r="B39" s="52" t="s">
        <v>8501</v>
      </c>
      <c r="C39" s="52" t="s">
        <v>8496</v>
      </c>
      <c r="D39" s="53">
        <v>370</v>
      </c>
      <c r="E39" s="52" t="s">
        <v>8456</v>
      </c>
      <c r="F39" s="52" t="s">
        <v>8502</v>
      </c>
      <c r="G39" s="52" t="s">
        <v>8503</v>
      </c>
      <c r="H39" s="2"/>
      <c r="I39" s="2"/>
      <c r="J39" s="2"/>
      <c r="K39" s="2"/>
      <c r="L39" s="2"/>
      <c r="M39" s="2"/>
      <c r="N39" s="2"/>
      <c r="O39" s="2"/>
      <c r="P39" s="2"/>
      <c r="Q39" s="2"/>
      <c r="R39" s="2"/>
      <c r="S39" s="2"/>
      <c r="T39" s="2"/>
      <c r="U39" s="2"/>
      <c r="V39" s="2"/>
      <c r="W39" s="2"/>
      <c r="X39" s="2"/>
      <c r="Y39" s="2"/>
      <c r="Z39" s="2"/>
    </row>
    <row r="40" customHeight="1" spans="1:26">
      <c r="A40" s="52" t="s">
        <v>742</v>
      </c>
      <c r="B40" s="52" t="s">
        <v>8504</v>
      </c>
      <c r="C40" s="52" t="s">
        <v>8505</v>
      </c>
      <c r="D40" s="53">
        <v>15</v>
      </c>
      <c r="E40" s="52" t="s">
        <v>8456</v>
      </c>
      <c r="F40" s="52" t="s">
        <v>8506</v>
      </c>
      <c r="G40" s="52" t="s">
        <v>8507</v>
      </c>
      <c r="H40" s="2"/>
      <c r="I40" s="2"/>
      <c r="J40" s="2"/>
      <c r="K40" s="2"/>
      <c r="L40" s="2"/>
      <c r="M40" s="2"/>
      <c r="N40" s="2"/>
      <c r="O40" s="2"/>
      <c r="P40" s="2"/>
      <c r="Q40" s="2"/>
      <c r="R40" s="2"/>
      <c r="S40" s="2"/>
      <c r="T40" s="2"/>
      <c r="U40" s="2"/>
      <c r="V40" s="2"/>
      <c r="W40" s="2"/>
      <c r="X40" s="2"/>
      <c r="Y40" s="2"/>
      <c r="Z40" s="2"/>
    </row>
    <row r="41" customHeight="1" spans="1:26">
      <c r="A41" s="52" t="s">
        <v>742</v>
      </c>
      <c r="B41" s="52" t="s">
        <v>8508</v>
      </c>
      <c r="C41" s="52" t="s">
        <v>8505</v>
      </c>
      <c r="D41" s="53">
        <v>15</v>
      </c>
      <c r="E41" s="52" t="s">
        <v>8456</v>
      </c>
      <c r="F41" s="52" t="s">
        <v>8509</v>
      </c>
      <c r="G41" s="52" t="s">
        <v>8509</v>
      </c>
      <c r="H41" s="2"/>
      <c r="I41" s="2"/>
      <c r="J41" s="2"/>
      <c r="K41" s="2"/>
      <c r="L41" s="2"/>
      <c r="M41" s="2"/>
      <c r="N41" s="2"/>
      <c r="O41" s="2"/>
      <c r="P41" s="2"/>
      <c r="Q41" s="2"/>
      <c r="R41" s="2"/>
      <c r="S41" s="2"/>
      <c r="T41" s="2"/>
      <c r="U41" s="2"/>
      <c r="V41" s="2"/>
      <c r="W41" s="2"/>
      <c r="X41" s="2"/>
      <c r="Y41" s="2"/>
      <c r="Z41" s="2"/>
    </row>
    <row r="42" customHeight="1" spans="1:26">
      <c r="A42" s="52" t="s">
        <v>742</v>
      </c>
      <c r="B42" s="52" t="s">
        <v>8510</v>
      </c>
      <c r="C42" s="52" t="s">
        <v>8505</v>
      </c>
      <c r="D42" s="53">
        <v>15</v>
      </c>
      <c r="E42" s="52" t="s">
        <v>8456</v>
      </c>
      <c r="F42" s="52" t="s">
        <v>8511</v>
      </c>
      <c r="G42" s="52" t="s">
        <v>8511</v>
      </c>
      <c r="H42" s="2"/>
      <c r="I42" s="2"/>
      <c r="J42" s="2"/>
      <c r="K42" s="2"/>
      <c r="L42" s="2"/>
      <c r="M42" s="2"/>
      <c r="N42" s="2"/>
      <c r="O42" s="2"/>
      <c r="P42" s="2"/>
      <c r="Q42" s="2"/>
      <c r="R42" s="2"/>
      <c r="S42" s="2"/>
      <c r="T42" s="2"/>
      <c r="U42" s="2"/>
      <c r="V42" s="2"/>
      <c r="W42" s="2"/>
      <c r="X42" s="2"/>
      <c r="Y42" s="2"/>
      <c r="Z42" s="2"/>
    </row>
    <row r="43" customHeight="1" spans="1:26">
      <c r="A43" s="52" t="s">
        <v>825</v>
      </c>
      <c r="B43" s="52" t="s">
        <v>8512</v>
      </c>
      <c r="C43" s="52" t="s">
        <v>8513</v>
      </c>
      <c r="D43" s="53">
        <v>3</v>
      </c>
      <c r="E43" s="52" t="s">
        <v>8456</v>
      </c>
      <c r="F43" s="52" t="s">
        <v>8514</v>
      </c>
      <c r="G43" s="52" t="s">
        <v>8515</v>
      </c>
      <c r="H43" s="2"/>
      <c r="I43" s="2"/>
      <c r="J43" s="2"/>
      <c r="K43" s="2"/>
      <c r="L43" s="2"/>
      <c r="M43" s="2"/>
      <c r="N43" s="2"/>
      <c r="O43" s="2"/>
      <c r="P43" s="2"/>
      <c r="Q43" s="2"/>
      <c r="R43" s="2"/>
      <c r="S43" s="2"/>
      <c r="T43" s="2"/>
      <c r="U43" s="2"/>
      <c r="V43" s="2"/>
      <c r="W43" s="2"/>
      <c r="X43" s="2"/>
      <c r="Y43" s="2"/>
      <c r="Z43" s="2"/>
    </row>
    <row r="44" customHeight="1" spans="1:26">
      <c r="A44" s="52" t="s">
        <v>825</v>
      </c>
      <c r="B44" s="52" t="s">
        <v>8516</v>
      </c>
      <c r="C44" s="52" t="s">
        <v>8513</v>
      </c>
      <c r="D44" s="53">
        <v>3</v>
      </c>
      <c r="E44" s="52" t="s">
        <v>8456</v>
      </c>
      <c r="F44" s="52" t="s">
        <v>8517</v>
      </c>
      <c r="G44" s="52" t="s">
        <v>8518</v>
      </c>
      <c r="H44" s="2"/>
      <c r="I44" s="2"/>
      <c r="J44" s="2"/>
      <c r="K44" s="2"/>
      <c r="L44" s="2"/>
      <c r="M44" s="2"/>
      <c r="N44" s="2"/>
      <c r="O44" s="2"/>
      <c r="P44" s="2"/>
      <c r="Q44" s="2"/>
      <c r="R44" s="2"/>
      <c r="S44" s="2"/>
      <c r="T44" s="2"/>
      <c r="U44" s="2"/>
      <c r="V44" s="2"/>
      <c r="W44" s="2"/>
      <c r="X44" s="2"/>
      <c r="Y44" s="2"/>
      <c r="Z44" s="2"/>
    </row>
    <row r="45" customHeight="1" spans="1:26">
      <c r="A45" s="52" t="s">
        <v>825</v>
      </c>
      <c r="B45" s="52" t="s">
        <v>8519</v>
      </c>
      <c r="C45" s="52" t="s">
        <v>8513</v>
      </c>
      <c r="D45" s="53">
        <v>3</v>
      </c>
      <c r="E45" s="52" t="s">
        <v>8456</v>
      </c>
      <c r="F45" s="52" t="s">
        <v>8520</v>
      </c>
      <c r="G45" s="52" t="s">
        <v>1181</v>
      </c>
      <c r="H45" s="2"/>
      <c r="I45" s="2"/>
      <c r="J45" s="2"/>
      <c r="K45" s="2"/>
      <c r="L45" s="2"/>
      <c r="M45" s="2"/>
      <c r="N45" s="2"/>
      <c r="O45" s="2"/>
      <c r="P45" s="2"/>
      <c r="Q45" s="2"/>
      <c r="R45" s="2"/>
      <c r="S45" s="2"/>
      <c r="T45" s="2"/>
      <c r="U45" s="2"/>
      <c r="V45" s="2"/>
      <c r="W45" s="2"/>
      <c r="X45" s="2"/>
      <c r="Y45" s="2"/>
      <c r="Z45" s="2"/>
    </row>
    <row r="46" customHeight="1" spans="1:26">
      <c r="A46" s="52" t="s">
        <v>785</v>
      </c>
      <c r="B46" s="52" t="s">
        <v>8521</v>
      </c>
      <c r="C46" s="52" t="s">
        <v>785</v>
      </c>
      <c r="D46" s="53">
        <v>200</v>
      </c>
      <c r="E46" s="52" t="s">
        <v>8456</v>
      </c>
      <c r="F46" s="52" t="s">
        <v>8522</v>
      </c>
      <c r="G46" s="52" t="s">
        <v>8522</v>
      </c>
      <c r="H46" s="2"/>
      <c r="I46" s="2"/>
      <c r="J46" s="2"/>
      <c r="K46" s="2"/>
      <c r="L46" s="2"/>
      <c r="M46" s="2"/>
      <c r="N46" s="2"/>
      <c r="O46" s="2"/>
      <c r="P46" s="2"/>
      <c r="Q46" s="2"/>
      <c r="R46" s="2"/>
      <c r="S46" s="2"/>
      <c r="T46" s="2"/>
      <c r="U46" s="2"/>
      <c r="V46" s="2"/>
      <c r="W46" s="2"/>
      <c r="X46" s="2"/>
      <c r="Y46" s="2"/>
      <c r="Z46" s="2"/>
    </row>
    <row r="47" customHeight="1" spans="1:26">
      <c r="A47" s="52" t="s">
        <v>785</v>
      </c>
      <c r="B47" s="52" t="s">
        <v>8523</v>
      </c>
      <c r="C47" s="52" t="s">
        <v>8524</v>
      </c>
      <c r="D47" s="53">
        <v>120</v>
      </c>
      <c r="E47" s="52" t="s">
        <v>8456</v>
      </c>
      <c r="F47" s="52" t="s">
        <v>8525</v>
      </c>
      <c r="G47" s="52" t="s">
        <v>8526</v>
      </c>
      <c r="H47" s="2"/>
      <c r="I47" s="2"/>
      <c r="J47" s="2"/>
      <c r="K47" s="2"/>
      <c r="L47" s="2"/>
      <c r="M47" s="2"/>
      <c r="N47" s="2"/>
      <c r="O47" s="2"/>
      <c r="P47" s="2"/>
      <c r="Q47" s="2"/>
      <c r="R47" s="2"/>
      <c r="S47" s="2"/>
      <c r="T47" s="2"/>
      <c r="U47" s="2"/>
      <c r="V47" s="2"/>
      <c r="W47" s="2"/>
      <c r="X47" s="2"/>
      <c r="Y47" s="2"/>
      <c r="Z47" s="2"/>
    </row>
    <row r="48" customHeight="1" spans="1:26">
      <c r="A48" s="52" t="s">
        <v>785</v>
      </c>
      <c r="B48" s="52" t="s">
        <v>3666</v>
      </c>
      <c r="C48" s="52" t="s">
        <v>8524</v>
      </c>
      <c r="D48" s="53">
        <v>330</v>
      </c>
      <c r="E48" s="52" t="s">
        <v>8456</v>
      </c>
      <c r="F48" s="54" t="str">
        <f>HYPERLINK("http://www.obi-italia.it/public/images/logo_head_obi.png","http://www.obi-italia.it/public/images/logo_head_obi.png")</f>
        <v>http://www.obi-italia.it/public/images/logo_head_obi.png</v>
      </c>
      <c r="G48" s="52" t="s">
        <v>8527</v>
      </c>
      <c r="H48" s="2"/>
      <c r="I48" s="2"/>
      <c r="J48" s="2"/>
      <c r="K48" s="2"/>
      <c r="L48" s="2"/>
      <c r="M48" s="2"/>
      <c r="N48" s="2"/>
      <c r="O48" s="2"/>
      <c r="P48" s="2"/>
      <c r="Q48" s="2"/>
      <c r="R48" s="2"/>
      <c r="S48" s="2"/>
      <c r="T48" s="2"/>
      <c r="U48" s="2"/>
      <c r="V48" s="2"/>
      <c r="W48" s="2"/>
      <c r="X48" s="2"/>
      <c r="Y48" s="2"/>
      <c r="Z48" s="2"/>
    </row>
    <row r="49" customHeight="1" spans="1:26">
      <c r="A49" s="52" t="s">
        <v>840</v>
      </c>
      <c r="B49" s="52" t="s">
        <v>8528</v>
      </c>
      <c r="C49" s="52" t="s">
        <v>8529</v>
      </c>
      <c r="D49" s="53">
        <v>1500</v>
      </c>
      <c r="E49" s="52" t="s">
        <v>1284</v>
      </c>
      <c r="F49" s="52" t="s">
        <v>8530</v>
      </c>
      <c r="G49" s="52" t="s">
        <v>8530</v>
      </c>
      <c r="H49" s="2"/>
      <c r="I49" s="2"/>
      <c r="J49" s="2"/>
      <c r="K49" s="2"/>
      <c r="L49" s="2"/>
      <c r="M49" s="2"/>
      <c r="N49" s="2"/>
      <c r="O49" s="2"/>
      <c r="P49" s="2"/>
      <c r="Q49" s="2"/>
      <c r="R49" s="2"/>
      <c r="S49" s="2"/>
      <c r="T49" s="2"/>
      <c r="U49" s="2"/>
      <c r="V49" s="2"/>
      <c r="W49" s="2"/>
      <c r="X49" s="2"/>
      <c r="Y49" s="2"/>
      <c r="Z49" s="2"/>
    </row>
    <row r="50" customHeight="1" spans="1:26">
      <c r="A50" s="52" t="s">
        <v>840</v>
      </c>
      <c r="B50" s="52" t="s">
        <v>8531</v>
      </c>
      <c r="C50" s="52" t="s">
        <v>8529</v>
      </c>
      <c r="D50" s="53">
        <v>1500</v>
      </c>
      <c r="E50" s="52" t="s">
        <v>1284</v>
      </c>
      <c r="F50" s="54" t="str">
        <f>HYPERLINK("http://www.veratour.it/","http://www.veratour.it/")</f>
        <v>http://www.veratour.it/</v>
      </c>
      <c r="G50" s="52" t="s">
        <v>8532</v>
      </c>
      <c r="H50" s="2"/>
      <c r="I50" s="2"/>
      <c r="J50" s="2"/>
      <c r="K50" s="2"/>
      <c r="L50" s="2"/>
      <c r="M50" s="2"/>
      <c r="N50" s="2"/>
      <c r="O50" s="2"/>
      <c r="P50" s="2"/>
      <c r="Q50" s="2"/>
      <c r="R50" s="2"/>
      <c r="S50" s="2"/>
      <c r="T50" s="2"/>
      <c r="U50" s="2"/>
      <c r="V50" s="2"/>
      <c r="W50" s="2"/>
      <c r="X50" s="2"/>
      <c r="Y50" s="2"/>
      <c r="Z50" s="2"/>
    </row>
    <row r="51" customHeight="1" spans="1:26">
      <c r="A51" s="52" t="s">
        <v>840</v>
      </c>
      <c r="B51" s="52" t="s">
        <v>8533</v>
      </c>
      <c r="C51" s="52" t="s">
        <v>8529</v>
      </c>
      <c r="D51" s="53">
        <v>1500</v>
      </c>
      <c r="E51" s="52" t="s">
        <v>1284</v>
      </c>
      <c r="F51" s="52" t="s">
        <v>8534</v>
      </c>
      <c r="G51" s="52" t="s">
        <v>8535</v>
      </c>
      <c r="H51" s="2"/>
      <c r="I51" s="2"/>
      <c r="J51" s="2"/>
      <c r="K51" s="2"/>
      <c r="L51" s="2"/>
      <c r="M51" s="2"/>
      <c r="N51" s="2"/>
      <c r="O51" s="2"/>
      <c r="P51" s="2"/>
      <c r="Q51" s="2"/>
      <c r="R51" s="2"/>
      <c r="S51" s="2"/>
      <c r="T51" s="2"/>
      <c r="U51" s="2"/>
      <c r="V51" s="2"/>
      <c r="W51" s="2"/>
      <c r="X51" s="2"/>
      <c r="Y51" s="2"/>
      <c r="Z51" s="2"/>
    </row>
    <row r="52" customHeight="1" spans="1:26">
      <c r="A52" s="52" t="s">
        <v>867</v>
      </c>
      <c r="B52" s="52" t="s">
        <v>8536</v>
      </c>
      <c r="C52" s="52" t="s">
        <v>8537</v>
      </c>
      <c r="D52" s="53">
        <v>500000</v>
      </c>
      <c r="E52" s="52" t="s">
        <v>1284</v>
      </c>
      <c r="F52" s="52" t="s">
        <v>8538</v>
      </c>
      <c r="G52" s="52" t="s">
        <v>8538</v>
      </c>
      <c r="H52" s="2"/>
      <c r="I52" s="2"/>
      <c r="J52" s="2"/>
      <c r="K52" s="2"/>
      <c r="L52" s="2"/>
      <c r="M52" s="2"/>
      <c r="N52" s="2"/>
      <c r="O52" s="2"/>
      <c r="P52" s="2"/>
      <c r="Q52" s="2"/>
      <c r="R52" s="2"/>
      <c r="S52" s="2"/>
      <c r="T52" s="2"/>
      <c r="U52" s="2"/>
      <c r="V52" s="2"/>
      <c r="W52" s="2"/>
      <c r="X52" s="2"/>
      <c r="Y52" s="2"/>
      <c r="Z52" s="2"/>
    </row>
    <row r="53" customHeight="1" spans="1:26">
      <c r="A53" s="52" t="s">
        <v>867</v>
      </c>
      <c r="B53" s="52" t="s">
        <v>8539</v>
      </c>
      <c r="C53" s="52" t="s">
        <v>8537</v>
      </c>
      <c r="D53" s="53">
        <v>700000</v>
      </c>
      <c r="E53" s="52" t="s">
        <v>1284</v>
      </c>
      <c r="F53" s="54" t="str">
        <f>HYPERLINK("http://cdn.lamborghini.com/templates/main/Resources/Public/src/img/logo.png","http://cdn.lamborghini.com/templates/main/Resources/Public/src/img/logo.png")</f>
        <v>http://cdn.lamborghini.com/templates/main/Resources/Public/src/img/logo.png</v>
      </c>
      <c r="G53" s="52" t="s">
        <v>8540</v>
      </c>
      <c r="H53" s="2"/>
      <c r="I53" s="2"/>
      <c r="J53" s="2"/>
      <c r="K53" s="2"/>
      <c r="L53" s="2"/>
      <c r="M53" s="2"/>
      <c r="N53" s="2"/>
      <c r="O53" s="2"/>
      <c r="P53" s="2"/>
      <c r="Q53" s="2"/>
      <c r="R53" s="2"/>
      <c r="S53" s="2"/>
      <c r="T53" s="2"/>
      <c r="U53" s="2"/>
      <c r="V53" s="2"/>
      <c r="W53" s="2"/>
      <c r="X53" s="2"/>
      <c r="Y53" s="2"/>
      <c r="Z53" s="2"/>
    </row>
    <row r="54" customHeight="1" spans="1:26">
      <c r="A54" s="52" t="s">
        <v>867</v>
      </c>
      <c r="B54" s="52" t="s">
        <v>8541</v>
      </c>
      <c r="C54" s="52" t="s">
        <v>8542</v>
      </c>
      <c r="D54" s="53">
        <v>300000</v>
      </c>
      <c r="E54" s="52" t="s">
        <v>1284</v>
      </c>
      <c r="F54" s="52" t="s">
        <v>8543</v>
      </c>
      <c r="G54" s="52" t="s">
        <v>8543</v>
      </c>
      <c r="H54" s="2"/>
      <c r="I54" s="2"/>
      <c r="J54" s="2"/>
      <c r="K54" s="2"/>
      <c r="L54" s="2"/>
      <c r="M54" s="2"/>
      <c r="N54" s="2"/>
      <c r="O54" s="2"/>
      <c r="P54" s="2"/>
      <c r="Q54" s="2"/>
      <c r="R54" s="2"/>
      <c r="S54" s="2"/>
      <c r="T54" s="2"/>
      <c r="U54" s="2"/>
      <c r="V54" s="2"/>
      <c r="W54" s="2"/>
      <c r="X54" s="2"/>
      <c r="Y54" s="2"/>
      <c r="Z54" s="2"/>
    </row>
    <row r="55" customHeight="1" spans="1:26">
      <c r="A55" s="52" t="s">
        <v>867</v>
      </c>
      <c r="B55" s="52" t="s">
        <v>8544</v>
      </c>
      <c r="C55" s="52" t="s">
        <v>8545</v>
      </c>
      <c r="D55" s="53">
        <v>80000</v>
      </c>
      <c r="E55" s="52" t="s">
        <v>1284</v>
      </c>
      <c r="F55" s="52" t="s">
        <v>8546</v>
      </c>
      <c r="G55" s="52" t="s">
        <v>8547</v>
      </c>
      <c r="H55" s="2"/>
      <c r="I55" s="2"/>
      <c r="J55" s="2"/>
      <c r="K55" s="2"/>
      <c r="L55" s="2"/>
      <c r="M55" s="2"/>
      <c r="N55" s="2"/>
      <c r="O55" s="2"/>
      <c r="P55" s="2"/>
      <c r="Q55" s="2"/>
      <c r="R55" s="2"/>
      <c r="S55" s="2"/>
      <c r="T55" s="2"/>
      <c r="U55" s="2"/>
      <c r="V55" s="2"/>
      <c r="W55" s="2"/>
      <c r="X55" s="2"/>
      <c r="Y55" s="2"/>
      <c r="Z55" s="2"/>
    </row>
    <row r="56" ht="13.5" customHeight="1"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ht="14.8"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ht="14.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ht="14.8"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ht="14.8"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ht="14.8"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ht="14.8"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ht="14.8"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ht="14.8"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ht="14.8"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ht="14.8"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ht="14.8"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ht="14.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ht="14.8"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ht="14.8"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ht="14.8"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ht="14.8"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ht="14.8"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ht="14.8"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ht="14.8"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ht="14.8"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ht="14.8"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ht="14.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ht="14.8"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ht="14.8"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ht="14.8"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ht="14.8"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ht="14.8"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ht="14.8"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ht="14.8"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ht="14.8"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ht="14.8"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ht="14.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ht="14.8"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ht="14.8"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ht="14.8"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ht="14.8"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ht="14.8"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ht="14.8"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ht="14.8"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ht="14.8"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ht="14.8"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ht="14.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ht="14.8"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ht="14.8"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8"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8"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8"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8"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8"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8"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8"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8"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8"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8"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8"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8"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8"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8"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8"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8"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8"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8"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8"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8"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8"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8"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8"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8"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8"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8"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8"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D4:D55">
    <cfRule type="cellIs" dxfId="0" priority="1" stopIfTrue="1" operator="lessThan">
      <formula>0</formula>
    </cfRule>
  </conditionalFormatting>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selection activeCell="A1" sqref="A1"/>
    </sheetView>
  </sheetViews>
  <sheetFormatPr defaultColWidth="12.6607142857143" defaultRowHeight="15" customHeight="1"/>
  <cols>
    <col min="1" max="1" width="1.5" customWidth="1"/>
    <col min="2" max="4" width="23.3303571428571" customWidth="1"/>
    <col min="5" max="14" width="7.66071428571429" customWidth="1"/>
    <col min="15" max="26" width="11.1607142857143" customWidth="1"/>
  </cols>
  <sheetData>
    <row r="1" ht="12.75" customHeight="1" spans="1:26">
      <c r="A1" s="2"/>
      <c r="B1" s="2"/>
      <c r="C1" s="2"/>
      <c r="D1" s="2"/>
      <c r="E1" s="2"/>
      <c r="F1" s="2"/>
      <c r="G1" s="2"/>
      <c r="H1" s="2"/>
      <c r="I1" s="2"/>
      <c r="J1" s="2"/>
      <c r="K1" s="2"/>
      <c r="L1" s="2"/>
      <c r="M1" s="2"/>
      <c r="N1" s="2"/>
      <c r="O1" s="2"/>
      <c r="P1" s="2"/>
      <c r="Q1" s="2"/>
      <c r="R1" s="2"/>
      <c r="S1" s="2"/>
      <c r="T1" s="2"/>
      <c r="U1" s="2"/>
      <c r="V1" s="2"/>
      <c r="W1" s="2"/>
      <c r="X1" s="2"/>
      <c r="Y1" s="2"/>
      <c r="Z1" s="2"/>
    </row>
    <row r="2" ht="12.75" customHeight="1" spans="1:26">
      <c r="A2" s="2"/>
      <c r="B2" s="2"/>
      <c r="C2" s="2"/>
      <c r="D2" s="2"/>
      <c r="E2" s="2"/>
      <c r="F2" s="2"/>
      <c r="G2" s="2"/>
      <c r="H2" s="2"/>
      <c r="I2" s="2"/>
      <c r="J2" s="2"/>
      <c r="K2" s="2"/>
      <c r="L2" s="2"/>
      <c r="M2" s="2"/>
      <c r="N2" s="2"/>
      <c r="O2" s="2"/>
      <c r="P2" s="2"/>
      <c r="Q2" s="2"/>
      <c r="R2" s="2"/>
      <c r="S2" s="2"/>
      <c r="T2" s="2"/>
      <c r="U2" s="2"/>
      <c r="V2" s="2"/>
      <c r="W2" s="2"/>
      <c r="X2" s="2"/>
      <c r="Y2" s="2"/>
      <c r="Z2" s="2"/>
    </row>
    <row r="3" ht="49.5" customHeight="1" spans="1:26">
      <c r="A3" s="2"/>
      <c r="B3" s="44" t="s">
        <v>8548</v>
      </c>
      <c r="E3" s="2"/>
      <c r="F3" s="2"/>
      <c r="G3" s="2"/>
      <c r="H3" s="2"/>
      <c r="I3" s="2"/>
      <c r="J3" s="2"/>
      <c r="K3" s="2"/>
      <c r="L3" s="2"/>
      <c r="M3" s="2"/>
      <c r="N3" s="2"/>
      <c r="O3" s="2"/>
      <c r="P3" s="2"/>
      <c r="Q3" s="2"/>
      <c r="R3" s="2"/>
      <c r="S3" s="2"/>
      <c r="T3" s="2"/>
      <c r="U3" s="2"/>
      <c r="V3" s="2"/>
      <c r="W3" s="2"/>
      <c r="X3" s="2"/>
      <c r="Y3" s="2"/>
      <c r="Z3" s="2"/>
    </row>
    <row r="4" ht="12.75" customHeight="1" spans="1:26">
      <c r="A4" s="2"/>
      <c r="B4" s="2"/>
      <c r="C4" s="2"/>
      <c r="D4" s="2"/>
      <c r="E4" s="2"/>
      <c r="F4" s="2"/>
      <c r="G4" s="2"/>
      <c r="H4" s="2"/>
      <c r="I4" s="2"/>
      <c r="J4" s="2"/>
      <c r="K4" s="2"/>
      <c r="L4" s="2"/>
      <c r="M4" s="2"/>
      <c r="N4" s="2"/>
      <c r="O4" s="2"/>
      <c r="P4" s="2"/>
      <c r="Q4" s="2"/>
      <c r="R4" s="2"/>
      <c r="S4" s="2"/>
      <c r="T4" s="2"/>
      <c r="U4" s="2"/>
      <c r="V4" s="2"/>
      <c r="W4" s="2"/>
      <c r="X4" s="2"/>
      <c r="Y4" s="2"/>
      <c r="Z4" s="2"/>
    </row>
    <row r="5" ht="12.75" customHeight="1" spans="1:26">
      <c r="A5" s="2"/>
      <c r="B5" s="2"/>
      <c r="C5" s="2"/>
      <c r="D5" s="2"/>
      <c r="E5" s="2"/>
      <c r="F5" s="2"/>
      <c r="G5" s="2"/>
      <c r="H5" s="2"/>
      <c r="I5" s="2"/>
      <c r="J5" s="2"/>
      <c r="K5" s="2"/>
      <c r="L5" s="2"/>
      <c r="M5" s="2"/>
      <c r="N5" s="2"/>
      <c r="O5" s="2"/>
      <c r="P5" s="2"/>
      <c r="Q5" s="2"/>
      <c r="R5" s="2"/>
      <c r="S5" s="2"/>
      <c r="T5" s="2"/>
      <c r="U5" s="2"/>
      <c r="V5" s="2"/>
      <c r="W5" s="2"/>
      <c r="X5" s="2"/>
      <c r="Y5" s="2"/>
      <c r="Z5" s="2"/>
    </row>
    <row r="6" ht="12.75" customHeight="1" spans="1:26">
      <c r="A6" s="2"/>
      <c r="B6" s="2"/>
      <c r="C6" s="2"/>
      <c r="D6" s="2"/>
      <c r="E6" s="2"/>
      <c r="F6" s="2"/>
      <c r="G6" s="2"/>
      <c r="H6" s="2"/>
      <c r="I6" s="2"/>
      <c r="J6" s="2"/>
      <c r="K6" s="2"/>
      <c r="L6" s="2"/>
      <c r="M6" s="2"/>
      <c r="N6" s="2"/>
      <c r="O6" s="2"/>
      <c r="P6" s="2"/>
      <c r="Q6" s="2"/>
      <c r="R6" s="2"/>
      <c r="S6" s="2"/>
      <c r="T6" s="2"/>
      <c r="U6" s="2"/>
      <c r="V6" s="2"/>
      <c r="W6" s="2"/>
      <c r="X6" s="2"/>
      <c r="Y6" s="2"/>
      <c r="Z6" s="2"/>
    </row>
    <row r="7" ht="18" customHeight="1" spans="1:26">
      <c r="A7" s="2"/>
      <c r="B7" s="45" t="s">
        <v>8549</v>
      </c>
      <c r="C7" s="45" t="s">
        <v>8550</v>
      </c>
      <c r="D7" s="45" t="s">
        <v>8551</v>
      </c>
      <c r="E7" s="2"/>
      <c r="F7" s="2"/>
      <c r="G7" s="2"/>
      <c r="H7" s="2"/>
      <c r="I7" s="2"/>
      <c r="J7" s="2"/>
      <c r="K7" s="2"/>
      <c r="L7" s="2"/>
      <c r="M7" s="2"/>
      <c r="N7" s="2"/>
      <c r="O7" s="2"/>
      <c r="P7" s="2"/>
      <c r="Q7" s="2"/>
      <c r="R7" s="2"/>
      <c r="S7" s="2"/>
      <c r="T7" s="2"/>
      <c r="U7" s="2"/>
      <c r="V7" s="2"/>
      <c r="W7" s="2"/>
      <c r="X7" s="2"/>
      <c r="Y7" s="2"/>
      <c r="Z7" s="2"/>
    </row>
    <row r="8" ht="12.75" customHeight="1" spans="1:26">
      <c r="A8" s="2"/>
      <c r="B8" s="2"/>
      <c r="C8" s="2"/>
      <c r="D8" s="2"/>
      <c r="E8" s="2"/>
      <c r="F8" s="2"/>
      <c r="G8" s="2"/>
      <c r="H8" s="2"/>
      <c r="I8" s="2"/>
      <c r="J8" s="2"/>
      <c r="K8" s="2"/>
      <c r="L8" s="2"/>
      <c r="M8" s="2"/>
      <c r="N8" s="2"/>
      <c r="O8" s="2"/>
      <c r="P8" s="2"/>
      <c r="Q8" s="2"/>
      <c r="R8" s="2"/>
      <c r="S8" s="2"/>
      <c r="T8" s="2"/>
      <c r="U8" s="2"/>
      <c r="V8" s="2"/>
      <c r="W8" s="2"/>
      <c r="X8" s="2"/>
      <c r="Y8" s="2"/>
      <c r="Z8" s="2"/>
    </row>
    <row r="9" ht="12.75" customHeight="1" spans="1:26">
      <c r="A9" s="2"/>
      <c r="B9" s="46" t="s">
        <v>8552</v>
      </c>
      <c r="C9" s="46"/>
      <c r="D9" s="46"/>
      <c r="E9" s="2"/>
      <c r="F9" s="2"/>
      <c r="G9" s="2"/>
      <c r="H9" s="2"/>
      <c r="I9" s="2"/>
      <c r="J9" s="2"/>
      <c r="K9" s="2"/>
      <c r="L9" s="2"/>
      <c r="M9" s="2"/>
      <c r="N9" s="2"/>
      <c r="O9" s="2"/>
      <c r="P9" s="2"/>
      <c r="Q9" s="2"/>
      <c r="R9" s="2"/>
      <c r="S9" s="2"/>
      <c r="T9" s="2"/>
      <c r="U9" s="2"/>
      <c r="V9" s="2"/>
      <c r="W9" s="2"/>
      <c r="X9" s="2"/>
      <c r="Y9" s="2"/>
      <c r="Z9" s="2"/>
    </row>
    <row r="10" ht="12.75" customHeight="1" spans="1:26">
      <c r="A10" s="2"/>
      <c r="B10" s="47"/>
      <c r="C10" s="47" t="s">
        <v>8553</v>
      </c>
      <c r="D10" s="48" t="s">
        <v>8552</v>
      </c>
      <c r="E10" s="2"/>
      <c r="F10" s="2"/>
      <c r="G10" s="2"/>
      <c r="H10" s="2"/>
      <c r="I10" s="2"/>
      <c r="J10" s="2"/>
      <c r="K10" s="2"/>
      <c r="L10" s="2"/>
      <c r="M10" s="2"/>
      <c r="N10" s="2"/>
      <c r="O10" s="2"/>
      <c r="P10" s="2"/>
      <c r="Q10" s="2"/>
      <c r="R10" s="2"/>
      <c r="S10" s="2"/>
      <c r="T10" s="2"/>
      <c r="U10" s="2"/>
      <c r="V10" s="2"/>
      <c r="W10" s="2"/>
      <c r="X10" s="2"/>
      <c r="Y10" s="2"/>
      <c r="Z10" s="2"/>
    </row>
    <row r="11" ht="12.75" customHeight="1" spans="1:26">
      <c r="A11" s="2"/>
      <c r="B11" s="46" t="s">
        <v>8554</v>
      </c>
      <c r="C11" s="46"/>
      <c r="D11" s="46"/>
      <c r="E11" s="2"/>
      <c r="F11" s="2"/>
      <c r="G11" s="2"/>
      <c r="H11" s="2"/>
      <c r="I11" s="2"/>
      <c r="J11" s="2"/>
      <c r="K11" s="2"/>
      <c r="L11" s="2"/>
      <c r="M11" s="2"/>
      <c r="N11" s="2"/>
      <c r="O11" s="2"/>
      <c r="P11" s="2"/>
      <c r="Q11" s="2"/>
      <c r="R11" s="2"/>
      <c r="S11" s="2"/>
      <c r="T11" s="2"/>
      <c r="U11" s="2"/>
      <c r="V11" s="2"/>
      <c r="W11" s="2"/>
      <c r="X11" s="2"/>
      <c r="Y11" s="2"/>
      <c r="Z11" s="2"/>
    </row>
    <row r="12" ht="12.75" customHeight="1" spans="1:26">
      <c r="A12" s="2"/>
      <c r="B12" s="47"/>
      <c r="C12" s="47" t="s">
        <v>8553</v>
      </c>
      <c r="D12" s="48" t="s">
        <v>8554</v>
      </c>
      <c r="E12" s="2"/>
      <c r="F12" s="2"/>
      <c r="G12" s="2"/>
      <c r="H12" s="2"/>
      <c r="I12" s="2"/>
      <c r="J12" s="2"/>
      <c r="K12" s="2"/>
      <c r="L12" s="2"/>
      <c r="M12" s="2"/>
      <c r="N12" s="2"/>
      <c r="O12" s="2"/>
      <c r="P12" s="2"/>
      <c r="Q12" s="2"/>
      <c r="R12" s="2"/>
      <c r="S12" s="2"/>
      <c r="T12" s="2"/>
      <c r="U12" s="2"/>
      <c r="V12" s="2"/>
      <c r="W12" s="2"/>
      <c r="X12" s="2"/>
      <c r="Y12" s="2"/>
      <c r="Z12" s="2"/>
    </row>
    <row r="13" ht="12.75" customHeight="1" spans="1:26">
      <c r="A13" s="2"/>
      <c r="B13" s="46" t="s">
        <v>8555</v>
      </c>
      <c r="C13" s="46"/>
      <c r="D13" s="46"/>
      <c r="E13" s="2"/>
      <c r="F13" s="2"/>
      <c r="G13" s="2"/>
      <c r="H13" s="2"/>
      <c r="I13" s="2"/>
      <c r="J13" s="2"/>
      <c r="K13" s="2"/>
      <c r="L13" s="2"/>
      <c r="M13" s="2"/>
      <c r="N13" s="2"/>
      <c r="O13" s="2"/>
      <c r="P13" s="2"/>
      <c r="Q13" s="2"/>
      <c r="R13" s="2"/>
      <c r="S13" s="2"/>
      <c r="T13" s="2"/>
      <c r="U13" s="2"/>
      <c r="V13" s="2"/>
      <c r="W13" s="2"/>
      <c r="X13" s="2"/>
      <c r="Y13" s="2"/>
      <c r="Z13" s="2"/>
    </row>
    <row r="14" ht="12.75" customHeight="1" spans="1:26">
      <c r="A14" s="2"/>
      <c r="B14" s="47"/>
      <c r="C14" s="47" t="s">
        <v>8553</v>
      </c>
      <c r="D14" s="48" t="s">
        <v>8555</v>
      </c>
      <c r="E14" s="2"/>
      <c r="F14" s="2"/>
      <c r="G14" s="2"/>
      <c r="H14" s="2"/>
      <c r="I14" s="2"/>
      <c r="J14" s="2"/>
      <c r="K14" s="2"/>
      <c r="L14" s="2"/>
      <c r="M14" s="2"/>
      <c r="N14" s="2"/>
      <c r="O14" s="2"/>
      <c r="P14" s="2"/>
      <c r="Q14" s="2"/>
      <c r="R14" s="2"/>
      <c r="S14" s="2"/>
      <c r="T14" s="2"/>
      <c r="U14" s="2"/>
      <c r="V14" s="2"/>
      <c r="W14" s="2"/>
      <c r="X14" s="2"/>
      <c r="Y14" s="2"/>
      <c r="Z14" s="2"/>
    </row>
    <row r="15" ht="12.75" customHeight="1" spans="1:26">
      <c r="A15" s="2"/>
      <c r="B15" s="46" t="s">
        <v>8556</v>
      </c>
      <c r="C15" s="46"/>
      <c r="D15" s="46"/>
      <c r="E15" s="2"/>
      <c r="F15" s="2"/>
      <c r="G15" s="2"/>
      <c r="H15" s="2"/>
      <c r="I15" s="2"/>
      <c r="J15" s="2"/>
      <c r="K15" s="2"/>
      <c r="L15" s="2"/>
      <c r="M15" s="2"/>
      <c r="N15" s="2"/>
      <c r="O15" s="2"/>
      <c r="P15" s="2"/>
      <c r="Q15" s="2"/>
      <c r="R15" s="2"/>
      <c r="S15" s="2"/>
      <c r="T15" s="2"/>
      <c r="U15" s="2"/>
      <c r="V15" s="2"/>
      <c r="W15" s="2"/>
      <c r="X15" s="2"/>
      <c r="Y15" s="2"/>
      <c r="Z15" s="2"/>
    </row>
    <row r="16" ht="12.75" customHeight="1" spans="1:26">
      <c r="A16" s="2"/>
      <c r="B16" s="47"/>
      <c r="C16" s="47" t="s">
        <v>8553</v>
      </c>
      <c r="D16" s="48" t="s">
        <v>8556</v>
      </c>
      <c r="E16" s="2"/>
      <c r="F16" s="2"/>
      <c r="G16" s="2"/>
      <c r="H16" s="2"/>
      <c r="I16" s="2"/>
      <c r="J16" s="2"/>
      <c r="K16" s="2"/>
      <c r="L16" s="2"/>
      <c r="M16" s="2"/>
      <c r="N16" s="2"/>
      <c r="O16" s="2"/>
      <c r="P16" s="2"/>
      <c r="Q16" s="2"/>
      <c r="R16" s="2"/>
      <c r="S16" s="2"/>
      <c r="T16" s="2"/>
      <c r="U16" s="2"/>
      <c r="V16" s="2"/>
      <c r="W16" s="2"/>
      <c r="X16" s="2"/>
      <c r="Y16" s="2"/>
      <c r="Z16" s="2"/>
    </row>
    <row r="17" ht="12.75" customHeight="1" spans="1:26">
      <c r="A17" s="2"/>
      <c r="B17" s="46" t="s">
        <v>8557</v>
      </c>
      <c r="C17" s="46"/>
      <c r="D17" s="46"/>
      <c r="E17" s="2"/>
      <c r="F17" s="2"/>
      <c r="G17" s="2"/>
      <c r="H17" s="2"/>
      <c r="I17" s="2"/>
      <c r="J17" s="2"/>
      <c r="K17" s="2"/>
      <c r="L17" s="2"/>
      <c r="M17" s="2"/>
      <c r="N17" s="2"/>
      <c r="O17" s="2"/>
      <c r="P17" s="2"/>
      <c r="Q17" s="2"/>
      <c r="R17" s="2"/>
      <c r="S17" s="2"/>
      <c r="T17" s="2"/>
      <c r="U17" s="2"/>
      <c r="V17" s="2"/>
      <c r="W17" s="2"/>
      <c r="X17" s="2"/>
      <c r="Y17" s="2"/>
      <c r="Z17" s="2"/>
    </row>
    <row r="18" ht="12.75" customHeight="1" spans="1:26">
      <c r="A18" s="2"/>
      <c r="B18" s="47"/>
      <c r="C18" s="47" t="s">
        <v>8553</v>
      </c>
      <c r="D18" s="48" t="s">
        <v>8557</v>
      </c>
      <c r="E18" s="2"/>
      <c r="F18" s="2"/>
      <c r="G18" s="2"/>
      <c r="H18" s="2"/>
      <c r="I18" s="2"/>
      <c r="J18" s="2"/>
      <c r="K18" s="2"/>
      <c r="L18" s="2"/>
      <c r="M18" s="2"/>
      <c r="N18" s="2"/>
      <c r="O18" s="2"/>
      <c r="P18" s="2"/>
      <c r="Q18" s="2"/>
      <c r="R18" s="2"/>
      <c r="S18" s="2"/>
      <c r="T18" s="2"/>
      <c r="U18" s="2"/>
      <c r="V18" s="2"/>
      <c r="W18" s="2"/>
      <c r="X18" s="2"/>
      <c r="Y18" s="2"/>
      <c r="Z18" s="2"/>
    </row>
    <row r="19" ht="12.75" customHeight="1" spans="1:26">
      <c r="A19" s="2"/>
      <c r="B19" s="46" t="s">
        <v>8558</v>
      </c>
      <c r="C19" s="46"/>
      <c r="D19" s="46"/>
      <c r="E19" s="2"/>
      <c r="F19" s="2"/>
      <c r="G19" s="2"/>
      <c r="H19" s="2"/>
      <c r="I19" s="2"/>
      <c r="J19" s="2"/>
      <c r="K19" s="2"/>
      <c r="L19" s="2"/>
      <c r="M19" s="2"/>
      <c r="N19" s="2"/>
      <c r="O19" s="2"/>
      <c r="P19" s="2"/>
      <c r="Q19" s="2"/>
      <c r="R19" s="2"/>
      <c r="S19" s="2"/>
      <c r="T19" s="2"/>
      <c r="U19" s="2"/>
      <c r="V19" s="2"/>
      <c r="W19" s="2"/>
      <c r="X19" s="2"/>
      <c r="Y19" s="2"/>
      <c r="Z19" s="2"/>
    </row>
    <row r="20" ht="12.75" customHeight="1" spans="1:26">
      <c r="A20" s="2"/>
      <c r="B20" s="47"/>
      <c r="C20" s="47" t="s">
        <v>8553</v>
      </c>
      <c r="D20" s="48" t="s">
        <v>8558</v>
      </c>
      <c r="E20" s="2"/>
      <c r="F20" s="2"/>
      <c r="G20" s="2"/>
      <c r="H20" s="2"/>
      <c r="I20" s="2"/>
      <c r="J20" s="2"/>
      <c r="K20" s="2"/>
      <c r="L20" s="2"/>
      <c r="M20" s="2"/>
      <c r="N20" s="2"/>
      <c r="O20" s="2"/>
      <c r="P20" s="2"/>
      <c r="Q20" s="2"/>
      <c r="R20" s="2"/>
      <c r="S20" s="2"/>
      <c r="T20" s="2"/>
      <c r="U20" s="2"/>
      <c r="V20" s="2"/>
      <c r="W20" s="2"/>
      <c r="X20" s="2"/>
      <c r="Y20" s="2"/>
      <c r="Z20" s="2"/>
    </row>
    <row r="21" ht="12.75" customHeight="1" spans="1:26">
      <c r="A21" s="2"/>
      <c r="B21" s="46" t="s">
        <v>8559</v>
      </c>
      <c r="C21" s="46"/>
      <c r="D21" s="46"/>
      <c r="E21" s="2"/>
      <c r="F21" s="2"/>
      <c r="G21" s="2"/>
      <c r="H21" s="2"/>
      <c r="I21" s="2"/>
      <c r="J21" s="2"/>
      <c r="K21" s="2"/>
      <c r="L21" s="2"/>
      <c r="M21" s="2"/>
      <c r="N21" s="2"/>
      <c r="O21" s="2"/>
      <c r="P21" s="2"/>
      <c r="Q21" s="2"/>
      <c r="R21" s="2"/>
      <c r="S21" s="2"/>
      <c r="T21" s="2"/>
      <c r="U21" s="2"/>
      <c r="V21" s="2"/>
      <c r="W21" s="2"/>
      <c r="X21" s="2"/>
      <c r="Y21" s="2"/>
      <c r="Z21" s="2"/>
    </row>
    <row r="22" ht="12.75" customHeight="1" spans="1:26">
      <c r="A22" s="2"/>
      <c r="B22" s="47"/>
      <c r="C22" s="47" t="s">
        <v>8553</v>
      </c>
      <c r="D22" s="48" t="s">
        <v>8559</v>
      </c>
      <c r="E22" s="2"/>
      <c r="F22" s="2"/>
      <c r="G22" s="2"/>
      <c r="H22" s="2"/>
      <c r="I22" s="2"/>
      <c r="J22" s="2"/>
      <c r="K22" s="2"/>
      <c r="L22" s="2"/>
      <c r="M22" s="2"/>
      <c r="N22" s="2"/>
      <c r="O22" s="2"/>
      <c r="P22" s="2"/>
      <c r="Q22" s="2"/>
      <c r="R22" s="2"/>
      <c r="S22" s="2"/>
      <c r="T22" s="2"/>
      <c r="U22" s="2"/>
      <c r="V22" s="2"/>
      <c r="W22" s="2"/>
      <c r="X22" s="2"/>
      <c r="Y22" s="2"/>
      <c r="Z22" s="2"/>
    </row>
    <row r="23" ht="12.75" customHeight="1" spans="1:26">
      <c r="A23" s="2"/>
      <c r="B23" s="46" t="s">
        <v>8560</v>
      </c>
      <c r="C23" s="46"/>
      <c r="D23" s="46"/>
      <c r="E23" s="2"/>
      <c r="F23" s="2"/>
      <c r="G23" s="2"/>
      <c r="H23" s="2"/>
      <c r="I23" s="2"/>
      <c r="J23" s="2"/>
      <c r="K23" s="2"/>
      <c r="L23" s="2"/>
      <c r="M23" s="2"/>
      <c r="N23" s="2"/>
      <c r="O23" s="2"/>
      <c r="P23" s="2"/>
      <c r="Q23" s="2"/>
      <c r="R23" s="2"/>
      <c r="S23" s="2"/>
      <c r="T23" s="2"/>
      <c r="U23" s="2"/>
      <c r="V23" s="2"/>
      <c r="W23" s="2"/>
      <c r="X23" s="2"/>
      <c r="Y23" s="2"/>
      <c r="Z23" s="2"/>
    </row>
    <row r="24" ht="12.75" customHeight="1" spans="1:26">
      <c r="A24" s="2"/>
      <c r="B24" s="47"/>
      <c r="C24" s="47" t="s">
        <v>8553</v>
      </c>
      <c r="D24" s="48" t="s">
        <v>8560</v>
      </c>
      <c r="E24" s="2"/>
      <c r="F24" s="2"/>
      <c r="G24" s="2"/>
      <c r="H24" s="2"/>
      <c r="I24" s="2"/>
      <c r="J24" s="2"/>
      <c r="K24" s="2"/>
      <c r="L24" s="2"/>
      <c r="M24" s="2"/>
      <c r="N24" s="2"/>
      <c r="O24" s="2"/>
      <c r="P24" s="2"/>
      <c r="Q24" s="2"/>
      <c r="R24" s="2"/>
      <c r="S24" s="2"/>
      <c r="T24" s="2"/>
      <c r="U24" s="2"/>
      <c r="V24" s="2"/>
      <c r="W24" s="2"/>
      <c r="X24" s="2"/>
      <c r="Y24" s="2"/>
      <c r="Z24" s="2"/>
    </row>
    <row r="25" ht="12.75" customHeight="1" spans="1:26">
      <c r="A25" s="2"/>
      <c r="B25" s="46" t="s">
        <v>8561</v>
      </c>
      <c r="C25" s="46"/>
      <c r="D25" s="46"/>
      <c r="E25" s="2"/>
      <c r="F25" s="2"/>
      <c r="G25" s="2"/>
      <c r="H25" s="2"/>
      <c r="I25" s="2"/>
      <c r="J25" s="2"/>
      <c r="K25" s="2"/>
      <c r="L25" s="2"/>
      <c r="M25" s="2"/>
      <c r="N25" s="2"/>
      <c r="O25" s="2"/>
      <c r="P25" s="2"/>
      <c r="Q25" s="2"/>
      <c r="R25" s="2"/>
      <c r="S25" s="2"/>
      <c r="T25" s="2"/>
      <c r="U25" s="2"/>
      <c r="V25" s="2"/>
      <c r="W25" s="2"/>
      <c r="X25" s="2"/>
      <c r="Y25" s="2"/>
      <c r="Z25" s="2"/>
    </row>
    <row r="26" ht="12.75" customHeight="1" spans="1:26">
      <c r="A26" s="2"/>
      <c r="B26" s="47"/>
      <c r="C26" s="47" t="s">
        <v>8553</v>
      </c>
      <c r="D26" s="48" t="s">
        <v>8561</v>
      </c>
      <c r="E26" s="2"/>
      <c r="F26" s="2"/>
      <c r="G26" s="2"/>
      <c r="H26" s="2"/>
      <c r="I26" s="2"/>
      <c r="J26" s="2"/>
      <c r="K26" s="2"/>
      <c r="L26" s="2"/>
      <c r="M26" s="2"/>
      <c r="N26" s="2"/>
      <c r="O26" s="2"/>
      <c r="P26" s="2"/>
      <c r="Q26" s="2"/>
      <c r="R26" s="2"/>
      <c r="S26" s="2"/>
      <c r="T26" s="2"/>
      <c r="U26" s="2"/>
      <c r="V26" s="2"/>
      <c r="W26" s="2"/>
      <c r="X26" s="2"/>
      <c r="Y26" s="2"/>
      <c r="Z26" s="2"/>
    </row>
    <row r="27" ht="12.75" customHeight="1" spans="1:26">
      <c r="A27" s="2"/>
      <c r="B27" s="46" t="s">
        <v>8562</v>
      </c>
      <c r="C27" s="46"/>
      <c r="D27" s="46"/>
      <c r="E27" s="2"/>
      <c r="F27" s="2"/>
      <c r="G27" s="2"/>
      <c r="H27" s="2"/>
      <c r="I27" s="2"/>
      <c r="J27" s="2"/>
      <c r="K27" s="2"/>
      <c r="L27" s="2"/>
      <c r="M27" s="2"/>
      <c r="N27" s="2"/>
      <c r="O27" s="2"/>
      <c r="P27" s="2"/>
      <c r="Q27" s="2"/>
      <c r="R27" s="2"/>
      <c r="S27" s="2"/>
      <c r="T27" s="2"/>
      <c r="U27" s="2"/>
      <c r="V27" s="2"/>
      <c r="W27" s="2"/>
      <c r="X27" s="2"/>
      <c r="Y27" s="2"/>
      <c r="Z27" s="2"/>
    </row>
    <row r="28" ht="12.75" customHeight="1" spans="1:26">
      <c r="A28" s="2"/>
      <c r="B28" s="47"/>
      <c r="C28" s="47" t="s">
        <v>8553</v>
      </c>
      <c r="D28" s="48" t="s">
        <v>8562</v>
      </c>
      <c r="E28" s="2"/>
      <c r="F28" s="2"/>
      <c r="G28" s="2"/>
      <c r="H28" s="2"/>
      <c r="I28" s="2"/>
      <c r="J28" s="2"/>
      <c r="K28" s="2"/>
      <c r="L28" s="2"/>
      <c r="M28" s="2"/>
      <c r="N28" s="2"/>
      <c r="O28" s="2"/>
      <c r="P28" s="2"/>
      <c r="Q28" s="2"/>
      <c r="R28" s="2"/>
      <c r="S28" s="2"/>
      <c r="T28" s="2"/>
      <c r="U28" s="2"/>
      <c r="V28" s="2"/>
      <c r="W28" s="2"/>
      <c r="X28" s="2"/>
      <c r="Y28" s="2"/>
      <c r="Z28" s="2"/>
    </row>
    <row r="29" ht="12.75" customHeight="1" spans="1:26">
      <c r="A29" s="2"/>
      <c r="B29" s="46" t="s">
        <v>8563</v>
      </c>
      <c r="C29" s="46"/>
      <c r="D29" s="46"/>
      <c r="E29" s="2"/>
      <c r="F29" s="2"/>
      <c r="G29" s="2"/>
      <c r="H29" s="2"/>
      <c r="I29" s="2"/>
      <c r="J29" s="2"/>
      <c r="K29" s="2"/>
      <c r="L29" s="2"/>
      <c r="M29" s="2"/>
      <c r="N29" s="2"/>
      <c r="O29" s="2"/>
      <c r="P29" s="2"/>
      <c r="Q29" s="2"/>
      <c r="R29" s="2"/>
      <c r="S29" s="2"/>
      <c r="T29" s="2"/>
      <c r="U29" s="2"/>
      <c r="V29" s="2"/>
      <c r="W29" s="2"/>
      <c r="X29" s="2"/>
      <c r="Y29" s="2"/>
      <c r="Z29" s="2"/>
    </row>
    <row r="30" ht="12.75" customHeight="1" spans="1:26">
      <c r="A30" s="2"/>
      <c r="B30" s="47"/>
      <c r="C30" s="47" t="s">
        <v>8553</v>
      </c>
      <c r="D30" s="48" t="s">
        <v>8563</v>
      </c>
      <c r="E30" s="2"/>
      <c r="F30" s="2"/>
      <c r="G30" s="2"/>
      <c r="H30" s="2"/>
      <c r="I30" s="2"/>
      <c r="J30" s="2"/>
      <c r="K30" s="2"/>
      <c r="L30" s="2"/>
      <c r="M30" s="2"/>
      <c r="N30" s="2"/>
      <c r="O30" s="2"/>
      <c r="P30" s="2"/>
      <c r="Q30" s="2"/>
      <c r="R30" s="2"/>
      <c r="S30" s="2"/>
      <c r="T30" s="2"/>
      <c r="U30" s="2"/>
      <c r="V30" s="2"/>
      <c r="W30" s="2"/>
      <c r="X30" s="2"/>
      <c r="Y30" s="2"/>
      <c r="Z30" s="2"/>
    </row>
    <row r="31" ht="12.75" customHeight="1" spans="1:26">
      <c r="A31" s="2"/>
      <c r="B31" s="46" t="s">
        <v>8564</v>
      </c>
      <c r="C31" s="46"/>
      <c r="D31" s="46"/>
      <c r="E31" s="2"/>
      <c r="F31" s="2"/>
      <c r="G31" s="2"/>
      <c r="H31" s="2"/>
      <c r="I31" s="2"/>
      <c r="J31" s="2"/>
      <c r="K31" s="2"/>
      <c r="L31" s="2"/>
      <c r="M31" s="2"/>
      <c r="N31" s="2"/>
      <c r="O31" s="2"/>
      <c r="P31" s="2"/>
      <c r="Q31" s="2"/>
      <c r="R31" s="2"/>
      <c r="S31" s="2"/>
      <c r="T31" s="2"/>
      <c r="U31" s="2"/>
      <c r="V31" s="2"/>
      <c r="W31" s="2"/>
      <c r="X31" s="2"/>
      <c r="Y31" s="2"/>
      <c r="Z31" s="2"/>
    </row>
    <row r="32" ht="12.75" customHeight="1" spans="1:26">
      <c r="A32" s="2"/>
      <c r="B32" s="47"/>
      <c r="C32" s="47" t="s">
        <v>8553</v>
      </c>
      <c r="D32" s="48" t="s">
        <v>8564</v>
      </c>
      <c r="E32" s="2"/>
      <c r="F32" s="2"/>
      <c r="G32" s="2"/>
      <c r="H32" s="2"/>
      <c r="I32" s="2"/>
      <c r="J32" s="2"/>
      <c r="K32" s="2"/>
      <c r="L32" s="2"/>
      <c r="M32" s="2"/>
      <c r="N32" s="2"/>
      <c r="O32" s="2"/>
      <c r="P32" s="2"/>
      <c r="Q32" s="2"/>
      <c r="R32" s="2"/>
      <c r="S32" s="2"/>
      <c r="T32" s="2"/>
      <c r="U32" s="2"/>
      <c r="V32" s="2"/>
      <c r="W32" s="2"/>
      <c r="X32" s="2"/>
      <c r="Y32" s="2"/>
      <c r="Z32" s="2"/>
    </row>
    <row r="33" ht="12.75" customHeight="1" spans="1:26">
      <c r="A33" s="2"/>
      <c r="B33" s="46" t="s">
        <v>8565</v>
      </c>
      <c r="C33" s="46"/>
      <c r="D33" s="46"/>
      <c r="E33" s="2"/>
      <c r="F33" s="2"/>
      <c r="G33" s="2"/>
      <c r="H33" s="2"/>
      <c r="I33" s="2"/>
      <c r="J33" s="2"/>
      <c r="K33" s="2"/>
      <c r="L33" s="2"/>
      <c r="M33" s="2"/>
      <c r="N33" s="2"/>
      <c r="O33" s="2"/>
      <c r="P33" s="2"/>
      <c r="Q33" s="2"/>
      <c r="R33" s="2"/>
      <c r="S33" s="2"/>
      <c r="T33" s="2"/>
      <c r="U33" s="2"/>
      <c r="V33" s="2"/>
      <c r="W33" s="2"/>
      <c r="X33" s="2"/>
      <c r="Y33" s="2"/>
      <c r="Z33" s="2"/>
    </row>
    <row r="34" ht="12.75" customHeight="1" spans="1:26">
      <c r="A34" s="2"/>
      <c r="B34" s="47"/>
      <c r="C34" s="47" t="s">
        <v>8553</v>
      </c>
      <c r="D34" s="48" t="s">
        <v>8565</v>
      </c>
      <c r="E34" s="2"/>
      <c r="F34" s="2"/>
      <c r="G34" s="2"/>
      <c r="H34" s="2"/>
      <c r="I34" s="2"/>
      <c r="J34" s="2"/>
      <c r="K34" s="2"/>
      <c r="L34" s="2"/>
      <c r="M34" s="2"/>
      <c r="N34" s="2"/>
      <c r="O34" s="2"/>
      <c r="P34" s="2"/>
      <c r="Q34" s="2"/>
      <c r="R34" s="2"/>
      <c r="S34" s="2"/>
      <c r="T34" s="2"/>
      <c r="U34" s="2"/>
      <c r="V34" s="2"/>
      <c r="W34" s="2"/>
      <c r="X34" s="2"/>
      <c r="Y34" s="2"/>
      <c r="Z34" s="2"/>
    </row>
    <row r="35" ht="12.75" customHeight="1" spans="1:26">
      <c r="A35" s="2"/>
      <c r="B35" s="46" t="s">
        <v>8566</v>
      </c>
      <c r="C35" s="46"/>
      <c r="D35" s="46"/>
      <c r="E35" s="2"/>
      <c r="F35" s="2"/>
      <c r="G35" s="2"/>
      <c r="H35" s="2"/>
      <c r="I35" s="2"/>
      <c r="J35" s="2"/>
      <c r="K35" s="2"/>
      <c r="L35" s="2"/>
      <c r="M35" s="2"/>
      <c r="N35" s="2"/>
      <c r="O35" s="2"/>
      <c r="P35" s="2"/>
      <c r="Q35" s="2"/>
      <c r="R35" s="2"/>
      <c r="S35" s="2"/>
      <c r="T35" s="2"/>
      <c r="U35" s="2"/>
      <c r="V35" s="2"/>
      <c r="W35" s="2"/>
      <c r="X35" s="2"/>
      <c r="Y35" s="2"/>
      <c r="Z35" s="2"/>
    </row>
    <row r="36" ht="12.75" customHeight="1" spans="1:26">
      <c r="A36" s="2"/>
      <c r="B36" s="47"/>
      <c r="C36" s="47" t="s">
        <v>8553</v>
      </c>
      <c r="D36" s="48" t="s">
        <v>8566</v>
      </c>
      <c r="E36" s="2"/>
      <c r="F36" s="2"/>
      <c r="G36" s="2"/>
      <c r="H36" s="2"/>
      <c r="I36" s="2"/>
      <c r="J36" s="2"/>
      <c r="K36" s="2"/>
      <c r="L36" s="2"/>
      <c r="M36" s="2"/>
      <c r="N36" s="2"/>
      <c r="O36" s="2"/>
      <c r="P36" s="2"/>
      <c r="Q36" s="2"/>
      <c r="R36" s="2"/>
      <c r="S36" s="2"/>
      <c r="T36" s="2"/>
      <c r="U36" s="2"/>
      <c r="V36" s="2"/>
      <c r="W36" s="2"/>
      <c r="X36" s="2"/>
      <c r="Y36" s="2"/>
      <c r="Z36" s="2"/>
    </row>
    <row r="37" ht="12.75" customHeight="1" spans="1:26">
      <c r="A37" s="2"/>
      <c r="B37" s="46" t="s">
        <v>8567</v>
      </c>
      <c r="C37" s="46"/>
      <c r="D37" s="46"/>
      <c r="E37" s="2"/>
      <c r="F37" s="2"/>
      <c r="G37" s="2"/>
      <c r="H37" s="2"/>
      <c r="I37" s="2"/>
      <c r="J37" s="2"/>
      <c r="K37" s="2"/>
      <c r="L37" s="2"/>
      <c r="M37" s="2"/>
      <c r="N37" s="2"/>
      <c r="O37" s="2"/>
      <c r="P37" s="2"/>
      <c r="Q37" s="2"/>
      <c r="R37" s="2"/>
      <c r="S37" s="2"/>
      <c r="T37" s="2"/>
      <c r="U37" s="2"/>
      <c r="V37" s="2"/>
      <c r="W37" s="2"/>
      <c r="X37" s="2"/>
      <c r="Y37" s="2"/>
      <c r="Z37" s="2"/>
    </row>
    <row r="38" ht="12.75" customHeight="1" spans="1:26">
      <c r="A38" s="2"/>
      <c r="B38" s="47"/>
      <c r="C38" s="47" t="s">
        <v>8553</v>
      </c>
      <c r="D38" s="48" t="s">
        <v>8567</v>
      </c>
      <c r="E38" s="2"/>
      <c r="F38" s="2"/>
      <c r="G38" s="2"/>
      <c r="H38" s="2"/>
      <c r="I38" s="2"/>
      <c r="J38" s="2"/>
      <c r="K38" s="2"/>
      <c r="L38" s="2"/>
      <c r="M38" s="2"/>
      <c r="N38" s="2"/>
      <c r="O38" s="2"/>
      <c r="P38" s="2"/>
      <c r="Q38" s="2"/>
      <c r="R38" s="2"/>
      <c r="S38" s="2"/>
      <c r="T38" s="2"/>
      <c r="U38" s="2"/>
      <c r="V38" s="2"/>
      <c r="W38" s="2"/>
      <c r="X38" s="2"/>
      <c r="Y38" s="2"/>
      <c r="Z38" s="2"/>
    </row>
    <row r="39" ht="12.75" customHeight="1" spans="1:26">
      <c r="A39" s="2"/>
      <c r="B39" s="46" t="s">
        <v>8568</v>
      </c>
      <c r="C39" s="46"/>
      <c r="D39" s="46"/>
      <c r="E39" s="2"/>
      <c r="F39" s="2"/>
      <c r="G39" s="2"/>
      <c r="H39" s="2"/>
      <c r="I39" s="2"/>
      <c r="J39" s="2"/>
      <c r="K39" s="2"/>
      <c r="L39" s="2"/>
      <c r="M39" s="2"/>
      <c r="N39" s="2"/>
      <c r="O39" s="2"/>
      <c r="P39" s="2"/>
      <c r="Q39" s="2"/>
      <c r="R39" s="2"/>
      <c r="S39" s="2"/>
      <c r="T39" s="2"/>
      <c r="U39" s="2"/>
      <c r="V39" s="2"/>
      <c r="W39" s="2"/>
      <c r="X39" s="2"/>
      <c r="Y39" s="2"/>
      <c r="Z39" s="2"/>
    </row>
    <row r="40" ht="12.75" customHeight="1" spans="1:26">
      <c r="A40" s="2"/>
      <c r="B40" s="47"/>
      <c r="C40" s="47" t="s">
        <v>8553</v>
      </c>
      <c r="D40" s="48" t="s">
        <v>8568</v>
      </c>
      <c r="E40" s="2"/>
      <c r="F40" s="2"/>
      <c r="G40" s="2"/>
      <c r="H40" s="2"/>
      <c r="I40" s="2"/>
      <c r="J40" s="2"/>
      <c r="K40" s="2"/>
      <c r="L40" s="2"/>
      <c r="M40" s="2"/>
      <c r="N40" s="2"/>
      <c r="O40" s="2"/>
      <c r="P40" s="2"/>
      <c r="Q40" s="2"/>
      <c r="R40" s="2"/>
      <c r="S40" s="2"/>
      <c r="T40" s="2"/>
      <c r="U40" s="2"/>
      <c r="V40" s="2"/>
      <c r="W40" s="2"/>
      <c r="X40" s="2"/>
      <c r="Y40" s="2"/>
      <c r="Z40" s="2"/>
    </row>
    <row r="41" ht="12.75" customHeight="1" spans="1:26">
      <c r="A41" s="2"/>
      <c r="B41" s="46" t="s">
        <v>5400</v>
      </c>
      <c r="C41" s="46"/>
      <c r="D41" s="46"/>
      <c r="E41" s="2"/>
      <c r="F41" s="2"/>
      <c r="G41" s="2"/>
      <c r="H41" s="2"/>
      <c r="I41" s="2"/>
      <c r="J41" s="2"/>
      <c r="K41" s="2"/>
      <c r="L41" s="2"/>
      <c r="M41" s="2"/>
      <c r="N41" s="2"/>
      <c r="O41" s="2"/>
      <c r="P41" s="2"/>
      <c r="Q41" s="2"/>
      <c r="R41" s="2"/>
      <c r="S41" s="2"/>
      <c r="T41" s="2"/>
      <c r="U41" s="2"/>
      <c r="V41" s="2"/>
      <c r="W41" s="2"/>
      <c r="X41" s="2"/>
      <c r="Y41" s="2"/>
      <c r="Z41" s="2"/>
    </row>
    <row r="42" ht="12.75" customHeight="1" spans="1:26">
      <c r="A42" s="2"/>
      <c r="B42" s="47"/>
      <c r="C42" s="47" t="s">
        <v>8553</v>
      </c>
      <c r="D42" s="48" t="s">
        <v>5400</v>
      </c>
      <c r="E42" s="2"/>
      <c r="F42" s="2"/>
      <c r="G42" s="2"/>
      <c r="H42" s="2"/>
      <c r="I42" s="2"/>
      <c r="J42" s="2"/>
      <c r="K42" s="2"/>
      <c r="L42" s="2"/>
      <c r="M42" s="2"/>
      <c r="N42" s="2"/>
      <c r="O42" s="2"/>
      <c r="P42" s="2"/>
      <c r="Q42" s="2"/>
      <c r="R42" s="2"/>
      <c r="S42" s="2"/>
      <c r="T42" s="2"/>
      <c r="U42" s="2"/>
      <c r="V42" s="2"/>
      <c r="W42" s="2"/>
      <c r="X42" s="2"/>
      <c r="Y42" s="2"/>
      <c r="Z42" s="2"/>
    </row>
    <row r="43" ht="12.75" customHeight="1" spans="1:26">
      <c r="A43" s="2"/>
      <c r="B43" s="46" t="s">
        <v>1243</v>
      </c>
      <c r="C43" s="46"/>
      <c r="D43" s="46"/>
      <c r="E43" s="2"/>
      <c r="F43" s="2"/>
      <c r="G43" s="2"/>
      <c r="H43" s="2"/>
      <c r="I43" s="2"/>
      <c r="J43" s="2"/>
      <c r="K43" s="2"/>
      <c r="L43" s="2"/>
      <c r="M43" s="2"/>
      <c r="N43" s="2"/>
      <c r="O43" s="2"/>
      <c r="P43" s="2"/>
      <c r="Q43" s="2"/>
      <c r="R43" s="2"/>
      <c r="S43" s="2"/>
      <c r="T43" s="2"/>
      <c r="U43" s="2"/>
      <c r="V43" s="2"/>
      <c r="W43" s="2"/>
      <c r="X43" s="2"/>
      <c r="Y43" s="2"/>
      <c r="Z43" s="2"/>
    </row>
    <row r="44" ht="12.75" customHeight="1" spans="1:26">
      <c r="A44" s="2"/>
      <c r="B44" s="47"/>
      <c r="C44" s="47" t="s">
        <v>8553</v>
      </c>
      <c r="D44" s="48" t="s">
        <v>1243</v>
      </c>
      <c r="E44" s="2"/>
      <c r="F44" s="2"/>
      <c r="G44" s="2"/>
      <c r="H44" s="2"/>
      <c r="I44" s="2"/>
      <c r="J44" s="2"/>
      <c r="K44" s="2"/>
      <c r="L44" s="2"/>
      <c r="M44" s="2"/>
      <c r="N44" s="2"/>
      <c r="O44" s="2"/>
      <c r="P44" s="2"/>
      <c r="Q44" s="2"/>
      <c r="R44" s="2"/>
      <c r="S44" s="2"/>
      <c r="T44" s="2"/>
      <c r="U44" s="2"/>
      <c r="V44" s="2"/>
      <c r="W44" s="2"/>
      <c r="X44" s="2"/>
      <c r="Y44" s="2"/>
      <c r="Z44" s="2"/>
    </row>
    <row r="45" ht="12.75" customHeight="1" spans="1:26">
      <c r="A45" s="2"/>
      <c r="B45" s="46" t="s">
        <v>8569</v>
      </c>
      <c r="C45" s="46"/>
      <c r="D45" s="46"/>
      <c r="E45" s="2"/>
      <c r="F45" s="2"/>
      <c r="G45" s="2"/>
      <c r="H45" s="2"/>
      <c r="I45" s="2"/>
      <c r="J45" s="2"/>
      <c r="K45" s="2"/>
      <c r="L45" s="2"/>
      <c r="M45" s="2"/>
      <c r="N45" s="2"/>
      <c r="O45" s="2"/>
      <c r="P45" s="2"/>
      <c r="Q45" s="2"/>
      <c r="R45" s="2"/>
      <c r="S45" s="2"/>
      <c r="T45" s="2"/>
      <c r="U45" s="2"/>
      <c r="V45" s="2"/>
      <c r="W45" s="2"/>
      <c r="X45" s="2"/>
      <c r="Y45" s="2"/>
      <c r="Z45" s="2"/>
    </row>
    <row r="46" ht="12.75" customHeight="1" spans="1:26">
      <c r="A46" s="2"/>
      <c r="B46" s="47"/>
      <c r="C46" s="47" t="s">
        <v>8553</v>
      </c>
      <c r="D46" s="48" t="s">
        <v>8569</v>
      </c>
      <c r="E46" s="2"/>
      <c r="F46" s="2"/>
      <c r="G46" s="2"/>
      <c r="H46" s="2"/>
      <c r="I46" s="2"/>
      <c r="J46" s="2"/>
      <c r="K46" s="2"/>
      <c r="L46" s="2"/>
      <c r="M46" s="2"/>
      <c r="N46" s="2"/>
      <c r="O46" s="2"/>
      <c r="P46" s="2"/>
      <c r="Q46" s="2"/>
      <c r="R46" s="2"/>
      <c r="S46" s="2"/>
      <c r="T46" s="2"/>
      <c r="U46" s="2"/>
      <c r="V46" s="2"/>
      <c r="W46" s="2"/>
      <c r="X46" s="2"/>
      <c r="Y46" s="2"/>
      <c r="Z46" s="2"/>
    </row>
    <row r="47" ht="12.75" customHeight="1" spans="1:26">
      <c r="A47" s="2"/>
      <c r="B47" s="46" t="s">
        <v>8570</v>
      </c>
      <c r="C47" s="46"/>
      <c r="D47" s="46"/>
      <c r="E47" s="2"/>
      <c r="F47" s="2"/>
      <c r="G47" s="2"/>
      <c r="H47" s="2"/>
      <c r="I47" s="2"/>
      <c r="J47" s="2"/>
      <c r="K47" s="2"/>
      <c r="L47" s="2"/>
      <c r="M47" s="2"/>
      <c r="N47" s="2"/>
      <c r="O47" s="2"/>
      <c r="P47" s="2"/>
      <c r="Q47" s="2"/>
      <c r="R47" s="2"/>
      <c r="S47" s="2"/>
      <c r="T47" s="2"/>
      <c r="U47" s="2"/>
      <c r="V47" s="2"/>
      <c r="W47" s="2"/>
      <c r="X47" s="2"/>
      <c r="Y47" s="2"/>
      <c r="Z47" s="2"/>
    </row>
    <row r="48" ht="12.75" customHeight="1" spans="1:26">
      <c r="A48" s="2"/>
      <c r="B48" s="47"/>
      <c r="C48" s="47" t="s">
        <v>8553</v>
      </c>
      <c r="D48" s="48" t="s">
        <v>8571</v>
      </c>
      <c r="E48" s="2"/>
      <c r="F48" s="2"/>
      <c r="G48" s="2"/>
      <c r="H48" s="2"/>
      <c r="I48" s="2"/>
      <c r="J48" s="2"/>
      <c r="K48" s="2"/>
      <c r="L48" s="2"/>
      <c r="M48" s="2"/>
      <c r="N48" s="2"/>
      <c r="O48" s="2"/>
      <c r="P48" s="2"/>
      <c r="Q48" s="2"/>
      <c r="R48" s="2"/>
      <c r="S48" s="2"/>
      <c r="T48" s="2"/>
      <c r="U48" s="2"/>
      <c r="V48" s="2"/>
      <c r="W48" s="2"/>
      <c r="X48" s="2"/>
      <c r="Y48" s="2"/>
      <c r="Z48" s="2"/>
    </row>
    <row r="49" ht="12.75" customHeight="1" spans="1:26">
      <c r="A49" s="2"/>
      <c r="B49" s="47"/>
      <c r="C49" s="47" t="s">
        <v>8572</v>
      </c>
      <c r="D49" s="48" t="s">
        <v>8573</v>
      </c>
      <c r="E49" s="2"/>
      <c r="F49" s="2"/>
      <c r="G49" s="2"/>
      <c r="H49" s="2"/>
      <c r="I49" s="2"/>
      <c r="J49" s="2"/>
      <c r="K49" s="2"/>
      <c r="L49" s="2"/>
      <c r="M49" s="2"/>
      <c r="N49" s="2"/>
      <c r="O49" s="2"/>
      <c r="P49" s="2"/>
      <c r="Q49" s="2"/>
      <c r="R49" s="2"/>
      <c r="S49" s="2"/>
      <c r="T49" s="2"/>
      <c r="U49" s="2"/>
      <c r="V49" s="2"/>
      <c r="W49" s="2"/>
      <c r="X49" s="2"/>
      <c r="Y49" s="2"/>
      <c r="Z49" s="2"/>
    </row>
    <row r="50" ht="12.75" customHeight="1" spans="1:26">
      <c r="A50" s="2"/>
      <c r="B50" s="47"/>
      <c r="C50" s="47" t="s">
        <v>8574</v>
      </c>
      <c r="D50" s="48" t="s">
        <v>8575</v>
      </c>
      <c r="E50" s="2"/>
      <c r="F50" s="2"/>
      <c r="G50" s="2"/>
      <c r="H50" s="2"/>
      <c r="I50" s="2"/>
      <c r="J50" s="2"/>
      <c r="K50" s="2"/>
      <c r="L50" s="2"/>
      <c r="M50" s="2"/>
      <c r="N50" s="2"/>
      <c r="O50" s="2"/>
      <c r="P50" s="2"/>
      <c r="Q50" s="2"/>
      <c r="R50" s="2"/>
      <c r="S50" s="2"/>
      <c r="T50" s="2"/>
      <c r="U50" s="2"/>
      <c r="V50" s="2"/>
      <c r="W50" s="2"/>
      <c r="X50" s="2"/>
      <c r="Y50" s="2"/>
      <c r="Z50" s="2"/>
    </row>
    <row r="51" ht="12.75" customHeight="1"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ht="14.8"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ht="14.8"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ht="14.8"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ht="14.8"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ht="14.8"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ht="14.8"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ht="14.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ht="14.8"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ht="14.8"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ht="14.8"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ht="14.8"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ht="14.8"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ht="14.8"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ht="14.8"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ht="14.8"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ht="14.8"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ht="14.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ht="14.8"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ht="14.8"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ht="14.8"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ht="14.8"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ht="14.8"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ht="14.8"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ht="14.8"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ht="14.8"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ht="14.8"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ht="14.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ht="14.8"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ht="14.8"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ht="14.8"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ht="14.8"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ht="14.8"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ht="14.8"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ht="14.8"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ht="14.8"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ht="14.8"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ht="14.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ht="14.8"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ht="14.8"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ht="14.8"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ht="14.8"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ht="14.8"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ht="14.8"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ht="14.8"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ht="14.8"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ht="14.8"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ht="14.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ht="14.8"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ht="14.8"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8"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8"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8"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8"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8"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8"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8"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8"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8"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8"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8"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8"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8"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8"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8"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8"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8"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8"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8"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8"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8"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8"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8"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8"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8"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8"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8"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8"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8"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8"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8"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8"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8"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8"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8"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8"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8"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8"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8"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8"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8"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8"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8"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8"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8"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8"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8"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8"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8"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8"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8"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8"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8"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3:D3"/>
  </mergeCell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942"/>
  <sheetViews>
    <sheetView workbookViewId="0">
      <selection activeCell="G159" sqref="G159"/>
    </sheetView>
  </sheetViews>
  <sheetFormatPr defaultColWidth="12.6607142857143" defaultRowHeight="15" customHeight="1"/>
  <cols>
    <col min="1" max="1" width="10.6607142857143" customWidth="1"/>
    <col min="2" max="2" width="23.5" customWidth="1"/>
    <col min="3" max="5" width="8.5" customWidth="1"/>
    <col min="6" max="6" width="14.1607142857143" customWidth="1"/>
    <col min="7" max="7" width="12" customWidth="1"/>
    <col min="8" max="8" width="14.1607142857143" customWidth="1"/>
    <col min="9" max="17" width="8.5" customWidth="1"/>
    <col min="18" max="26" width="11.1607142857143" customWidth="1"/>
  </cols>
  <sheetData>
    <row r="1" ht="15.6" spans="1:26">
      <c r="A1" s="15" t="s">
        <v>0</v>
      </c>
      <c r="B1" s="15"/>
      <c r="C1" s="16"/>
      <c r="D1" s="16"/>
      <c r="E1" s="16"/>
      <c r="F1" s="16"/>
      <c r="G1" s="16"/>
      <c r="H1" s="27"/>
      <c r="I1" s="2"/>
      <c r="J1" s="2"/>
      <c r="K1" s="2"/>
      <c r="L1" s="2"/>
      <c r="M1" s="2"/>
      <c r="N1" s="2"/>
      <c r="O1" s="2"/>
      <c r="P1" s="2"/>
      <c r="Q1" s="2"/>
      <c r="R1" s="2"/>
      <c r="S1" s="2"/>
      <c r="T1" s="2"/>
      <c r="U1" s="2"/>
      <c r="V1" s="2"/>
      <c r="W1" s="2"/>
      <c r="X1" s="2"/>
      <c r="Y1" s="2"/>
      <c r="Z1" s="2"/>
    </row>
    <row r="2" ht="15.6" spans="1:26">
      <c r="A2" s="17" t="s">
        <v>1</v>
      </c>
      <c r="B2" s="18"/>
      <c r="C2" s="18"/>
      <c r="D2" s="19" t="s">
        <v>2</v>
      </c>
      <c r="E2" s="18"/>
      <c r="F2" s="18"/>
      <c r="G2" s="18"/>
      <c r="H2" s="27"/>
      <c r="I2" s="2"/>
      <c r="J2" s="2"/>
      <c r="K2" s="2"/>
      <c r="L2" s="2"/>
      <c r="M2" s="2"/>
      <c r="N2" s="2"/>
      <c r="O2" s="2"/>
      <c r="P2" s="2"/>
      <c r="Q2" s="2"/>
      <c r="R2" s="2"/>
      <c r="S2" s="2"/>
      <c r="T2" s="2"/>
      <c r="U2" s="2"/>
      <c r="V2" s="2"/>
      <c r="W2" s="2"/>
      <c r="X2" s="2"/>
      <c r="Y2" s="2"/>
      <c r="Z2" s="2"/>
    </row>
    <row r="3" ht="15.6" spans="1:26">
      <c r="A3" s="15" t="s">
        <v>3</v>
      </c>
      <c r="B3" s="15" t="s">
        <v>4</v>
      </c>
      <c r="C3" s="15" t="s">
        <v>5</v>
      </c>
      <c r="D3" s="15" t="s">
        <v>6</v>
      </c>
      <c r="E3" s="15" t="s">
        <v>7</v>
      </c>
      <c r="F3" s="15" t="s">
        <v>8</v>
      </c>
      <c r="G3" s="15" t="s">
        <v>9</v>
      </c>
      <c r="H3" s="27"/>
      <c r="I3" s="2"/>
      <c r="J3" s="2"/>
      <c r="K3" s="2"/>
      <c r="L3" s="2"/>
      <c r="M3" s="2"/>
      <c r="N3" s="2"/>
      <c r="O3" s="2"/>
      <c r="P3" s="2"/>
      <c r="Q3" s="2"/>
      <c r="R3" s="2"/>
      <c r="S3" s="2"/>
      <c r="T3" s="2"/>
      <c r="U3" s="2"/>
      <c r="V3" s="2"/>
      <c r="W3" s="2"/>
      <c r="X3" s="2"/>
      <c r="Y3" s="2"/>
      <c r="Z3" s="2"/>
    </row>
    <row r="4" ht="13.5" customHeight="1" spans="1:26">
      <c r="A4" s="20" t="s">
        <v>10</v>
      </c>
      <c r="B4" s="21" t="s">
        <v>11</v>
      </c>
      <c r="C4" s="20" t="s">
        <v>12</v>
      </c>
      <c r="D4" s="2"/>
      <c r="E4" s="2"/>
      <c r="F4" s="24" t="str">
        <f>HYPERLINK("http://cms.travelstart.com/uploads/image/asset/2656/air-france-logo.jpg","http://cms.travelstart.com/uploads/image/asset/2656/air-france-logo.jpg")</f>
        <v>http://cms.travelstart.com/uploads/image/asset/2656/air-france-logo.jpg</v>
      </c>
      <c r="G4" s="24" t="str">
        <f>HYPERLINK("http://www.airfrance.fr/cgi-bin/AF/FR/en/common/home/home/HomePageAction.do","http://www.airfrance.fr/cgi-bin/AF/FR/en/common/home/home/HomePageAction.do")</f>
        <v>http://www.airfrance.fr/cgi-bin/AF/FR/en/common/home/home/HomePageAction.do</v>
      </c>
      <c r="H4" s="2"/>
      <c r="I4" s="2"/>
      <c r="J4" s="2"/>
      <c r="K4" s="2"/>
      <c r="L4" s="2"/>
      <c r="M4" s="2"/>
      <c r="N4" s="2"/>
      <c r="O4" s="2"/>
      <c r="P4" s="2"/>
      <c r="Q4" s="2"/>
      <c r="R4" s="2"/>
      <c r="S4" s="2"/>
      <c r="T4" s="2"/>
      <c r="U4" s="2"/>
      <c r="V4" s="2"/>
      <c r="W4" s="2"/>
      <c r="X4" s="2"/>
      <c r="Y4" s="2"/>
      <c r="Z4" s="2"/>
    </row>
    <row r="5" ht="13.5" customHeight="1" spans="1:26">
      <c r="A5" s="22" t="s">
        <v>15</v>
      </c>
      <c r="B5" s="20" t="s">
        <v>16</v>
      </c>
      <c r="C5" s="20" t="s">
        <v>12</v>
      </c>
      <c r="D5" s="2"/>
      <c r="E5" s="2"/>
      <c r="F5" s="24" t="str">
        <f>HYPERLINK("https://autobahn13.files.wordpress.com/1300/04/easyjet-com.jpg","https://autobahn13.files.wordpress.com/1300/04/easyjet-com.jpg")</f>
        <v>https://autobahn13.files.wordpress.com/1300/04/easyjet-com.jpg</v>
      </c>
      <c r="G5" s="24" t="str">
        <f>HYPERLINK("http://www.easyjet.com/fr/","http://www.easyjet.com/fr/")</f>
        <v>http://www.easyjet.com/fr/</v>
      </c>
      <c r="H5" s="2"/>
      <c r="I5" s="2"/>
      <c r="J5" s="2"/>
      <c r="K5" s="2"/>
      <c r="L5" s="2"/>
      <c r="M5" s="2"/>
      <c r="N5" s="2"/>
      <c r="O5" s="2"/>
      <c r="P5" s="2"/>
      <c r="Q5" s="2"/>
      <c r="R5" s="2"/>
      <c r="S5" s="2"/>
      <c r="T5" s="2"/>
      <c r="U5" s="2"/>
      <c r="V5" s="2"/>
      <c r="W5" s="2"/>
      <c r="X5" s="2"/>
      <c r="Y5" s="2"/>
      <c r="Z5" s="2"/>
    </row>
    <row r="6" ht="13.5" customHeight="1" spans="1:26">
      <c r="A6" s="20" t="s">
        <v>18</v>
      </c>
      <c r="B6" s="2" t="s">
        <v>8576</v>
      </c>
      <c r="C6" s="20" t="s">
        <v>20</v>
      </c>
      <c r="D6" s="23">
        <v>340</v>
      </c>
      <c r="E6" s="20" t="s">
        <v>21</v>
      </c>
      <c r="F6" s="24" t="str">
        <f>HYPERLINK("http://www.parisaeroport.fr/images/default-source/logos-adp/logo_adp_home.png?sfvrsn=30","http://www.parisaeroport.fr/images/default-source/logos-adp/logo_adp_home.png?sfvrsn=30")</f>
        <v>http://www.parisaeroport.fr/images/default-source/logos-adp/logo_adp_home.png?sfvrsn=30</v>
      </c>
      <c r="G6" s="24" t="str">
        <f>HYPERLINK("http://www.parisaeroport.fr","http://www.parisaeroport.fr")</f>
        <v>http://www.parisaeroport.fr</v>
      </c>
      <c r="H6" s="2"/>
      <c r="I6" s="2"/>
      <c r="J6" s="2"/>
      <c r="K6" s="2"/>
      <c r="L6" s="2"/>
      <c r="M6" s="2"/>
      <c r="N6" s="2"/>
      <c r="O6" s="2"/>
      <c r="P6" s="2"/>
      <c r="Q6" s="2"/>
      <c r="R6" s="2"/>
      <c r="S6" s="2"/>
      <c r="T6" s="2"/>
      <c r="U6" s="2"/>
      <c r="V6" s="2"/>
      <c r="W6" s="2"/>
      <c r="X6" s="2"/>
      <c r="Y6" s="2"/>
      <c r="Z6" s="2"/>
    </row>
    <row r="7" ht="13.5" customHeight="1" spans="1:26">
      <c r="A7" s="20" t="s">
        <v>24</v>
      </c>
      <c r="B7" s="20" t="s">
        <v>25</v>
      </c>
      <c r="C7" s="20" t="s">
        <v>26</v>
      </c>
      <c r="D7" s="20"/>
      <c r="E7" s="20"/>
      <c r="F7" s="24" t="str">
        <f>HYPERLINK("http://bienvenue.paris/wp-content/uploads/2014/06/Tour-Eiffel-illumin%C3%A9e-02-%C2%A9-Pierre-Nicou-SETE-1024x680.jpg","http://bienvenue.paris/wp-content/uploads/2014/06/Tour-Eiffel-illumin%C3%A9e-02-%C2%A9-Pierre-Nicou-SETE-1024x680.jpg")</f>
        <v>http://bienvenue.paris/wp-content/uploads/2014/06/Tour-Eiffel-illumin%C3%A9e-02-%C2%A9-Pierre-Nicou-SETE-1024x680.jpg</v>
      </c>
      <c r="G7" s="24" t="str">
        <f>HYPERLINK("http://www.toureiffel.paris/fr.html","http://www.toureiffel.paris/fr.html")</f>
        <v>http://www.toureiffel.paris/fr.html</v>
      </c>
      <c r="H7" s="2"/>
      <c r="I7" s="2"/>
      <c r="J7" s="2"/>
      <c r="K7" s="2"/>
      <c r="L7" s="2"/>
      <c r="M7" s="2"/>
      <c r="N7" s="2"/>
      <c r="O7" s="2"/>
      <c r="P7" s="2"/>
      <c r="Q7" s="2"/>
      <c r="R7" s="2"/>
      <c r="S7" s="2"/>
      <c r="T7" s="2"/>
      <c r="U7" s="2"/>
      <c r="V7" s="2"/>
      <c r="W7" s="2"/>
      <c r="X7" s="2"/>
      <c r="Y7" s="2"/>
      <c r="Z7" s="2"/>
    </row>
    <row r="8" ht="13.5" customHeight="1" spans="1:26">
      <c r="A8" s="20" t="s">
        <v>29</v>
      </c>
      <c r="B8" s="20" t="s">
        <v>30</v>
      </c>
      <c r="C8" s="20" t="s">
        <v>31</v>
      </c>
      <c r="D8" s="23">
        <v>30</v>
      </c>
      <c r="E8" s="20" t="s">
        <v>32</v>
      </c>
      <c r="F8" s="24" t="str">
        <f>HYPERLINK("https://assets.worldsbestbars.com/bar_425_320/Bar%20228%20small%201_54ae7893cf871.jpg","https://assets.worldsbestbars.com/bar_425_320/Bar%20228%20small%201_54ae7893cf871.jpg")</f>
        <v>https://assets.worldsbestbars.com/bar_425_320/Bar%20228%20small%201_54ae7893cf871.jpg</v>
      </c>
      <c r="G8" s="24" t="str">
        <f>HYPERLINK("https://www.dorchestercollection.com/fr/paris/le-meurice/restaurant-bars/bar-228/","https://www.dorchestercollection.com/fr/paris/le-meurice/restaurant-bars/bar-228/")</f>
        <v>https://www.dorchestercollection.com/fr/paris/le-meurice/restaurant-bars/bar-228/</v>
      </c>
      <c r="H8" s="2"/>
      <c r="I8" s="2"/>
      <c r="J8" s="2"/>
      <c r="K8" s="2"/>
      <c r="L8" s="2"/>
      <c r="M8" s="2"/>
      <c r="N8" s="2"/>
      <c r="O8" s="2"/>
      <c r="P8" s="2"/>
      <c r="Q8" s="2"/>
      <c r="R8" s="2"/>
      <c r="S8" s="2"/>
      <c r="T8" s="2"/>
      <c r="U8" s="2"/>
      <c r="V8" s="2"/>
      <c r="W8" s="2"/>
      <c r="X8" s="2"/>
      <c r="Y8" s="2"/>
      <c r="Z8" s="2"/>
    </row>
    <row r="9" ht="13.5" customHeight="1" spans="1:26">
      <c r="A9" s="20" t="s">
        <v>35</v>
      </c>
      <c r="B9" s="20" t="s">
        <v>36</v>
      </c>
      <c r="C9" s="20" t="s">
        <v>31</v>
      </c>
      <c r="D9" s="23">
        <v>30</v>
      </c>
      <c r="E9" s="20" t="s">
        <v>37</v>
      </c>
      <c r="F9" s="24" t="str">
        <f>HYPERLINK("https://igx.4sqi.net/img/general/600x600/46986560_zqj8mENB4voUAVEQbyRu3J_DrhvOhRKXCjyin3yG0ok.jpg","https://igx.4sqi.net/img/general/600x600/46986560_zqj8mENB4voUAVEQbyRu3J_DrhvOhRKXCjyin3yG0ok.jpg")</f>
        <v>https://igx.4sqi.net/img/general/600x600/46986560_zqj8mENB4voUAVEQbyRu3J_DrhvOhRKXCjyin3yG0ok.jpg</v>
      </c>
      <c r="G9" s="24" t="str">
        <f>HYPERLINK("http://www.sherrybuttparis.com","http://www.sherrybuttparis.com")</f>
        <v>http://www.sherrybuttparis.com</v>
      </c>
      <c r="H9" s="2"/>
      <c r="I9" s="2"/>
      <c r="J9" s="2"/>
      <c r="K9" s="2"/>
      <c r="L9" s="2"/>
      <c r="M9" s="2"/>
      <c r="N9" s="2"/>
      <c r="O9" s="2"/>
      <c r="P9" s="2"/>
      <c r="Q9" s="2"/>
      <c r="R9" s="2"/>
      <c r="S9" s="2"/>
      <c r="T9" s="2"/>
      <c r="U9" s="2"/>
      <c r="V9" s="2"/>
      <c r="W9" s="2"/>
      <c r="X9" s="2"/>
      <c r="Y9" s="2"/>
      <c r="Z9" s="2"/>
    </row>
    <row r="10" ht="13.5" customHeight="1" spans="1:26">
      <c r="A10" s="20" t="s">
        <v>40</v>
      </c>
      <c r="B10" s="24" t="str">
        <f>HYPERLINK("http://Booking.com","Booking.com")</f>
        <v>Booking.com</v>
      </c>
      <c r="C10" s="24" t="str">
        <f>HYPERLINK("http://Booking.com","Booking.com")</f>
        <v>Booking.com</v>
      </c>
      <c r="D10" s="23">
        <v>106</v>
      </c>
      <c r="E10" s="20" t="s">
        <v>21</v>
      </c>
      <c r="F10" s="24" t="str">
        <f>HYPERLINK("http://www.logoeps.net/wp-content/uploads/2013/06/booking-com-logo.jpg","http://www.logoeps.net/wp-content/uploads/2013/06/booking-com-logo.jpg")</f>
        <v>http://www.logoeps.net/wp-content/uploads/2013/06/booking-com-logo.jpg</v>
      </c>
      <c r="G10" s="24" t="str">
        <f>HYPERLINK("http://www.booking.com/","http://www.booking.com/")</f>
        <v>http://www.booking.com/</v>
      </c>
      <c r="H10" s="2"/>
      <c r="I10" s="2"/>
      <c r="J10" s="2"/>
      <c r="K10" s="2"/>
      <c r="L10" s="2"/>
      <c r="M10" s="2"/>
      <c r="N10" s="2"/>
      <c r="O10" s="2"/>
      <c r="P10" s="2"/>
      <c r="Q10" s="2"/>
      <c r="R10" s="2"/>
      <c r="S10" s="2"/>
      <c r="T10" s="2"/>
      <c r="U10" s="2"/>
      <c r="V10" s="2"/>
      <c r="W10" s="2"/>
      <c r="X10" s="2"/>
      <c r="Y10" s="2"/>
      <c r="Z10" s="2"/>
    </row>
    <row r="11" ht="13.5" customHeight="1" spans="1:26">
      <c r="A11" s="20" t="s">
        <v>44</v>
      </c>
      <c r="B11" s="20" t="s">
        <v>893</v>
      </c>
      <c r="C11" s="20" t="s">
        <v>46</v>
      </c>
      <c r="D11" s="2"/>
      <c r="E11" s="2"/>
      <c r="F11" s="24" t="str">
        <f>HYPERLINK("http://enginegroup.co.uk/assets/images/691_mercedes-grid.jpg","http://enginegroup.co.uk/assets/images/691_mercedes-grid.jpg")</f>
        <v>http://enginegroup.co.uk/assets/images/691_mercedes-grid.jpg</v>
      </c>
      <c r="G11" s="24" t="str">
        <f>HYPERLINK("http://www.mercedes-benz.fr/content/france/mpc/mpc_france_website/fr/home_mpc/passengercars.html","http://www.mercedes-benz.fr/content/france/mpc/mpc_france_website/fr/home_mpc/passengercars.html")</f>
        <v>http://www.mercedes-benz.fr/content/france/mpc/mpc_france_website/fr/home_mpc/passengercars.html</v>
      </c>
      <c r="H11" s="2"/>
      <c r="I11" s="2"/>
      <c r="J11" s="2"/>
      <c r="K11" s="2"/>
      <c r="L11" s="2"/>
      <c r="M11" s="2"/>
      <c r="N11" s="2"/>
      <c r="O11" s="2"/>
      <c r="P11" s="2"/>
      <c r="Q11" s="2"/>
      <c r="R11" s="2"/>
      <c r="S11" s="2"/>
      <c r="T11" s="2"/>
      <c r="U11" s="2"/>
      <c r="V11" s="2"/>
      <c r="W11" s="2"/>
      <c r="X11" s="2"/>
      <c r="Y11" s="2"/>
      <c r="Z11" s="2"/>
    </row>
    <row r="12" ht="13.5" customHeight="1" spans="1:26">
      <c r="A12" s="20" t="s">
        <v>49</v>
      </c>
      <c r="B12" s="20" t="s">
        <v>50</v>
      </c>
      <c r="C12" s="20" t="s">
        <v>51</v>
      </c>
      <c r="D12" s="2"/>
      <c r="E12" s="2"/>
      <c r="F12" s="24" t="str">
        <f>HYPERLINK("http://www.donenconfiance.org/offres/image_inline_src/759/Alb_1596_800_759_imgO_030216_163332.JPG","http://www.donenconfiance.org/offres/image_inline_src/759/Alb_1596_800_759_imgO_030216_163332.JPG")</f>
        <v>http://www.donenconfiance.org/offres/image_inline_src/759/Alb_1596_800_759_imgO_030216_163332.JPG</v>
      </c>
      <c r="G12" s="24" t="str">
        <f>HYPERLINK("https://www.sosve.org","https://www.sosve.org")</f>
        <v>https://www.sosve.org</v>
      </c>
      <c r="H12" s="2"/>
      <c r="I12" s="2"/>
      <c r="J12" s="2"/>
      <c r="K12" s="2"/>
      <c r="L12" s="2"/>
      <c r="M12" s="2"/>
      <c r="N12" s="2"/>
      <c r="O12" s="2"/>
      <c r="P12" s="2"/>
      <c r="Q12" s="2"/>
      <c r="R12" s="2"/>
      <c r="S12" s="2"/>
      <c r="T12" s="2"/>
      <c r="U12" s="2"/>
      <c r="V12" s="2"/>
      <c r="W12" s="2"/>
      <c r="X12" s="2"/>
      <c r="Y12" s="2"/>
      <c r="Z12" s="2"/>
    </row>
    <row r="13" ht="13.5" customHeight="1" spans="1:26">
      <c r="A13" s="20" t="s">
        <v>54</v>
      </c>
      <c r="B13" s="20" t="s">
        <v>55</v>
      </c>
      <c r="C13" s="20" t="s">
        <v>56</v>
      </c>
      <c r="D13" s="20"/>
      <c r="E13" s="20"/>
      <c r="F13" s="24" t="str">
        <f>HYPERLINK("https://upload.wikimedia.org/wikipedia/commons/8/8b/Logo_Vision_du_Monde_officiel.jpg","https://upload.wikimedia.org/wikipedia/commons/8/8b/Logo_Vision_du_Monde_officiel.jpg")</f>
        <v>https://upload.wikimedia.org/wikipedia/commons/8/8b/Logo_Vision_du_Monde_officiel.jpg</v>
      </c>
      <c r="G13" s="24" t="str">
        <f>HYPERLINK("http://www.visiondumonde.fr/","http://www.visiondumonde.fr/")</f>
        <v>http://www.visiondumonde.fr/</v>
      </c>
      <c r="H13" s="2"/>
      <c r="I13" s="2"/>
      <c r="J13" s="2"/>
      <c r="K13" s="2"/>
      <c r="L13" s="2"/>
      <c r="M13" s="2"/>
      <c r="N13" s="2"/>
      <c r="O13" s="2"/>
      <c r="P13" s="2"/>
      <c r="Q13" s="2"/>
      <c r="R13" s="2"/>
      <c r="S13" s="2"/>
      <c r="T13" s="2"/>
      <c r="U13" s="2"/>
      <c r="V13" s="2"/>
      <c r="W13" s="2"/>
      <c r="X13" s="2"/>
      <c r="Y13" s="2"/>
      <c r="Z13" s="2"/>
    </row>
    <row r="14" ht="13.5" customHeight="1" spans="1:26">
      <c r="A14" s="20" t="s">
        <v>59</v>
      </c>
      <c r="B14" s="20" t="s">
        <v>60</v>
      </c>
      <c r="C14" s="20" t="s">
        <v>61</v>
      </c>
      <c r="D14" s="23">
        <v>13</v>
      </c>
      <c r="E14" s="20" t="s">
        <v>37</v>
      </c>
      <c r="F14" s="24" t="str">
        <f>HYPERLINK("http://www.pifff.fr/2015/images_nav/LOGO_GRAND_REX.jpg","http://www.pifff.fr/2015/images_nav/LOGO_GRAND_REX.jpg")</f>
        <v>http://www.pifff.fr/2015/images_nav/LOGO_GRAND_REX.jpg</v>
      </c>
      <c r="G14" s="24" t="str">
        <f>HYPERLINK("http://www.legrandrex.com","http://www.legrandrex.com")</f>
        <v>http://www.legrandrex.com</v>
      </c>
      <c r="H14" s="2"/>
      <c r="I14" s="2"/>
      <c r="J14" s="2"/>
      <c r="K14" s="2"/>
      <c r="L14" s="2"/>
      <c r="M14" s="2"/>
      <c r="N14" s="2"/>
      <c r="O14" s="2"/>
      <c r="P14" s="2"/>
      <c r="Q14" s="2"/>
      <c r="R14" s="2"/>
      <c r="S14" s="2"/>
      <c r="T14" s="2"/>
      <c r="U14" s="2"/>
      <c r="V14" s="2"/>
      <c r="W14" s="2"/>
      <c r="X14" s="2"/>
      <c r="Y14" s="2"/>
      <c r="Z14" s="2"/>
    </row>
    <row r="15" ht="13.5" customHeight="1" spans="1:26">
      <c r="A15" s="20" t="s">
        <v>64</v>
      </c>
      <c r="B15" s="20" t="s">
        <v>65</v>
      </c>
      <c r="C15" s="20" t="s">
        <v>66</v>
      </c>
      <c r="D15" s="23">
        <v>13</v>
      </c>
      <c r="E15" s="20" t="s">
        <v>32</v>
      </c>
      <c r="F15" s="24" t="str">
        <f>HYPERLINK("https://iseekcoffee.files.wordpress.com/2014/02/p1220731.jpeg?w=611&amp;h=458&amp;crop=1","https://iseekcoffee.files.wordpress.com/2014/02/p1220731.jpeg?w=611&amp;h=458&amp;crop=1")</f>
        <v>https://iseekcoffee.files.wordpress.com/2014/02/p1220731.jpeg?w=611&amp;h=458&amp;crop=1</v>
      </c>
      <c r="G15" s="24" t="str">
        <f>HYPERLINK("http://www.kbcafeshop.com","http://www.kbcafeshop.com")</f>
        <v>http://www.kbcafeshop.com</v>
      </c>
      <c r="H15" s="2"/>
      <c r="I15" s="2"/>
      <c r="J15" s="2"/>
      <c r="K15" s="2"/>
      <c r="L15" s="2"/>
      <c r="M15" s="2"/>
      <c r="N15" s="2"/>
      <c r="O15" s="2"/>
      <c r="P15" s="2"/>
      <c r="Q15" s="2"/>
      <c r="R15" s="2"/>
      <c r="S15" s="2"/>
      <c r="T15" s="2"/>
      <c r="U15" s="2"/>
      <c r="V15" s="2"/>
      <c r="W15" s="2"/>
      <c r="X15" s="2"/>
      <c r="Y15" s="2"/>
      <c r="Z15" s="2"/>
    </row>
    <row r="16" ht="13.5" customHeight="1" spans="1:26">
      <c r="A16" s="20" t="s">
        <v>69</v>
      </c>
      <c r="B16" s="20" t="s">
        <v>70</v>
      </c>
      <c r="C16" s="20" t="s">
        <v>66</v>
      </c>
      <c r="D16" s="23">
        <v>12</v>
      </c>
      <c r="E16" s="20" t="s">
        <v>71</v>
      </c>
      <c r="F16" s="24" t="str">
        <f>HYPERLINK("https://s-media-cache-ak0.pinimg.com/736x/33/c4/25/33c4256a62fedec1dafe6bf83ab086ae.jpg","https://s-media-cache-ak0.pinimg.com/736x/33/c4/25/33c4256a62fedec1dafe6bf83ab086ae.jpg")</f>
        <v>https://s-media-cache-ak0.pinimg.com/736x/33/c4/25/33c4256a62fedec1dafe6bf83ab086ae.jpg</v>
      </c>
      <c r="G16" s="24" t="str">
        <f>HYPERLINK("http://www.tenbelles.com","http://www.tenbelles.com")</f>
        <v>http://www.tenbelles.com</v>
      </c>
      <c r="H16" s="2"/>
      <c r="I16" s="2"/>
      <c r="J16" s="2"/>
      <c r="K16" s="2"/>
      <c r="L16" s="2"/>
      <c r="M16" s="2"/>
      <c r="N16" s="2"/>
      <c r="O16" s="2"/>
      <c r="P16" s="2"/>
      <c r="Q16" s="2"/>
      <c r="R16" s="2"/>
      <c r="S16" s="2"/>
      <c r="T16" s="2"/>
      <c r="U16" s="2"/>
      <c r="V16" s="2"/>
      <c r="W16" s="2"/>
      <c r="X16" s="2"/>
      <c r="Y16" s="2"/>
      <c r="Z16" s="2"/>
    </row>
    <row r="17" ht="13.5" customHeight="1" spans="1:26">
      <c r="A17" s="20" t="s">
        <v>74</v>
      </c>
      <c r="B17" s="20" t="s">
        <v>75</v>
      </c>
      <c r="C17" s="20" t="s">
        <v>76</v>
      </c>
      <c r="D17" s="2"/>
      <c r="E17" s="2"/>
      <c r="F17" s="24" t="str">
        <f>HYPERLINK("http://docs.alibabagroup.com/assets2/images/en/news/library_logos_alibaba_large.png","http://docs.alibabagroup.com/assets2/images/en/news/library_logos_alibaba_large.png")</f>
        <v>http://docs.alibabagroup.com/assets2/images/en/news/library_logos_alibaba_large.png</v>
      </c>
      <c r="G17" s="24" t="str">
        <f>HYPERLINK("https://www.alibaba.com/showroom/commercial-french-doors.html","https://www.alibaba.com/showroom/commercial-french-doors.html")</f>
        <v>https://www.alibaba.com/showroom/commercial-french-doors.html</v>
      </c>
      <c r="H17" s="2"/>
      <c r="I17" s="2"/>
      <c r="J17" s="2"/>
      <c r="K17" s="2"/>
      <c r="L17" s="2"/>
      <c r="M17" s="2"/>
      <c r="N17" s="2"/>
      <c r="O17" s="2"/>
      <c r="P17" s="2"/>
      <c r="Q17" s="2"/>
      <c r="R17" s="2"/>
      <c r="S17" s="2"/>
      <c r="T17" s="2"/>
      <c r="U17" s="2"/>
      <c r="V17" s="2"/>
      <c r="W17" s="2"/>
      <c r="X17" s="2"/>
      <c r="Y17" s="2"/>
      <c r="Z17" s="2"/>
    </row>
    <row r="18" ht="13.5" customHeight="1" spans="1:26">
      <c r="A18" s="20" t="s">
        <v>79</v>
      </c>
      <c r="B18" s="20" t="s">
        <v>80</v>
      </c>
      <c r="C18" s="20" t="s">
        <v>81</v>
      </c>
      <c r="D18" s="23">
        <v>30</v>
      </c>
      <c r="E18" s="20" t="s">
        <v>37</v>
      </c>
      <c r="F18" s="24" t="str">
        <f>HYPERLINK("http://www.guillauma-pesme-avocats.com/medias/shared/logo-service-public.jpg","http://www.guillauma-pesme-avocats.com/medias/shared/logo-service-public.jpg")</f>
        <v>http://www.guillauma-pesme-avocats.com/medias/shared/logo-service-public.jpg</v>
      </c>
      <c r="G18" s="24" t="str">
        <f>HYPERLINK("https://www.service-public.fr/particuliers/vosdroits/F42","https://www.service-public.fr/particuliers/vosdroits/F42")</f>
        <v>https://www.service-public.fr/particuliers/vosdroits/F42</v>
      </c>
      <c r="H18" s="2"/>
      <c r="I18" s="2"/>
      <c r="J18" s="2"/>
      <c r="K18" s="2"/>
      <c r="L18" s="2"/>
      <c r="M18" s="2"/>
      <c r="N18" s="2"/>
      <c r="O18" s="2"/>
      <c r="P18" s="2"/>
      <c r="Q18" s="2"/>
      <c r="R18" s="2"/>
      <c r="S18" s="2"/>
      <c r="T18" s="2"/>
      <c r="U18" s="2"/>
      <c r="V18" s="2"/>
      <c r="W18" s="2"/>
      <c r="X18" s="2"/>
      <c r="Y18" s="2"/>
      <c r="Z18" s="2"/>
    </row>
    <row r="19" ht="13.5" customHeight="1" spans="1:26">
      <c r="A19" s="20" t="s">
        <v>84</v>
      </c>
      <c r="B19" s="20" t="s">
        <v>85</v>
      </c>
      <c r="C19" s="20" t="s">
        <v>86</v>
      </c>
      <c r="D19" s="20"/>
      <c r="E19" s="20"/>
      <c r="F19" s="24" t="str">
        <f>HYPERLINK("http://dr-bauer-patrick.chirurgiens-dentistes.fr/Images/iload/Presentation/b0aec269-5de3-43bd-b411-212bdcaee4a1/6_Diaporama.jpg","http://dr-bauer-patrick.chirurgiens-dentistes.fr/Images/iload/Presentation/b0aec269-5de3-43bd-b411-212bdcaee4a1/6_Diaporama.jpg")</f>
        <v>http://dr-bauer-patrick.chirurgiens-dentistes.fr/Images/iload/Presentation/b0aec269-5de3-43bd-b411-212bdcaee4a1/6_Diaporama.jpg</v>
      </c>
      <c r="G19" s="24" t="str">
        <f>HYPERLINK("http://dr-bauer-patrick.chirurgiens-dentistes.fr/","http://dr-bauer-patrick.chirurgiens-dentistes.fr/")</f>
        <v>http://dr-bauer-patrick.chirurgiens-dentistes.fr/</v>
      </c>
      <c r="H19" s="2"/>
      <c r="I19" s="2"/>
      <c r="J19" s="2"/>
      <c r="K19" s="2"/>
      <c r="L19" s="2"/>
      <c r="M19" s="2"/>
      <c r="N19" s="2"/>
      <c r="O19" s="2"/>
      <c r="P19" s="2"/>
      <c r="Q19" s="2"/>
      <c r="R19" s="2"/>
      <c r="S19" s="2"/>
      <c r="T19" s="2"/>
      <c r="U19" s="2"/>
      <c r="V19" s="2"/>
      <c r="W19" s="2"/>
      <c r="X19" s="2"/>
      <c r="Y19" s="2"/>
      <c r="Z19" s="2"/>
    </row>
    <row r="20" ht="13.5" customHeight="1" spans="1:26">
      <c r="A20" s="20" t="s">
        <v>89</v>
      </c>
      <c r="B20" s="20" t="s">
        <v>90</v>
      </c>
      <c r="C20" s="20" t="s">
        <v>91</v>
      </c>
      <c r="D20" s="2"/>
      <c r="E20" s="2"/>
      <c r="F20" s="24" t="str">
        <f>HYPERLINK("https://vingtparis.com/wp-content/themes/honeypot/library/images/vingt-paris-logo.jpg","https://vingtparis.com/wp-content/themes/honeypot/library/images/vingt-paris-logo.jpg")</f>
        <v>https://vingtparis.com/wp-content/themes/honeypot/library/images/vingt-paris-logo.jpg</v>
      </c>
      <c r="G20" s="24" t="str">
        <f>HYPERLINK("https://vingtparis.com","https://vingtparis.com")</f>
        <v>https://vingtparis.com</v>
      </c>
      <c r="H20" s="2"/>
      <c r="I20" s="2"/>
      <c r="J20" s="2"/>
      <c r="K20" s="2"/>
      <c r="L20" s="2"/>
      <c r="M20" s="2"/>
      <c r="N20" s="2"/>
      <c r="O20" s="2"/>
      <c r="P20" s="2"/>
      <c r="Q20" s="2"/>
      <c r="R20" s="2"/>
      <c r="S20" s="2"/>
      <c r="T20" s="2"/>
      <c r="U20" s="2"/>
      <c r="V20" s="2"/>
      <c r="W20" s="2"/>
      <c r="X20" s="2"/>
      <c r="Y20" s="2"/>
      <c r="Z20" s="2"/>
    </row>
    <row r="21" ht="13.5" customHeight="1" spans="1:26">
      <c r="A21" s="20" t="s">
        <v>94</v>
      </c>
      <c r="B21" s="20" t="s">
        <v>95</v>
      </c>
      <c r="C21" s="20" t="s">
        <v>96</v>
      </c>
      <c r="D21" s="23">
        <v>80</v>
      </c>
      <c r="E21" s="20" t="s">
        <v>97</v>
      </c>
      <c r="F21" s="24" t="str">
        <f>HYPERLINK("http://logok.org/wp-content/uploads/2014/05/Total-logo-1024x768.png","http://logok.org/wp-content/uploads/2014/05/Total-logo-1024x768.png")</f>
        <v>http://logok.org/wp-content/uploads/2014/05/Total-logo-1024x768.png</v>
      </c>
      <c r="G21" s="24" t="str">
        <f>HYPERLINK("http://www.total.fr/","www.total.fr/")</f>
        <v>www.total.fr/</v>
      </c>
      <c r="H21" s="2"/>
      <c r="I21" s="2"/>
      <c r="J21" s="2"/>
      <c r="K21" s="2"/>
      <c r="L21" s="2"/>
      <c r="M21" s="2"/>
      <c r="N21" s="2"/>
      <c r="O21" s="2"/>
      <c r="P21" s="2"/>
      <c r="Q21" s="2"/>
      <c r="R21" s="2"/>
      <c r="S21" s="2"/>
      <c r="T21" s="2"/>
      <c r="U21" s="2"/>
      <c r="V21" s="2"/>
      <c r="W21" s="2"/>
      <c r="X21" s="2"/>
      <c r="Y21" s="2"/>
      <c r="Z21" s="2"/>
    </row>
    <row r="22" ht="13.5" customHeight="1" spans="1:26">
      <c r="A22" s="20" t="s">
        <v>99</v>
      </c>
      <c r="B22" s="20" t="s">
        <v>100</v>
      </c>
      <c r="C22" s="20" t="s">
        <v>96</v>
      </c>
      <c r="D22" s="23">
        <v>80</v>
      </c>
      <c r="E22" s="20" t="s">
        <v>97</v>
      </c>
      <c r="F22" s="24" t="str">
        <f>HYPERLINK("http://upload.wikimedia.org/wikipedia/en/thumb/e/e8/Shell_logo.svg/1105px-Shell_logo.svg.png","http://upload.wikimedia.org/wikipedia/en/thumb/e/e8/Shell_logo.svg/1105px-Shell_logo.svg.png")</f>
        <v>http://upload.wikimedia.org/wikipedia/en/thumb/e/e8/Shell_logo.svg/1105px-Shell_logo.svg.png</v>
      </c>
      <c r="G22" s="24" t="str">
        <f>HYPERLINK("http://www.shell.fr/","www.shell.fr/")</f>
        <v>www.shell.fr/</v>
      </c>
      <c r="H22" s="2"/>
      <c r="I22" s="2"/>
      <c r="J22" s="2"/>
      <c r="K22" s="2"/>
      <c r="L22" s="2"/>
      <c r="M22" s="2"/>
      <c r="N22" s="2"/>
      <c r="O22" s="2"/>
      <c r="P22" s="2"/>
      <c r="Q22" s="2"/>
      <c r="R22" s="2"/>
      <c r="S22" s="2"/>
      <c r="T22" s="2"/>
      <c r="U22" s="2"/>
      <c r="V22" s="2"/>
      <c r="W22" s="2"/>
      <c r="X22" s="2"/>
      <c r="Y22" s="2"/>
      <c r="Z22" s="2"/>
    </row>
    <row r="23" ht="13.5" customHeight="1" spans="1:26">
      <c r="A23" s="20" t="s">
        <v>102</v>
      </c>
      <c r="B23" s="20" t="s">
        <v>103</v>
      </c>
      <c r="C23" s="20" t="s">
        <v>104</v>
      </c>
      <c r="D23" s="20"/>
      <c r="E23" s="20"/>
      <c r="F23" s="24" t="str">
        <f>HYPERLINK("http://www.fly-scanner.com/fr/?gclid=CNfL1MT2hc0CFawy0wodBSUC_w","http://www.fly-scanner.com/fr/?gclid=CNfL1MT2hc0CFawy0wodBSUC_w")</f>
        <v>http://www.fly-scanner.com/fr/?gclid=CNfL1MT2hc0CFawy0wodBSUC_w</v>
      </c>
      <c r="G23" s="24" t="str">
        <f>HYPERLINK("https://www.skyscanner.fr/","https://www.skyscanner.fr/")</f>
        <v>https://www.skyscanner.fr/</v>
      </c>
      <c r="H23" s="2"/>
      <c r="I23" s="2"/>
      <c r="J23" s="2"/>
      <c r="K23" s="2"/>
      <c r="L23" s="2"/>
      <c r="M23" s="2"/>
      <c r="N23" s="2"/>
      <c r="O23" s="2"/>
      <c r="P23" s="2"/>
      <c r="Q23" s="2"/>
      <c r="R23" s="2"/>
      <c r="S23" s="2"/>
      <c r="T23" s="2"/>
      <c r="U23" s="2"/>
      <c r="V23" s="2"/>
      <c r="W23" s="2"/>
      <c r="X23" s="2"/>
      <c r="Y23" s="2"/>
      <c r="Z23" s="2"/>
    </row>
    <row r="24" ht="13.5" customHeight="1" spans="1:26">
      <c r="A24" s="20" t="s">
        <v>102</v>
      </c>
      <c r="B24" s="20" t="s">
        <v>16</v>
      </c>
      <c r="C24" s="20" t="s">
        <v>108</v>
      </c>
      <c r="D24" s="23">
        <v>123</v>
      </c>
      <c r="E24" s="20" t="s">
        <v>21</v>
      </c>
      <c r="F24" s="24" t="str">
        <f>HYPERLINK("https://upload.wikimedia.org/wikipedia/commons/thumb/1/1b/EasyJet_logo.svg/2000px-EasyJet_logo.svg.png","https://upload.wikimedia.org/wikipedia/commons/thumb/1/1b/EasyJet_logo.svg/2000px-EasyJet_logo.svg.png")</f>
        <v>https://upload.wikimedia.org/wikipedia/commons/thumb/1/1b/EasyJet_logo.svg/2000px-EasyJet_logo.svg.png</v>
      </c>
      <c r="G24" s="24" t="str">
        <f>HYPERLINK("http://www.easyjet.fr/","http://www.easyjet.fr/")</f>
        <v>http://www.easyjet.fr/</v>
      </c>
      <c r="H24" s="2"/>
      <c r="I24" s="2"/>
      <c r="J24" s="2"/>
      <c r="K24" s="2"/>
      <c r="L24" s="2"/>
      <c r="M24" s="2"/>
      <c r="N24" s="2"/>
      <c r="O24" s="2"/>
      <c r="P24" s="2"/>
      <c r="Q24" s="2"/>
      <c r="R24" s="2"/>
      <c r="S24" s="2"/>
      <c r="T24" s="2"/>
      <c r="U24" s="2"/>
      <c r="V24" s="2"/>
      <c r="W24" s="2"/>
      <c r="X24" s="2"/>
      <c r="Y24" s="2"/>
      <c r="Z24" s="2"/>
    </row>
    <row r="25" ht="13.5" customHeight="1" spans="1:26">
      <c r="A25" s="20" t="s">
        <v>110</v>
      </c>
      <c r="B25" s="20" t="s">
        <v>7667</v>
      </c>
      <c r="C25" s="20" t="s">
        <v>112</v>
      </c>
      <c r="D25" s="2"/>
      <c r="E25" s="2"/>
      <c r="F25" s="24" t="str">
        <f>HYPERLINK("https://media.licdn.com/mpr/mpr/shrink_200_200/AAEAAQAAAAAAAAvMAAAAJGNhMTUyMDIwLTNkOWItNGI3Ni04YzYyLTY5YTU0Y2Y4ODAxZg.png","https://media.licdn.com/mpr/mpr/shrink_200_200/AAEAAQAAAAAAAAvMAAAAJGNhMTUyMDIwLTNkOWItNGI3Ni04YzYyLTY5YTU0Y2Y4ODAxZg.png")</f>
        <v>https://media.licdn.com/mpr/mpr/shrink_200_200/AAEAAQAAAAAAAAvMAAAAJGNhMTUyMDIwLTNkOWItNGI3Ni04YzYyLTY5YTU0Y2Y4ODAxZg.png</v>
      </c>
      <c r="G25" s="24" t="str">
        <f>HYPERLINK("http://www.tibagroup.com/pt/","http://www.tibagroup.com/pt/")</f>
        <v>http://www.tibagroup.com/pt/</v>
      </c>
      <c r="H25" s="2"/>
      <c r="I25" s="2"/>
      <c r="J25" s="2"/>
      <c r="K25" s="2"/>
      <c r="L25" s="2"/>
      <c r="M25" s="2"/>
      <c r="N25" s="2"/>
      <c r="O25" s="2"/>
      <c r="P25" s="2"/>
      <c r="Q25" s="2"/>
      <c r="R25" s="2"/>
      <c r="S25" s="2"/>
      <c r="T25" s="2"/>
      <c r="U25" s="2"/>
      <c r="V25" s="2"/>
      <c r="W25" s="2"/>
      <c r="X25" s="2"/>
      <c r="Y25" s="2"/>
      <c r="Z25" s="2"/>
    </row>
    <row r="26" ht="13.5" customHeight="1" spans="1:26">
      <c r="A26" s="20" t="s">
        <v>7668</v>
      </c>
      <c r="B26" s="20" t="s">
        <v>1709</v>
      </c>
      <c r="C26" s="20" t="s">
        <v>117</v>
      </c>
      <c r="D26" s="2"/>
      <c r="E26" s="2"/>
      <c r="F26" s="24" t="str">
        <f>HYPERLINK("https://www.aldi.fr/images/aldi-logo-big.png","https://www.aldi.fr/images/aldi-logo-big.png")</f>
        <v>https://www.aldi.fr/images/aldi-logo-big.png</v>
      </c>
      <c r="G26" s="24" t="str">
        <f>HYPERLINK("https://www.aldi.pt","https://www.aldi.pt")</f>
        <v>https://www.aldi.pt</v>
      </c>
      <c r="H26" s="2"/>
      <c r="I26" s="2"/>
      <c r="J26" s="2"/>
      <c r="K26" s="2"/>
      <c r="L26" s="2"/>
      <c r="M26" s="2"/>
      <c r="N26" s="2"/>
      <c r="O26" s="2"/>
      <c r="P26" s="2"/>
      <c r="Q26" s="2"/>
      <c r="R26" s="2"/>
      <c r="S26" s="2"/>
      <c r="T26" s="2"/>
      <c r="U26" s="2"/>
      <c r="V26" s="2"/>
      <c r="W26" s="2"/>
      <c r="X26" s="2"/>
      <c r="Y26" s="2"/>
      <c r="Z26" s="2"/>
    </row>
    <row r="27" ht="13.5" customHeight="1" spans="1:26">
      <c r="A27" s="20" t="s">
        <v>115</v>
      </c>
      <c r="B27" s="20" t="s">
        <v>7669</v>
      </c>
      <c r="C27" s="20" t="s">
        <v>117</v>
      </c>
      <c r="D27" s="2"/>
      <c r="E27" s="2"/>
      <c r="F27" s="24" t="str">
        <f>HYPERLINK("http://www.almaplaza.com/logo-apolonia.jpg","http://www.almaplaza.com/logo-apolonia.jpg")</f>
        <v>http://www.almaplaza.com/logo-apolonia.jpg</v>
      </c>
      <c r="G27" s="9" t="str">
        <f>HYPERLINK("https://apolonia.com","https://apolonia.com")</f>
        <v>https://apolonia.com</v>
      </c>
      <c r="H27" s="2"/>
      <c r="I27" s="2"/>
      <c r="J27" s="2"/>
      <c r="K27" s="2"/>
      <c r="L27" s="2"/>
      <c r="M27" s="2"/>
      <c r="N27" s="2"/>
      <c r="O27" s="2"/>
      <c r="P27" s="2"/>
      <c r="Q27" s="2"/>
      <c r="R27" s="2"/>
      <c r="S27" s="2"/>
      <c r="T27" s="2"/>
      <c r="U27" s="2"/>
      <c r="V27" s="2"/>
      <c r="W27" s="2"/>
      <c r="X27" s="2"/>
      <c r="Y27" s="2"/>
      <c r="Z27" s="2"/>
    </row>
    <row r="28" ht="13.5" customHeight="1" spans="1:26">
      <c r="A28" s="20" t="s">
        <v>7670</v>
      </c>
      <c r="B28" s="20" t="s">
        <v>7671</v>
      </c>
      <c r="C28" s="20" t="s">
        <v>117</v>
      </c>
      <c r="D28" s="2"/>
      <c r="E28" s="2"/>
      <c r="F28" s="24" t="str">
        <f>HYPERLINK("https://www.brandsoftheworld.com/sites/default/files/styles/logo-thumbnail/public/122010/vale_do_lobo.png?itok=qr2C6DEq","https://www.brandsoftheworld.com/sites/default/files/styles/logo-thumbnail/public/122010/vale_do_lobo.png?itok=qr2C6DEq")</f>
        <v>https://www.brandsoftheworld.com/sites/default/files/styles/logo-thumbnail/public/122010/vale_do_lobo.png?itok=qr2C6DEq</v>
      </c>
      <c r="G28" s="24" t="str">
        <f>HYPERLINK("https://www.valedolobo.com/pt/vale-do-lobo/instalacoes/supermercado-pingo-doce/","https://www.valedolobo.com/pt/vale-do-lobo/instalacoes/supermercado-pingo-doce/")</f>
        <v>https://www.valedolobo.com/pt/vale-do-lobo/instalacoes/supermercado-pingo-doce/</v>
      </c>
      <c r="H28" s="2"/>
      <c r="I28" s="2"/>
      <c r="J28" s="2"/>
      <c r="K28" s="2"/>
      <c r="L28" s="2"/>
      <c r="M28" s="2"/>
      <c r="N28" s="2"/>
      <c r="O28" s="2"/>
      <c r="P28" s="2"/>
      <c r="Q28" s="2"/>
      <c r="R28" s="2"/>
      <c r="S28" s="2"/>
      <c r="T28" s="2"/>
      <c r="U28" s="2"/>
      <c r="V28" s="2"/>
      <c r="W28" s="2"/>
      <c r="X28" s="2"/>
      <c r="Y28" s="2"/>
      <c r="Z28" s="2"/>
    </row>
    <row r="29" ht="13.5" customHeight="1" spans="1:26">
      <c r="A29" s="20" t="s">
        <v>3800</v>
      </c>
      <c r="B29" s="20" t="s">
        <v>7672</v>
      </c>
      <c r="C29" s="20" t="s">
        <v>117</v>
      </c>
      <c r="D29" s="2"/>
      <c r="E29" s="2"/>
      <c r="F29" s="24" t="str">
        <f>HYPERLINK("https://upload.wikimedia.org/wikipedia/commons/9/9d/Logocontinente.jpg","https://upload.wikimedia.org/wikipedia/commons/9/9d/Logocontinente.jpg")</f>
        <v>https://upload.wikimedia.org/wikipedia/commons/9/9d/Logocontinente.jpg</v>
      </c>
      <c r="G29" s="24" t="str">
        <f>HYPERLINK("https://www.continente.pt/pt-pt/public/Pages/homepage.aspx","https://www.continente.pt/pt-pt/public/Pages/homepage.aspx")</f>
        <v>https://www.continente.pt/pt-pt/public/Pages/homepage.aspx</v>
      </c>
      <c r="H29" s="2"/>
      <c r="I29" s="2"/>
      <c r="J29" s="2"/>
      <c r="K29" s="2"/>
      <c r="L29" s="2"/>
      <c r="M29" s="2"/>
      <c r="N29" s="2"/>
      <c r="O29" s="2"/>
      <c r="P29" s="2"/>
      <c r="Q29" s="2"/>
      <c r="R29" s="2"/>
      <c r="S29" s="2"/>
      <c r="T29" s="2"/>
      <c r="U29" s="2"/>
      <c r="V29" s="2"/>
      <c r="W29" s="2"/>
      <c r="X29" s="2"/>
      <c r="Y29" s="2"/>
      <c r="Z29" s="2"/>
    </row>
    <row r="30" ht="13.5" customHeight="1" spans="1:26">
      <c r="A30" s="20" t="s">
        <v>120</v>
      </c>
      <c r="B30" s="20" t="s">
        <v>7673</v>
      </c>
      <c r="C30" s="20" t="s">
        <v>117</v>
      </c>
      <c r="D30" s="2"/>
      <c r="E30" s="2"/>
      <c r="F30" s="24" t="str">
        <f>HYPERLINK("http://www.lisbon-id.com/upload4mail/magnolia-portugal/b_86476_pingo_doce_.jpg","http://www.lisbon-id.com/upload4mail/magnolia-portugal/b_86476_pingo_doce_.jpg")</f>
        <v>http://www.lisbon-id.com/upload4mail/magnolia-portugal/b_86476_pingo_doce_.jpg</v>
      </c>
      <c r="G30" s="24" t="str">
        <f>HYPERLINK("https://www.pingodoce.pt","https://www.pingodoce.pt")</f>
        <v>https://www.pingodoce.pt</v>
      </c>
      <c r="H30" s="2"/>
      <c r="I30" s="2"/>
      <c r="J30" s="2"/>
      <c r="K30" s="2"/>
      <c r="L30" s="2"/>
      <c r="M30" s="2"/>
      <c r="N30" s="2"/>
      <c r="O30" s="2"/>
      <c r="P30" s="2"/>
      <c r="Q30" s="2"/>
      <c r="R30" s="2"/>
      <c r="S30" s="2"/>
      <c r="T30" s="2"/>
      <c r="U30" s="2"/>
      <c r="V30" s="2"/>
      <c r="W30" s="2"/>
      <c r="X30" s="2"/>
      <c r="Y30" s="2"/>
      <c r="Z30" s="2"/>
    </row>
    <row r="31" ht="13.5" customHeight="1" spans="1:26">
      <c r="A31" s="20" t="s">
        <v>123</v>
      </c>
      <c r="B31" s="20" t="s">
        <v>7674</v>
      </c>
      <c r="C31" s="20" t="s">
        <v>117</v>
      </c>
      <c r="D31" s="2"/>
      <c r="E31" s="2"/>
      <c r="F31" s="24" t="str">
        <f>HYPERLINK("https://www.brandsoftheworld.com/sites/default/files/styles/logo-thumbnail/public/0019/0021/brand.gif?itok=2OJeDKKI","https://www.brandsoftheworld.com/sites/default/files/styles/logo-thumbnail/public/0019/0021/brand.gif?itok=2OJeDKKI")</f>
        <v>https://www.brandsoftheworld.com/sites/default/files/styles/logo-thumbnail/public/0019/0021/brand.gif?itok=2OJeDKKI</v>
      </c>
      <c r="G31" s="24" t="str">
        <f>HYPERLINK("https://www.jumbo.pt/Frontoffice/","https://www.jumbo.pt/Frontoffice/")</f>
        <v>https://www.jumbo.pt/Frontoffice/</v>
      </c>
      <c r="H31" s="2"/>
      <c r="I31" s="2"/>
      <c r="J31" s="2"/>
      <c r="K31" s="2"/>
      <c r="L31" s="2"/>
      <c r="M31" s="2"/>
      <c r="N31" s="2"/>
      <c r="O31" s="2"/>
      <c r="P31" s="2"/>
      <c r="Q31" s="2"/>
      <c r="R31" s="2"/>
      <c r="S31" s="2"/>
      <c r="T31" s="2"/>
      <c r="U31" s="2"/>
      <c r="V31" s="2"/>
      <c r="W31" s="2"/>
      <c r="X31" s="2"/>
      <c r="Y31" s="2"/>
      <c r="Z31" s="2"/>
    </row>
    <row r="32" ht="13.5" customHeight="1" spans="1:26">
      <c r="A32" s="20" t="s">
        <v>139</v>
      </c>
      <c r="B32" s="20" t="s">
        <v>140</v>
      </c>
      <c r="C32" s="20" t="s">
        <v>141</v>
      </c>
      <c r="D32" s="20"/>
      <c r="E32" s="20"/>
      <c r="F32" s="24" t="str">
        <f>HYPERLINK("http://www.inderwear.com/img/cms/gym-louvre-paris-logo-r.jpg","http://www.inderwear.com/img/cms/gym-louvre-paris-logo-r.jpg")</f>
        <v>http://www.inderwear.com/img/cms/gym-louvre-paris-logo-r.jpg</v>
      </c>
      <c r="G32" s="24" t="str">
        <f>HYPERLINK("http://www.gymlouvre.com/index.php","http://www.gymlouvre.com/index.php")</f>
        <v>http://www.gymlouvre.com/index.php</v>
      </c>
      <c r="H32" s="2"/>
      <c r="I32" s="2"/>
      <c r="J32" s="2"/>
      <c r="K32" s="2"/>
      <c r="L32" s="2"/>
      <c r="M32" s="2"/>
      <c r="N32" s="2"/>
      <c r="O32" s="2"/>
      <c r="P32" s="2"/>
      <c r="Q32" s="2"/>
      <c r="R32" s="2"/>
      <c r="S32" s="2"/>
      <c r="T32" s="2"/>
      <c r="U32" s="2"/>
      <c r="V32" s="2"/>
      <c r="W32" s="2"/>
      <c r="X32" s="2"/>
      <c r="Y32" s="2"/>
      <c r="Z32" s="2"/>
    </row>
    <row r="33" ht="13.5" customHeight="1" spans="1:26">
      <c r="A33" s="20" t="s">
        <v>144</v>
      </c>
      <c r="B33" s="20" t="s">
        <v>145</v>
      </c>
      <c r="C33" s="20" t="s">
        <v>146</v>
      </c>
      <c r="D33" s="2"/>
      <c r="E33" s="2"/>
      <c r="F33" s="24" t="str">
        <f>HYPERLINK("https://dddhl3vz19llg.cloudfront.net/siemensglobal_1.0.46_master/assets/siemens-og-logo.png","https://dddhl3vz19llg.cloudfront.net/siemensglobal_1.0.46_master/assets/siemens-og-logo.png")</f>
        <v>https://dddhl3vz19llg.cloudfront.net/siemensglobal_1.0.46_master/assets/siemens-og-logo.png</v>
      </c>
      <c r="G33" s="24" t="str">
        <f>HYPERLINK("https://www.siemens.com/fr/fr/home.html","https://www.siemens.com/fr/fr/home.html")</f>
        <v>https://www.siemens.com/fr/fr/home.html</v>
      </c>
      <c r="H33" s="2"/>
      <c r="I33" s="2"/>
      <c r="J33" s="2"/>
      <c r="K33" s="2"/>
      <c r="L33" s="2"/>
      <c r="M33" s="2"/>
      <c r="N33" s="2"/>
      <c r="O33" s="2"/>
      <c r="P33" s="2"/>
      <c r="Q33" s="2"/>
      <c r="R33" s="2"/>
      <c r="S33" s="2"/>
      <c r="T33" s="2"/>
      <c r="U33" s="2"/>
      <c r="V33" s="2"/>
      <c r="W33" s="2"/>
      <c r="X33" s="2"/>
      <c r="Y33" s="2"/>
      <c r="Z33" s="2"/>
    </row>
    <row r="34" ht="13.5" customHeight="1" spans="1:26">
      <c r="A34" s="20" t="s">
        <v>149</v>
      </c>
      <c r="B34" s="20" t="s">
        <v>150</v>
      </c>
      <c r="C34" s="20" t="s">
        <v>151</v>
      </c>
      <c r="D34" s="2"/>
      <c r="E34" s="2"/>
      <c r="F34" s="24" t="str">
        <f>HYPERLINK("https://upload.wikimedia.org/wikipedia/commons/thumb/3/37/Schott_AG_logo.svg/2000px-Schott_AG_logo.svg.png","https://upload.wikimedia.org/wikipedia/commons/thumb/3/37/Schott_AG_logo.svg/2000px-Schott_AG_logo.svg.png")</f>
        <v>https://upload.wikimedia.org/wikipedia/commons/thumb/3/37/Schott_AG_logo.svg/2000px-Schott_AG_logo.svg.png</v>
      </c>
      <c r="G34" s="24" t="str">
        <f>HYPERLINK("http://www.schott.com/innovation/en/?WTS=1&amp;WTC=schott_uk_google_innovationen_milestone-supplier_search_87518392686__1t1_c_b_glass%20manufacturing%20company","http://www.schott.com/innovation/en/?WTS=1&amp;WTC=schott_uk_google_innovationen_milestone-supplier_search_87518392686__1t1_c_b_glass%20manufacturing%20company")</f>
        <v>http://www.schott.com/innovation/en/?WTS=1&amp;WTC=schott_uk_google_innovationen_milestone-supplier_search_87518392686__1t1_c_b_glass%20manufacturing%20company</v>
      </c>
      <c r="H34" s="2"/>
      <c r="I34" s="2"/>
      <c r="J34" s="2"/>
      <c r="K34" s="2"/>
      <c r="L34" s="2"/>
      <c r="M34" s="2"/>
      <c r="N34" s="2"/>
      <c r="O34" s="2"/>
      <c r="P34" s="2"/>
      <c r="Q34" s="2"/>
      <c r="R34" s="2"/>
      <c r="S34" s="2"/>
      <c r="T34" s="2"/>
      <c r="U34" s="2"/>
      <c r="V34" s="2"/>
      <c r="W34" s="2"/>
      <c r="X34" s="2"/>
      <c r="Y34" s="2"/>
      <c r="Z34" s="2"/>
    </row>
    <row r="35" ht="13.5" customHeight="1" spans="1:26">
      <c r="A35" s="20" t="s">
        <v>154</v>
      </c>
      <c r="B35" s="20" t="s">
        <v>155</v>
      </c>
      <c r="C35" s="20" t="s">
        <v>156</v>
      </c>
      <c r="D35" s="23">
        <v>30</v>
      </c>
      <c r="E35" s="20" t="s">
        <v>37</v>
      </c>
      <c r="F35" s="24" t="str">
        <f>HYPERLINK("https://www.zurichintermediary.co.uk/_/media/dbe/shared-global/default-logos/zurichlogo.png?h=189&amp;la=en&amp;w=309&amp;hash=8752BEC6884A8870AAEF0D22E2C72F4CD4D0F91E","https://www.zurichintermediary.co.uk/_/media/dbe/shared-global/default-logos/zurichlogo.png?h=189&amp;la=en&amp;w=309&amp;hash=8752BEC6884A8870AAEF0D22E2C72F4CD4D0F91E")</f>
        <v>https://www.zurichintermediary.co.uk/_/media/dbe/shared-global/default-logos/zurichlogo.png?h=189&amp;la=en&amp;w=309&amp;hash=8752BEC6884A8870AAEF0D22E2C72F4CD4D0F91E</v>
      </c>
      <c r="G35" s="24" t="str">
        <f>HYPERLINK("https://www.zurich.fr","https://www.zurich.fr")</f>
        <v>https://www.zurich.fr</v>
      </c>
      <c r="H35" s="2"/>
      <c r="I35" s="2"/>
      <c r="J35" s="2"/>
      <c r="K35" s="2"/>
      <c r="L35" s="2"/>
      <c r="M35" s="2"/>
      <c r="N35" s="2"/>
      <c r="O35" s="2"/>
      <c r="P35" s="2"/>
      <c r="Q35" s="2"/>
      <c r="R35" s="2"/>
      <c r="S35" s="2"/>
      <c r="T35" s="2"/>
      <c r="U35" s="2"/>
      <c r="V35" s="2"/>
      <c r="W35" s="2"/>
      <c r="X35" s="2"/>
      <c r="Y35" s="2"/>
      <c r="Z35" s="2"/>
    </row>
    <row r="36" ht="13.5" customHeight="1" spans="1:26">
      <c r="A36" s="20" t="s">
        <v>159</v>
      </c>
      <c r="B36" s="20" t="s">
        <v>160</v>
      </c>
      <c r="C36" s="20" t="s">
        <v>161</v>
      </c>
      <c r="D36" s="2"/>
      <c r="E36" s="2"/>
      <c r="F36" s="24" t="str">
        <f>HYPERLINK("http://www.processia.com/sites/default/files/logo-processia-2014-2.png","http://www.processia.com/sites/default/files/logo-processia-2014-2.png")</f>
        <v>http://www.processia.com/sites/default/files/logo-processia-2014-2.png</v>
      </c>
      <c r="G36" s="24" t="str">
        <f>HYPERLINK("http://www.processia.com/fr","http://www.processia.com/fr")</f>
        <v>http://www.processia.com/fr</v>
      </c>
      <c r="H36" s="2"/>
      <c r="I36" s="2"/>
      <c r="J36" s="2"/>
      <c r="K36" s="2"/>
      <c r="L36" s="2"/>
      <c r="M36" s="2"/>
      <c r="N36" s="2"/>
      <c r="O36" s="2"/>
      <c r="P36" s="2"/>
      <c r="Q36" s="2"/>
      <c r="R36" s="2"/>
      <c r="S36" s="2"/>
      <c r="T36" s="2"/>
      <c r="U36" s="2"/>
      <c r="V36" s="2"/>
      <c r="W36" s="2"/>
      <c r="X36" s="2"/>
      <c r="Y36" s="2"/>
      <c r="Z36" s="2"/>
    </row>
    <row r="37" ht="13.5" customHeight="1" spans="1:26">
      <c r="A37" s="20" t="s">
        <v>164</v>
      </c>
      <c r="B37" s="20" t="s">
        <v>165</v>
      </c>
      <c r="C37" s="20" t="s">
        <v>166</v>
      </c>
      <c r="D37" s="2"/>
      <c r="E37" s="2"/>
      <c r="F37" s="24" t="str">
        <f>HYPERLINK("http://www.icade.fr/extension/ezcade/design/ezcade2017/images/logo.png","http://www.icade.fr/extension/ezcade/design/ezcade2017/images/logo.png")</f>
        <v>http://www.icade.fr/extension/ezcade/design/ezcade2017/images/logo.png</v>
      </c>
      <c r="G37" s="24" t="str">
        <f>HYPERLINK("http://www.icade.fr/activites/operateur-immobilier-integre-acteur-majeur-grand-paris-metropoles-regionales/fonciere-bureaux-ile-france-socle-fonciere-tertiaire-icade","http://www.icade.fr/activites/operateur-immobilier-integre-acteur-majeur-grand-paris-metropoles-regionales/fonciere-bureaux-ile-france-socle-fonciere-tertiaire-icade")</f>
        <v>http://www.icade.fr/activites/operateur-immobilier-integre-acteur-majeur-grand-paris-metropoles-regionales/fonciere-bureaux-ile-france-socle-fonciere-tertiaire-icade</v>
      </c>
      <c r="H37" s="2"/>
      <c r="I37" s="2"/>
      <c r="J37" s="2"/>
      <c r="K37" s="2"/>
      <c r="L37" s="2"/>
      <c r="M37" s="2"/>
      <c r="N37" s="2"/>
      <c r="O37" s="2"/>
      <c r="P37" s="2"/>
      <c r="Q37" s="2"/>
      <c r="R37" s="2"/>
      <c r="S37" s="2"/>
      <c r="T37" s="2"/>
      <c r="U37" s="2"/>
      <c r="V37" s="2"/>
      <c r="W37" s="2"/>
      <c r="X37" s="2"/>
      <c r="Y37" s="2"/>
      <c r="Z37" s="2"/>
    </row>
    <row r="38" ht="13.5" customHeight="1" spans="1:26">
      <c r="A38" s="20" t="s">
        <v>169</v>
      </c>
      <c r="B38" s="20" t="s">
        <v>170</v>
      </c>
      <c r="C38" s="20" t="s">
        <v>171</v>
      </c>
      <c r="D38" s="23">
        <v>46</v>
      </c>
      <c r="E38" s="20" t="s">
        <v>37</v>
      </c>
      <c r="F38" s="24" t="str">
        <f>HYPERLINK("http://agence.orange.fr/templates/orange/template-responsive/versions/2465/images/logo-print.png","http://agence.orange.fr/templates/orange/template-responsive/versions/2465/images/logo-print.png")</f>
        <v>http://agence.orange.fr/templates/orange/template-responsive/versions/2465/images/logo-print.png</v>
      </c>
      <c r="G38" s="24" t="str">
        <f>HYPERLINK("http://agence.orange.fr/?gclid=CMT7j9T0hc0CFawy0wodBSUC_w","http://agence.orange.fr/?gclid=CMT7j9T0hc0CFawy0wodBSUC_w")</f>
        <v>http://agence.orange.fr/?gclid=CMT7j9T0hc0CFawy0wodBSUC_w</v>
      </c>
      <c r="H38" s="2"/>
      <c r="I38" s="2"/>
      <c r="J38" s="2"/>
      <c r="K38" s="2"/>
      <c r="L38" s="2"/>
      <c r="M38" s="2"/>
      <c r="N38" s="2"/>
      <c r="O38" s="2"/>
      <c r="P38" s="2"/>
      <c r="Q38" s="2"/>
      <c r="R38" s="2"/>
      <c r="S38" s="2"/>
      <c r="T38" s="2"/>
      <c r="U38" s="2"/>
      <c r="V38" s="2"/>
      <c r="W38" s="2"/>
      <c r="X38" s="2"/>
      <c r="Y38" s="2"/>
      <c r="Z38" s="2"/>
    </row>
    <row r="39" ht="13.5" customHeight="1" spans="1:26">
      <c r="A39" s="20" t="s">
        <v>174</v>
      </c>
      <c r="B39" s="20" t="s">
        <v>175</v>
      </c>
      <c r="C39" s="20" t="s">
        <v>171</v>
      </c>
      <c r="D39" s="23">
        <v>30</v>
      </c>
      <c r="E39" s="20" t="s">
        <v>37</v>
      </c>
      <c r="F39" s="24" t="str">
        <f>HYPERLINK("http://www.free.fr/freebox/im/logo_free.png","http://www.free.fr/freebox/im/logo_free.png")</f>
        <v>http://www.free.fr/freebox/im/logo_free.png</v>
      </c>
      <c r="G39" s="24" t="str">
        <f>HYPERLINK("http://www.free.fr/freebox/index.html","http://www.free.fr/freebox/index.html")</f>
        <v>http://www.free.fr/freebox/index.html</v>
      </c>
      <c r="H39" s="2"/>
      <c r="I39" s="2"/>
      <c r="J39" s="2"/>
      <c r="K39" s="2"/>
      <c r="L39" s="2"/>
      <c r="M39" s="2"/>
      <c r="N39" s="2"/>
      <c r="O39" s="2"/>
      <c r="P39" s="2"/>
      <c r="Q39" s="2"/>
      <c r="R39" s="2"/>
      <c r="S39" s="2"/>
      <c r="T39" s="2"/>
      <c r="U39" s="2"/>
      <c r="V39" s="2"/>
      <c r="W39" s="2"/>
      <c r="X39" s="2"/>
      <c r="Y39" s="2"/>
      <c r="Z39" s="2"/>
    </row>
    <row r="40" ht="13.5" customHeight="1" spans="1:26">
      <c r="A40" s="20" t="s">
        <v>178</v>
      </c>
      <c r="B40" s="20" t="s">
        <v>179</v>
      </c>
      <c r="C40" s="20" t="s">
        <v>180</v>
      </c>
      <c r="D40" s="23">
        <v>45</v>
      </c>
      <c r="E40" s="20" t="s">
        <v>37</v>
      </c>
      <c r="F40" s="9" t="str">
        <f>HYPERLINK("https://is5-ssl.mzstatic.com/image/thumb/Purple71/v4/4c/02/0c/4c020cae-096d-eff3-c801-b696046ef45c/source/512x512bb.jpg","https://is5-ssl.mzstatic.com/image/thumb/Purple71/v4/4c/02/0c/4c020cae-096d-eff3-c801-b696046ef45c/source/512x512bb.jpg")</f>
        <v>https://is5-ssl.mzstatic.com/image/thumb/Purple71/v4/4c/02/0c/4c020cae-096d-eff3-c801-b696046ef45c/source/512x512bb.jpg</v>
      </c>
      <c r="G40" s="24" t="str">
        <f>HYPERLINK("http://www.opengolfclub.com/fr/home","http://www.opengolfclub.com/fr/home")</f>
        <v>http://www.opengolfclub.com/fr/home</v>
      </c>
      <c r="H40" s="2"/>
      <c r="I40" s="2"/>
      <c r="J40" s="2"/>
      <c r="K40" s="2"/>
      <c r="L40" s="2"/>
      <c r="M40" s="2"/>
      <c r="N40" s="2"/>
      <c r="O40" s="2"/>
      <c r="P40" s="2"/>
      <c r="Q40" s="2"/>
      <c r="R40" s="2"/>
      <c r="S40" s="2"/>
      <c r="T40" s="2"/>
      <c r="U40" s="2"/>
      <c r="V40" s="2"/>
      <c r="W40" s="2"/>
      <c r="X40" s="2"/>
      <c r="Y40" s="2"/>
      <c r="Z40" s="2"/>
    </row>
    <row r="41" ht="13.5" customHeight="1" spans="1:26">
      <c r="A41" s="20" t="s">
        <v>183</v>
      </c>
      <c r="B41" s="20" t="s">
        <v>184</v>
      </c>
      <c r="C41" s="20" t="s">
        <v>185</v>
      </c>
      <c r="D41" s="23">
        <v>7</v>
      </c>
      <c r="E41" s="20" t="s">
        <v>37</v>
      </c>
      <c r="F41" s="24" t="str">
        <f>HYPERLINK("http://static6.businessinsider.com/image/539aedc269beddc243d29c52-800-371/netflix_web_logo.png","http://static6.businessinsider.com/image/539aedc269beddc243d29c52-800-371/netflix_web_logo.png")</f>
        <v>http://static6.businessinsider.com/image/539aedc269beddc243d29c52-800-371/netflix_web_logo.png</v>
      </c>
      <c r="G41" s="24" t="str">
        <f>HYPERLINK("https://www.netflix.com","https://www.netflix.com")</f>
        <v>https://www.netflix.com</v>
      </c>
      <c r="H41" s="2"/>
      <c r="I41" s="2"/>
      <c r="J41" s="2"/>
      <c r="K41" s="2"/>
      <c r="L41" s="2"/>
      <c r="M41" s="2"/>
      <c r="N41" s="2"/>
      <c r="O41" s="2"/>
      <c r="P41" s="2"/>
      <c r="Q41" s="2"/>
      <c r="R41" s="2"/>
      <c r="S41" s="2"/>
      <c r="T41" s="2"/>
      <c r="U41" s="2"/>
      <c r="V41" s="2"/>
      <c r="W41" s="2"/>
      <c r="X41" s="2"/>
      <c r="Y41" s="2"/>
      <c r="Z41" s="2"/>
    </row>
    <row r="42" ht="13.5" customHeight="1" spans="1:26">
      <c r="A42" s="20" t="s">
        <v>188</v>
      </c>
      <c r="B42" s="20" t="s">
        <v>189</v>
      </c>
      <c r="C42" s="20" t="s">
        <v>190</v>
      </c>
      <c r="D42" s="23">
        <v>650</v>
      </c>
      <c r="E42" s="20" t="s">
        <v>37</v>
      </c>
      <c r="F42" s="24" t="str">
        <f>HYPERLINK("https://upload.wikimedia.org/wikipedia/commons/thumb/4/4b/ING_logo.png/640px-ING_logo.png","https://upload.wikimedia.org/wikipedia/commons/thumb/4/4b/ING_logo.png/640px-ING_logo.png")</f>
        <v>https://upload.wikimedia.org/wikipedia/commons/thumb/4/4b/ING_logo.png/640px-ING_logo.png</v>
      </c>
      <c r="G42" s="24" t="str">
        <f>HYPERLINK("http://www.ing.com/","http://www.ing.com/")</f>
        <v>http://www.ing.com/</v>
      </c>
      <c r="H42" s="2"/>
      <c r="I42" s="2"/>
      <c r="J42" s="2"/>
      <c r="K42" s="2"/>
      <c r="L42" s="2"/>
      <c r="M42" s="2"/>
      <c r="N42" s="2"/>
      <c r="O42" s="2"/>
      <c r="P42" s="2"/>
      <c r="Q42" s="2"/>
      <c r="R42" s="2"/>
      <c r="S42" s="2"/>
      <c r="T42" s="2"/>
      <c r="U42" s="2"/>
      <c r="V42" s="2"/>
      <c r="W42" s="2"/>
      <c r="X42" s="2"/>
      <c r="Y42" s="2"/>
      <c r="Z42" s="2"/>
    </row>
    <row r="43" ht="13.5" customHeight="1" spans="1:26">
      <c r="A43" s="20" t="s">
        <v>193</v>
      </c>
      <c r="B43" s="20" t="s">
        <v>194</v>
      </c>
      <c r="C43" s="20" t="s">
        <v>195</v>
      </c>
      <c r="D43" s="2"/>
      <c r="E43" s="2"/>
      <c r="F43" s="24" t="str">
        <f>HYPERLINK("https://storage.googleapis.com/wizville-public-eu/uploads/theme/logo/613/OD-ROUGE-2lignes.png","https://storage.googleapis.com/wizville-public-eu/uploads/theme/logo/613/OD-ROUGE-2lignes.png")</f>
        <v>https://storage.googleapis.com/wizville-public-eu/uploads/theme/logo/613/OD-ROUGE-2lignes.png</v>
      </c>
      <c r="G43" s="24" t="str">
        <f>HYPERLINK("http://magasins.officedepot.fr/11040-office-depot-paris-11eme-richard-lenoir","http://magasins.officedepot.fr/11040-office-depot-paris-11eme-richard-lenoir")</f>
        <v>http://magasins.officedepot.fr/11040-office-depot-paris-11eme-richard-lenoir</v>
      </c>
      <c r="H43" s="2"/>
      <c r="I43" s="2"/>
      <c r="J43" s="2"/>
      <c r="K43" s="2"/>
      <c r="L43" s="2"/>
      <c r="M43" s="2"/>
      <c r="N43" s="2"/>
      <c r="O43" s="2"/>
      <c r="P43" s="2"/>
      <c r="Q43" s="2"/>
      <c r="R43" s="2"/>
      <c r="S43" s="2"/>
      <c r="T43" s="2"/>
      <c r="U43" s="2"/>
      <c r="V43" s="2"/>
      <c r="W43" s="2"/>
      <c r="X43" s="2"/>
      <c r="Y43" s="2"/>
      <c r="Z43" s="2"/>
    </row>
    <row r="44" ht="13.5" customHeight="1" spans="1:26">
      <c r="A44" s="20" t="s">
        <v>198</v>
      </c>
      <c r="B44" s="20" t="s">
        <v>199</v>
      </c>
      <c r="C44" s="20" t="s">
        <v>200</v>
      </c>
      <c r="D44" s="20"/>
      <c r="E44" s="20"/>
      <c r="F44" s="24" t="str">
        <f>HYPERLINK("http://www.meyrowitz.com/en/wp-content/uploads/2014/02/Opticiens-lunettes-luxe-meyrowitz-Logo.png","http://www.meyrowitz.com/en/wp-content/uploads/2014/02/Opticiens-lunettes-luxe-meyrowitz-Logo.png")</f>
        <v>http://www.meyrowitz.com/en/wp-content/uploads/2014/02/Opticiens-lunettes-luxe-meyrowitz-Logo.png</v>
      </c>
      <c r="G44" s="28" t="str">
        <f>HYPERLINK("http://www.meyrowitz.com/","http://www.meyrowitz.com/")</f>
        <v>http://www.meyrowitz.com/</v>
      </c>
      <c r="H44" s="2"/>
      <c r="I44" s="2"/>
      <c r="J44" s="2"/>
      <c r="K44" s="2"/>
      <c r="L44" s="2"/>
      <c r="M44" s="2"/>
      <c r="N44" s="2"/>
      <c r="O44" s="2"/>
      <c r="P44" s="2"/>
      <c r="Q44" s="2"/>
      <c r="R44" s="2"/>
      <c r="S44" s="2"/>
      <c r="T44" s="2"/>
      <c r="U44" s="2"/>
      <c r="V44" s="2"/>
      <c r="W44" s="2"/>
      <c r="X44" s="2"/>
      <c r="Y44" s="2"/>
      <c r="Z44" s="2"/>
    </row>
    <row r="45" ht="13.5" customHeight="1" spans="1:26">
      <c r="A45" s="20" t="s">
        <v>203</v>
      </c>
      <c r="B45" s="20" t="s">
        <v>204</v>
      </c>
      <c r="C45" s="20" t="s">
        <v>200</v>
      </c>
      <c r="D45" s="23">
        <v>80</v>
      </c>
      <c r="E45" s="20" t="s">
        <v>21</v>
      </c>
      <c r="F45" s="24" t="str">
        <f>HYPERLINK("http://opticien.grandoptical.com/le-blog/wp-content/uploads/2016/05/BLOC_MARQUE_GRANDOPNOUVELLE-TYPO.png","http://opticien.grandoptical.com/le-blog/wp-content/uploads/2016/05/BLOC_MARQUE_GRANDOPNOUVELLE-TYPO.png")</f>
        <v>http://opticien.grandoptical.com/le-blog/wp-content/uploads/2016/05/BLOC_MARQUE_GRANDOPNOUVELLE-TYPO.png</v>
      </c>
      <c r="G45" s="24" t="str">
        <f>HYPERLINK("https://www.grandoptical.com","https://www.grandoptical.com")</f>
        <v>https://www.grandoptical.com</v>
      </c>
      <c r="H45" s="2"/>
      <c r="I45" s="2"/>
      <c r="J45" s="2"/>
      <c r="K45" s="2"/>
      <c r="L45" s="2"/>
      <c r="M45" s="2"/>
      <c r="N45" s="2"/>
      <c r="O45" s="2"/>
      <c r="P45" s="2"/>
      <c r="Q45" s="2"/>
      <c r="R45" s="2"/>
      <c r="S45" s="2"/>
      <c r="T45" s="2"/>
      <c r="U45" s="2"/>
      <c r="V45" s="2"/>
      <c r="W45" s="2"/>
      <c r="X45" s="2"/>
      <c r="Y45" s="2"/>
      <c r="Z45" s="2"/>
    </row>
    <row r="46" ht="13.5" customHeight="1" spans="1:26">
      <c r="A46" s="20" t="s">
        <v>207</v>
      </c>
      <c r="B46" s="20" t="s">
        <v>208</v>
      </c>
      <c r="C46" s="20" t="s">
        <v>209</v>
      </c>
      <c r="D46" s="23">
        <v>5</v>
      </c>
      <c r="E46" s="20" t="s">
        <v>37</v>
      </c>
      <c r="F46" s="24" t="str">
        <f>HYPERLINK("https://media.licdn.com/mpr/mpr/shrink_200_200/AAEAAQAAAAAAAAV8AAAAJGZmNjdlMjFmLTQ2NWYtNGNhMi1iNmQxLTVjZTdmY2IzYzA0MA.png","https://media.licdn.com/mpr/mpr/shrink_200_200/AAEAAQAAAAAAAAV8AAAAJGZmNjdlMjFmLTQ2NWYtNGNhMi1iNmQxLTVjZTdmY2IzYzA0MA.png")</f>
        <v>https://media.licdn.com/mpr/mpr/shrink_200_200/AAEAAQAAAAAAAAV8AAAAJGZmNjdlMjFmLTQ2NWYtNGNhMi1iNmQxLTVjZTdmY2IzYzA0MA.png</v>
      </c>
      <c r="G46" s="24" t="str">
        <f>HYPERLINK("https://www.q-park-resa.fr/fr/parking/paris/Louvre.html?utm_source=googlemaps&amp;utm_medium=googlemaps&amp;utm_campaign=localsearchparkingparislouvre","https://www.q-park-resa.fr/fr/parking/paris/Louvre.html?utm_source=googlemaps&amp;utm_medium=googlemaps&amp;utm_campaign=localsearchparkingparislouvre")</f>
        <v>https://www.q-park-resa.fr/fr/parking/paris/Louvre.html?utm_source=googlemaps&amp;utm_medium=googlemaps&amp;utm_campaign=localsearchparkingparislouvre</v>
      </c>
      <c r="H46" s="2"/>
      <c r="I46" s="2"/>
      <c r="J46" s="2"/>
      <c r="K46" s="2"/>
      <c r="L46" s="2"/>
      <c r="M46" s="2"/>
      <c r="N46" s="2"/>
      <c r="O46" s="2"/>
      <c r="P46" s="2"/>
      <c r="Q46" s="2"/>
      <c r="R46" s="2"/>
      <c r="S46" s="2"/>
      <c r="T46" s="2"/>
      <c r="U46" s="2"/>
      <c r="V46" s="2"/>
      <c r="W46" s="2"/>
      <c r="X46" s="2"/>
      <c r="Y46" s="2"/>
      <c r="Z46" s="2"/>
    </row>
    <row r="47" ht="13.5" customHeight="1" spans="1:26">
      <c r="A47" s="20" t="s">
        <v>212</v>
      </c>
      <c r="B47" s="20" t="s">
        <v>213</v>
      </c>
      <c r="C47" s="20" t="s">
        <v>214</v>
      </c>
      <c r="D47" s="20"/>
      <c r="E47" s="20"/>
      <c r="F47" s="24" t="str">
        <f>HYPERLINK("https://s3-media1.fl.yelpcdn.com/bphoto/nSEe_gBreU8ianT_CmTIog/ls.jpg","https://s3-media1.fl.yelpcdn.com/bphoto/nSEe_gBreU8ianT_CmTIog/ls.jpg")</f>
        <v>https://s3-media1.fl.yelpcdn.com/bphoto/nSEe_gBreU8ianT_CmTIog/ls.jpg</v>
      </c>
      <c r="G47" s="29" t="str">
        <f>HYPERLINK("http://pharmacie-mairie-paris.com/","http://pharmacie-mairie-paris.com/")</f>
        <v>http://pharmacie-mairie-paris.com/</v>
      </c>
      <c r="H47" s="2"/>
      <c r="I47" s="2"/>
      <c r="J47" s="2"/>
      <c r="K47" s="2"/>
      <c r="L47" s="2"/>
      <c r="M47" s="2"/>
      <c r="N47" s="2"/>
      <c r="O47" s="2"/>
      <c r="P47" s="2"/>
      <c r="Q47" s="2"/>
      <c r="R47" s="2"/>
      <c r="S47" s="2"/>
      <c r="T47" s="2"/>
      <c r="U47" s="2"/>
      <c r="V47" s="2"/>
      <c r="W47" s="2"/>
      <c r="X47" s="2"/>
      <c r="Y47" s="2"/>
      <c r="Z47" s="2"/>
    </row>
    <row r="48" ht="13.5" customHeight="1" spans="1:26">
      <c r="A48" s="20" t="s">
        <v>217</v>
      </c>
      <c r="B48" s="20" t="s">
        <v>218</v>
      </c>
      <c r="C48" s="20" t="s">
        <v>219</v>
      </c>
      <c r="D48" s="2"/>
      <c r="E48" s="2"/>
      <c r="F48" s="24" t="str">
        <f>HYPERLINK("https://media.licdn.com/mpr/mpr/shrink_200_200/AAEAAQAAAAAAAAQ3AAAAJGYzNDc2ODFjLTBkZTUtNDFiYy1iYzI4LWZmOGZiMTc0Yjc0YQ.png","https://media.licdn.com/mpr/mpr/shrink_200_200/AAEAAQAAAAAAAAQ3AAAAJGYzNDc2ODFjLTBkZTUtNDFiYy1iYzI4LWZmOGZiMTc0Yjc0YQ.png")</f>
        <v>https://media.licdn.com/mpr/mpr/shrink_200_200/AAEAAQAAAAAAAAQ3AAAAJGYzNDc2ODFjLTBkZTUtNDFiYy1iYzI4LWZmOGZiMTc0Yjc0YQ.png</v>
      </c>
      <c r="G48" s="24" t="str">
        <f>HYPERLINK("http://www.eupec-pipecoatings.com","http://www.eupec-pipecoatings.com")</f>
        <v>http://www.eupec-pipecoatings.com</v>
      </c>
      <c r="H48" s="2"/>
      <c r="I48" s="2"/>
      <c r="J48" s="2"/>
      <c r="K48" s="2"/>
      <c r="L48" s="2"/>
      <c r="M48" s="2"/>
      <c r="N48" s="2"/>
      <c r="O48" s="2"/>
      <c r="P48" s="2"/>
      <c r="Q48" s="2"/>
      <c r="R48" s="2"/>
      <c r="S48" s="2"/>
      <c r="T48" s="2"/>
      <c r="U48" s="2"/>
      <c r="V48" s="2"/>
      <c r="W48" s="2"/>
      <c r="X48" s="2"/>
      <c r="Y48" s="2"/>
      <c r="Z48" s="2"/>
    </row>
    <row r="49" ht="13.5" customHeight="1" spans="1:26">
      <c r="A49" s="20" t="s">
        <v>222</v>
      </c>
      <c r="B49" s="25" t="s">
        <v>223</v>
      </c>
      <c r="C49" s="25" t="s">
        <v>224</v>
      </c>
      <c r="D49" s="26"/>
      <c r="E49" s="20"/>
      <c r="F49" s="24" t="str">
        <f>HYPERLINK("http://www.hargiselectric.com/images/logo.png","http://www.hargiselectric.com/images/logo.png")</f>
        <v>http://www.hargiselectric.com/images/logo.png</v>
      </c>
      <c r="G49" s="24" t="str">
        <f>HYPERLINK("http://www.hargiselectric.com/","http://www.hargiselectric.com/")</f>
        <v>http://www.hargiselectric.com/</v>
      </c>
      <c r="H49" s="2"/>
      <c r="I49" s="2"/>
      <c r="J49" s="2"/>
      <c r="K49" s="2"/>
      <c r="L49" s="2"/>
      <c r="M49" s="2"/>
      <c r="N49" s="2"/>
      <c r="O49" s="2"/>
      <c r="P49" s="2"/>
      <c r="Q49" s="2"/>
      <c r="R49" s="2"/>
      <c r="S49" s="2"/>
      <c r="T49" s="2"/>
      <c r="U49" s="2"/>
      <c r="V49" s="2"/>
      <c r="W49" s="2"/>
      <c r="X49" s="2"/>
      <c r="Y49" s="2"/>
      <c r="Z49" s="2"/>
    </row>
    <row r="50" ht="13.5" customHeight="1" spans="1:26">
      <c r="A50" s="20" t="s">
        <v>227</v>
      </c>
      <c r="B50" s="25" t="s">
        <v>228</v>
      </c>
      <c r="C50" s="20" t="s">
        <v>229</v>
      </c>
      <c r="D50" s="23">
        <v>66</v>
      </c>
      <c r="E50" s="20" t="s">
        <v>21</v>
      </c>
      <c r="F50" s="24" t="str">
        <f>HYPERLINK("http://upload.wikimedia.org/wikipedia/commons/f/f8/Mr_Bricolage_logo.png","http://upload.wikimedia.org/wikipedia/commons/f/f8/Mr_Bricolage_logo.png")</f>
        <v>http://upload.wikimedia.org/wikipedia/commons/f/f8/Mr_Bricolage_logo.png</v>
      </c>
      <c r="G50" s="24" t="str">
        <f>HYPERLINK("http://www.mr-bricolage.fr/","www.mr-bricolage.fr/")</f>
        <v>www.mr-bricolage.fr/</v>
      </c>
      <c r="H50" s="2"/>
      <c r="I50" s="2"/>
      <c r="J50" s="2"/>
      <c r="K50" s="2"/>
      <c r="L50" s="2"/>
      <c r="M50" s="2"/>
      <c r="N50" s="2"/>
      <c r="O50" s="2"/>
      <c r="P50" s="2"/>
      <c r="Q50" s="2"/>
      <c r="R50" s="2"/>
      <c r="S50" s="2"/>
      <c r="T50" s="2"/>
      <c r="U50" s="2"/>
      <c r="V50" s="2"/>
      <c r="W50" s="2"/>
      <c r="X50" s="2"/>
      <c r="Y50" s="2"/>
      <c r="Z50" s="2"/>
    </row>
    <row r="51" ht="13.5" customHeight="1" spans="1:26">
      <c r="A51" s="20" t="s">
        <v>231</v>
      </c>
      <c r="B51" s="25" t="s">
        <v>232</v>
      </c>
      <c r="C51" s="20" t="s">
        <v>224</v>
      </c>
      <c r="D51" s="23">
        <v>156</v>
      </c>
      <c r="E51" s="20" t="s">
        <v>21</v>
      </c>
      <c r="F51" s="24" t="str">
        <f>HYPERLINK("http://upload.wikimedia.org/wikipedia/fr/archive/7/7b/20140406203047!Logo_Bricorama.png","http://upload.wikimedia.org/wikipedia/fr/archive/7/7b/20140406203047!Logo_Bricorama.png")</f>
        <v>http://upload.wikimedia.org/wikipedia/fr/archive/7/7b/20140406203047!Logo_Bricorama.png</v>
      </c>
      <c r="G51" s="24" t="str">
        <f>HYPERLINK("http://www.bricorama.fr/","www.bricorama.fr/")</f>
        <v>www.bricorama.fr/</v>
      </c>
      <c r="H51" s="2"/>
      <c r="I51" s="2"/>
      <c r="J51" s="2"/>
      <c r="K51" s="2"/>
      <c r="L51" s="2"/>
      <c r="M51" s="2"/>
      <c r="N51" s="2"/>
      <c r="O51" s="2"/>
      <c r="P51" s="2"/>
      <c r="Q51" s="2"/>
      <c r="R51" s="2"/>
      <c r="S51" s="2"/>
      <c r="T51" s="2"/>
      <c r="U51" s="2"/>
      <c r="V51" s="2"/>
      <c r="W51" s="2"/>
      <c r="X51" s="2"/>
      <c r="Y51" s="2"/>
      <c r="Z51" s="2"/>
    </row>
    <row r="52" ht="13.5" customHeight="1" spans="1:26">
      <c r="A52" s="20" t="s">
        <v>234</v>
      </c>
      <c r="B52" s="20" t="s">
        <v>235</v>
      </c>
      <c r="C52" s="20" t="s">
        <v>236</v>
      </c>
      <c r="D52" s="23">
        <v>30</v>
      </c>
      <c r="E52" s="20" t="s">
        <v>37</v>
      </c>
      <c r="F52" s="24" t="str">
        <f>HYPERLINK("http://www.restaurant-lecinq.com/wp-content/themes/lecinq/img/logo.png","http://www.restaurant-lecinq.com/wp-content/themes/lecinq/img/logo.png")</f>
        <v>http://www.restaurant-lecinq.com/wp-content/themes/lecinq/img/logo.png</v>
      </c>
      <c r="G52" s="9" t="str">
        <f>HYPERLINK("http://www.restaurant-lecinq.com","http://www.restaurant-lecinq.com")</f>
        <v>http://www.restaurant-lecinq.com</v>
      </c>
      <c r="H52" s="2"/>
      <c r="I52" s="2"/>
      <c r="J52" s="2"/>
      <c r="K52" s="2"/>
      <c r="L52" s="2"/>
      <c r="M52" s="2"/>
      <c r="N52" s="2"/>
      <c r="O52" s="2"/>
      <c r="P52" s="2"/>
      <c r="Q52" s="2"/>
      <c r="R52" s="2"/>
      <c r="S52" s="2"/>
      <c r="T52" s="2"/>
      <c r="U52" s="2"/>
      <c r="V52" s="2"/>
      <c r="W52" s="2"/>
      <c r="X52" s="2"/>
      <c r="Y52" s="2"/>
      <c r="Z52" s="2"/>
    </row>
    <row r="53" ht="13.5" customHeight="1" spans="1:26">
      <c r="A53" s="20" t="s">
        <v>239</v>
      </c>
      <c r="B53" s="20" t="s">
        <v>240</v>
      </c>
      <c r="C53" s="20" t="s">
        <v>236</v>
      </c>
      <c r="D53" s="23">
        <v>230</v>
      </c>
      <c r="E53" s="20" t="s">
        <v>21</v>
      </c>
      <c r="F53" s="24" t="str">
        <f>HYPERLINK("http://inspirelle.com/wp-content/uploads/2017/01/ParisPicnic_WEB.jpg","http://inspirelle.com/wp-content/uploads/2017/01/ParisPicnic_WEB.jpg")</f>
        <v>http://inspirelle.com/wp-content/uploads/2017/01/ParisPicnic_WEB.jpg</v>
      </c>
      <c r="G53" s="24" t="str">
        <f>HYPERLINK("https://www.parispicnic.com/choose-your-basket","https://www.parispicnic.com/choose-your-basket")</f>
        <v>https://www.parispicnic.com/choose-your-basket</v>
      </c>
      <c r="H53" s="2"/>
      <c r="I53" s="2"/>
      <c r="J53" s="2"/>
      <c r="K53" s="2"/>
      <c r="L53" s="2"/>
      <c r="M53" s="2"/>
      <c r="N53" s="2"/>
      <c r="O53" s="2"/>
      <c r="P53" s="2"/>
      <c r="Q53" s="2"/>
      <c r="R53" s="2"/>
      <c r="S53" s="2"/>
      <c r="T53" s="2"/>
      <c r="U53" s="2"/>
      <c r="V53" s="2"/>
      <c r="W53" s="2"/>
      <c r="X53" s="2"/>
      <c r="Y53" s="2"/>
      <c r="Z53" s="2"/>
    </row>
    <row r="54" ht="13.5" customHeight="1" spans="1:26">
      <c r="A54" s="20" t="s">
        <v>243</v>
      </c>
      <c r="B54" s="20" t="s">
        <v>244</v>
      </c>
      <c r="C54" s="20" t="s">
        <v>236</v>
      </c>
      <c r="D54" s="23">
        <v>100</v>
      </c>
      <c r="E54" s="20" t="s">
        <v>245</v>
      </c>
      <c r="F54" s="9" t="str">
        <f>HYPERLINK("https://fromagerie-danard.com/sites/all/themes/fromageriedanard_200/logo.png","https://fromagerie-danard.com/sites/all/themes/fromageriedanard_200/logo.png")</f>
        <v>https://fromagerie-danard.com/sites/all/themes/fromageriedanard_200/logo.png</v>
      </c>
      <c r="G54" s="9" t="str">
        <f>HYPERLINK("https://www.fromagerie-danard.com","https://www.fromagerie-danard.com")</f>
        <v>https://www.fromagerie-danard.com</v>
      </c>
      <c r="H54" s="2"/>
      <c r="I54" s="2"/>
      <c r="J54" s="2"/>
      <c r="K54" s="2"/>
      <c r="L54" s="2"/>
      <c r="M54" s="2"/>
      <c r="N54" s="2"/>
      <c r="O54" s="2"/>
      <c r="P54" s="2"/>
      <c r="Q54" s="2"/>
      <c r="R54" s="2"/>
      <c r="S54" s="2"/>
      <c r="T54" s="2"/>
      <c r="U54" s="2"/>
      <c r="V54" s="2"/>
      <c r="W54" s="2"/>
      <c r="X54" s="2"/>
      <c r="Y54" s="2"/>
      <c r="Z54" s="2"/>
    </row>
    <row r="55" ht="13.5" customHeight="1" spans="1:26">
      <c r="A55" s="20" t="s">
        <v>248</v>
      </c>
      <c r="B55" s="20" t="s">
        <v>249</v>
      </c>
      <c r="C55" s="20" t="s">
        <v>236</v>
      </c>
      <c r="D55" s="23">
        <v>100</v>
      </c>
      <c r="E55" s="20" t="s">
        <v>245</v>
      </c>
      <c r="F55" s="9" t="str">
        <f>HYPERLINK("http://www.distilleurs.fr/wp-content/uploads/2016/07/logo-la-bonne-excuse.jpg","http://www.distilleurs.fr/wp-content/uploads/2016/07/logo-la-bonne-excuse.jpg")</f>
        <v>http://www.distilleurs.fr/wp-content/uploads/2016/07/logo-la-bonne-excuse.jpg</v>
      </c>
      <c r="G55" s="9" t="str">
        <f>HYPERLINK("http://www.restaurantlerestaurantparis.com/index,no_page,1,code_ISO_langue,fr.html","http://www.restaurantlerestaurantparis.com/index,no_page,1,code_ISO_langue,fr.html")</f>
        <v>http://www.restaurantlerestaurantparis.com/index,no_page,1,code_ISO_langue,fr.html</v>
      </c>
      <c r="H55" s="2"/>
      <c r="I55" s="2"/>
      <c r="J55" s="2"/>
      <c r="K55" s="2"/>
      <c r="L55" s="2"/>
      <c r="M55" s="2"/>
      <c r="N55" s="2"/>
      <c r="O55" s="2"/>
      <c r="P55" s="2"/>
      <c r="Q55" s="2"/>
      <c r="R55" s="2"/>
      <c r="S55" s="2"/>
      <c r="T55" s="2"/>
      <c r="U55" s="2"/>
      <c r="V55" s="2"/>
      <c r="W55" s="2"/>
      <c r="X55" s="2"/>
      <c r="Y55" s="2"/>
      <c r="Z55" s="2"/>
    </row>
    <row r="56" ht="13.5" customHeight="1" spans="1:26">
      <c r="A56" s="20" t="s">
        <v>252</v>
      </c>
      <c r="B56" s="20" t="s">
        <v>253</v>
      </c>
      <c r="C56" s="20" t="s">
        <v>236</v>
      </c>
      <c r="D56" s="23">
        <v>35</v>
      </c>
      <c r="E56" s="20" t="s">
        <v>37</v>
      </c>
      <c r="F56" s="24" t="str">
        <f>HYPERLINK("http://ilfarniente.com/wp-content/uploads/2012/11/logo_il_farniente3-300x107.png","http://ilfarniente.com/wp-content/uploads/2012/11/logo_il_farniente3-300x107.png")</f>
        <v>http://ilfarniente.com/wp-content/uploads/2012/11/logo_il_farniente3-300x107.png</v>
      </c>
      <c r="G56" s="24" t="str">
        <f>HYPERLINK("http://ilfarniente.com","http://ilfarniente.com")</f>
        <v>http://ilfarniente.com</v>
      </c>
      <c r="H56" s="2"/>
      <c r="I56" s="2"/>
      <c r="J56" s="2"/>
      <c r="K56" s="2"/>
      <c r="L56" s="2"/>
      <c r="M56" s="2"/>
      <c r="N56" s="2"/>
      <c r="O56" s="2"/>
      <c r="P56" s="2"/>
      <c r="Q56" s="2"/>
      <c r="R56" s="2"/>
      <c r="S56" s="2"/>
      <c r="T56" s="2"/>
      <c r="U56" s="2"/>
      <c r="V56" s="2"/>
      <c r="W56" s="2"/>
      <c r="X56" s="2"/>
      <c r="Y56" s="2"/>
      <c r="Z56" s="2"/>
    </row>
    <row r="57" ht="13.5" customHeight="1" spans="1:26">
      <c r="A57" s="20" t="s">
        <v>256</v>
      </c>
      <c r="B57" s="20" t="s">
        <v>257</v>
      </c>
      <c r="C57" s="20" t="s">
        <v>236</v>
      </c>
      <c r="D57" s="23">
        <v>40</v>
      </c>
      <c r="E57" s="20" t="s">
        <v>37</v>
      </c>
      <c r="F57" s="24" t="str">
        <f>HYPERLINK("http://breizhcafe.com/wp-content/uploads/2016/02/equipe-creperie-de-saint-malo-le-comptoir-breizh-cafe.jpg","http://breizhcafe.com/wp-content/uploads/2016/02/equipe-creperie-de-saint-malo-le-comptoir-breizh-cafe.jpg")</f>
        <v>http://breizhcafe.com/wp-content/uploads/2016/02/equipe-creperie-de-saint-malo-le-comptoir-breizh-cafe.jpg</v>
      </c>
      <c r="G57" s="24" t="str">
        <f>HYPERLINK("http://breizhcafe.com/fr/","http://breizhcafe.com/fr/")</f>
        <v>http://breizhcafe.com/fr/</v>
      </c>
      <c r="H57" s="2"/>
      <c r="I57" s="2"/>
      <c r="J57" s="2"/>
      <c r="K57" s="2"/>
      <c r="L57" s="2"/>
      <c r="M57" s="2"/>
      <c r="N57" s="2"/>
      <c r="O57" s="2"/>
      <c r="P57" s="2"/>
      <c r="Q57" s="2"/>
      <c r="R57" s="2"/>
      <c r="S57" s="2"/>
      <c r="T57" s="2"/>
      <c r="U57" s="2"/>
      <c r="V57" s="2"/>
      <c r="W57" s="2"/>
      <c r="X57" s="2"/>
      <c r="Y57" s="2"/>
      <c r="Z57" s="2"/>
    </row>
    <row r="58" ht="13.5" customHeight="1" spans="1:26">
      <c r="A58" s="20" t="s">
        <v>260</v>
      </c>
      <c r="B58" s="20" t="s">
        <v>261</v>
      </c>
      <c r="C58" s="20" t="s">
        <v>236</v>
      </c>
      <c r="D58" s="23">
        <v>8</v>
      </c>
      <c r="E58" s="20" t="s">
        <v>262</v>
      </c>
      <c r="F58" s="24" t="str">
        <f>HYPERLINK("http://vignette4.wikia.nocookie.net/logopedia/images/2/2a/Burger_King.png/revision/latest?cb=20150719154954","http://vignette4.wikia.nocookie.net/logopedia/images/2/2a/Burger_King.png/revision/latest?cb=20150719154954")</f>
        <v>http://vignette4.wikia.nocookie.net/logopedia/images/2/2a/Burger_King.png/revision/latest?cb=20150719154954</v>
      </c>
      <c r="G58" s="24" t="str">
        <f>HYPERLINK("https://www.burgerking.fr/restaurants/q/paris-st-lazare","https://www.burgerking.fr/restaurants/q/paris-st-lazare")</f>
        <v>https://www.burgerking.fr/restaurants/q/paris-st-lazare</v>
      </c>
      <c r="H58" s="2"/>
      <c r="I58" s="2"/>
      <c r="J58" s="2"/>
      <c r="K58" s="2"/>
      <c r="L58" s="2"/>
      <c r="M58" s="2"/>
      <c r="N58" s="2"/>
      <c r="O58" s="2"/>
      <c r="P58" s="2"/>
      <c r="Q58" s="2"/>
      <c r="R58" s="2"/>
      <c r="S58" s="2"/>
      <c r="T58" s="2"/>
      <c r="U58" s="2"/>
      <c r="V58" s="2"/>
      <c r="W58" s="2"/>
      <c r="X58" s="2"/>
      <c r="Y58" s="2"/>
      <c r="Z58" s="2"/>
    </row>
    <row r="59" ht="13.5" customHeight="1" spans="1:26">
      <c r="A59" s="20" t="s">
        <v>265</v>
      </c>
      <c r="B59" s="20" t="s">
        <v>266</v>
      </c>
      <c r="C59" s="20" t="s">
        <v>236</v>
      </c>
      <c r="D59" s="23">
        <v>30</v>
      </c>
      <c r="E59" s="20" t="s">
        <v>37</v>
      </c>
      <c r="F59" s="24" t="str">
        <f>HYPERLINK("https://media-cdn.tripadvisor.com/media/photo-s/05/d2/ba/5a/un-buen-almuerzo.jpg","https://media-cdn.tripadvisor.com/media/photo-s/05/d2/ba/5a/un-buen-almuerzo.jpg")</f>
        <v>https://media-cdn.tripadvisor.com/media/photo-s/05/d2/ba/5a/un-buen-almuerzo.jpg</v>
      </c>
      <c r="G59" s="24" t="str">
        <f>HYPERLINK("http://restaurantbabalou.fr/en","http://restaurantbabalou.fr/en")</f>
        <v>http://restaurantbabalou.fr/en</v>
      </c>
      <c r="H59" s="2"/>
      <c r="I59" s="2"/>
      <c r="J59" s="2"/>
      <c r="K59" s="2"/>
      <c r="L59" s="2"/>
      <c r="M59" s="2"/>
      <c r="N59" s="2"/>
      <c r="O59" s="2"/>
      <c r="P59" s="2"/>
      <c r="Q59" s="2"/>
      <c r="R59" s="2"/>
      <c r="S59" s="2"/>
      <c r="T59" s="2"/>
      <c r="U59" s="2"/>
      <c r="V59" s="2"/>
      <c r="W59" s="2"/>
      <c r="X59" s="2"/>
      <c r="Y59" s="2"/>
      <c r="Z59" s="2"/>
    </row>
    <row r="60" ht="13.5" customHeight="1" spans="1:26">
      <c r="A60" s="20" t="s">
        <v>269</v>
      </c>
      <c r="B60" s="20" t="s">
        <v>270</v>
      </c>
      <c r="C60" s="20" t="s">
        <v>236</v>
      </c>
      <c r="D60" s="23">
        <v>35</v>
      </c>
      <c r="E60" s="20" t="s">
        <v>37</v>
      </c>
      <c r="F60" s="24" t="str">
        <f>HYPERLINK("http://vignette1.wikia.nocookie.net/logopedia/images/6/63/Pizza_Hut_2012_logo.png/revision/latest?cb=20140507122847","http://vignette1.wikia.nocookie.net/logopedia/images/6/63/Pizza_Hut_2012_logo.png/revision/latest?cb=20140507122847")</f>
        <v>http://vignette1.wikia.nocookie.net/logopedia/images/6/63/Pizza_Hut_2012_logo.png/revision/latest?cb=20140507122847</v>
      </c>
      <c r="G60" s="24" t="str">
        <f>HYPERLINK("http://restaurant.pizzahut.fr/#&amp;panel1-1","http://restaurant.pizzahut.fr/#&amp;panel1-1")</f>
        <v>http://restaurant.pizzahut.fr/#&amp;panel1-1</v>
      </c>
      <c r="H60" s="2"/>
      <c r="I60" s="2"/>
      <c r="J60" s="2"/>
      <c r="K60" s="2"/>
      <c r="L60" s="2"/>
      <c r="M60" s="2"/>
      <c r="N60" s="2"/>
      <c r="O60" s="2"/>
      <c r="P60" s="2"/>
      <c r="Q60" s="2"/>
      <c r="R60" s="2"/>
      <c r="S60" s="2"/>
      <c r="T60" s="2"/>
      <c r="U60" s="2"/>
      <c r="V60" s="2"/>
      <c r="W60" s="2"/>
      <c r="X60" s="2"/>
      <c r="Y60" s="2"/>
      <c r="Z60" s="2"/>
    </row>
    <row r="61" ht="13.5" customHeight="1" spans="1:26">
      <c r="A61" s="20" t="s">
        <v>273</v>
      </c>
      <c r="B61" s="20" t="s">
        <v>274</v>
      </c>
      <c r="C61" s="20" t="s">
        <v>236</v>
      </c>
      <c r="D61" s="23">
        <v>30</v>
      </c>
      <c r="E61" s="20" t="s">
        <v>32</v>
      </c>
      <c r="F61" s="24" t="str">
        <f>HYPERLINK("https://upload.wikimedia.org/wikipedia/commons/thumb/a/a9/Mcdonalds-90s-logo.svg/2000px-Mcdonalds-90s-logo.svg.png","https://upload.wikimedia.org/wikipedia/commons/thumb/a/a9/Mcdonalds-90s-logo.svg/2000px-Mcdonalds-90s-logo.svg.png")</f>
        <v>https://upload.wikimedia.org/wikipedia/commons/thumb/a/a9/Mcdonalds-90s-logo.svg/2000px-Mcdonalds-90s-logo.svg.png</v>
      </c>
      <c r="G61" s="24" t="str">
        <f>HYPERLINK("https://www.mcdonalds.fr","https://www.mcdonalds.fr")</f>
        <v>https://www.mcdonalds.fr</v>
      </c>
      <c r="H61" s="2"/>
      <c r="I61" s="2"/>
      <c r="J61" s="2"/>
      <c r="K61" s="2"/>
      <c r="L61" s="2"/>
      <c r="M61" s="2"/>
      <c r="N61" s="2"/>
      <c r="O61" s="2"/>
      <c r="P61" s="2"/>
      <c r="Q61" s="2"/>
      <c r="R61" s="2"/>
      <c r="S61" s="2"/>
      <c r="T61" s="2"/>
      <c r="U61" s="2"/>
      <c r="V61" s="2"/>
      <c r="W61" s="2"/>
      <c r="X61" s="2"/>
      <c r="Y61" s="2"/>
      <c r="Z61" s="2"/>
    </row>
    <row r="62" ht="13.5" customHeight="1" spans="1:26">
      <c r="A62" s="20" t="s">
        <v>277</v>
      </c>
      <c r="B62" s="20" t="s">
        <v>278</v>
      </c>
      <c r="C62" s="20" t="s">
        <v>236</v>
      </c>
      <c r="D62" s="23">
        <v>37</v>
      </c>
      <c r="E62" s="20" t="s">
        <v>37</v>
      </c>
      <c r="F62" s="24" t="str">
        <f>HYPERLINK("http://www.allopizzaexpress.com/icon/logo.jpg","http://www.allopizzaexpress.com/icon/logo.jpg")</f>
        <v>http://www.allopizzaexpress.com/icon/logo.jpg</v>
      </c>
      <c r="G62" s="24" t="str">
        <f>HYPERLINK("http://www.allopizzaexpress.com","http://www.allopizzaexpress.com")</f>
        <v>http://www.allopizzaexpress.com</v>
      </c>
      <c r="H62" s="2"/>
      <c r="I62" s="2"/>
      <c r="J62" s="2"/>
      <c r="K62" s="2"/>
      <c r="L62" s="2"/>
      <c r="M62" s="2"/>
      <c r="N62" s="2"/>
      <c r="O62" s="2"/>
      <c r="P62" s="2"/>
      <c r="Q62" s="2"/>
      <c r="R62" s="2"/>
      <c r="S62" s="2"/>
      <c r="T62" s="2"/>
      <c r="U62" s="2"/>
      <c r="V62" s="2"/>
      <c r="W62" s="2"/>
      <c r="X62" s="2"/>
      <c r="Y62" s="2"/>
      <c r="Z62" s="2"/>
    </row>
    <row r="63" ht="13.5" customHeight="1" spans="1:26">
      <c r="A63" s="20" t="s">
        <v>281</v>
      </c>
      <c r="B63" s="20" t="s">
        <v>282</v>
      </c>
      <c r="C63" s="20" t="s">
        <v>236</v>
      </c>
      <c r="D63" s="23">
        <v>40</v>
      </c>
      <c r="E63" s="20" t="s">
        <v>37</v>
      </c>
      <c r="F63" s="24" t="str">
        <f>HYPERLINK("http://mipi.pizza/images/mipi-mini-pizza-napoli-paris-reminiscence-mark-png8.png","http://mipi.pizza/images/mipi-mini-pizza-napoli-paris-reminiscence-mark-png8.png")</f>
        <v>http://mipi.pizza/images/mipi-mini-pizza-napoli-paris-reminiscence-mark-png8.png</v>
      </c>
      <c r="G63" s="24" t="str">
        <f>HYPERLINK("http://mipi.pizza","http://mipi.pizza")</f>
        <v>http://mipi.pizza</v>
      </c>
      <c r="H63" s="2"/>
      <c r="I63" s="2"/>
      <c r="J63" s="2"/>
      <c r="K63" s="2"/>
      <c r="L63" s="2"/>
      <c r="M63" s="2"/>
      <c r="N63" s="2"/>
      <c r="O63" s="2"/>
      <c r="P63" s="2"/>
      <c r="Q63" s="2"/>
      <c r="R63" s="2"/>
      <c r="S63" s="2"/>
      <c r="T63" s="2"/>
      <c r="U63" s="2"/>
      <c r="V63" s="2"/>
      <c r="W63" s="2"/>
      <c r="X63" s="2"/>
      <c r="Y63" s="2"/>
      <c r="Z63" s="2"/>
    </row>
    <row r="64" ht="13.5" customHeight="1" spans="1:26">
      <c r="A64" s="20" t="s">
        <v>285</v>
      </c>
      <c r="B64" s="20" t="s">
        <v>80</v>
      </c>
      <c r="C64" s="20" t="s">
        <v>286</v>
      </c>
      <c r="D64" s="23">
        <v>35</v>
      </c>
      <c r="E64" s="20" t="s">
        <v>37</v>
      </c>
      <c r="F64" s="24" t="str">
        <f>HYPERLINK("http://www.guillauma-pesme-avocats.com/medias/shared/logo-service-public.jpg","http://www.guillauma-pesme-avocats.com/medias/shared/logo-service-public.jpg")</f>
        <v>http://www.guillauma-pesme-avocats.com/medias/shared/logo-service-public.jpg</v>
      </c>
      <c r="G64" s="24" t="str">
        <f>HYPERLINK("https://www.service-public.fr/particuliers/vosdroits/F19211","https://www.service-public.fr/particuliers/vosdroits/F19211")</f>
        <v>https://www.service-public.fr/particuliers/vosdroits/F19211</v>
      </c>
      <c r="H64" s="2"/>
      <c r="I64" s="2"/>
      <c r="J64" s="2"/>
      <c r="K64" s="2"/>
      <c r="L64" s="2"/>
      <c r="M64" s="2"/>
      <c r="N64" s="2"/>
      <c r="O64" s="2"/>
      <c r="P64" s="2"/>
      <c r="Q64" s="2"/>
      <c r="R64" s="2"/>
      <c r="S64" s="2"/>
      <c r="T64" s="2"/>
      <c r="U64" s="2"/>
      <c r="V64" s="2"/>
      <c r="W64" s="2"/>
      <c r="X64" s="2"/>
      <c r="Y64" s="2"/>
      <c r="Z64" s="2"/>
    </row>
    <row r="65" ht="13.5" customHeight="1" spans="1:26">
      <c r="A65" s="20" t="s">
        <v>288</v>
      </c>
      <c r="B65" s="20" t="s">
        <v>8577</v>
      </c>
      <c r="C65" s="20" t="s">
        <v>290</v>
      </c>
      <c r="D65" s="23">
        <v>300</v>
      </c>
      <c r="E65" s="20" t="s">
        <v>37</v>
      </c>
      <c r="F65" s="24" t="str">
        <f>HYPERLINK("http://logok.org/wp-content/uploads/2015/03/Societe-Generale-logo-logotype.png","http://logok.org/wp-content/uploads/2015/03/Societe-Generale-logo-logotype.png")</f>
        <v>http://logok.org/wp-content/uploads/2015/03/Societe-Generale-logo-logotype.png</v>
      </c>
      <c r="G65" s="24" t="str">
        <f>HYPERLINK("https://particuliers.societegenerale.fr/clientele_internationale/en/moving_to_france/savings.html","https://particuliers.societegenerale.fr/clientele_internationale/en/moving_to_france/savings.html")</f>
        <v>https://particuliers.societegenerale.fr/clientele_internationale/en/moving_to_france/savings.html</v>
      </c>
      <c r="H65" s="2"/>
      <c r="I65" s="2"/>
      <c r="J65" s="2"/>
      <c r="K65" s="2"/>
      <c r="L65" s="2"/>
      <c r="M65" s="2"/>
      <c r="N65" s="2"/>
      <c r="O65" s="2"/>
      <c r="P65" s="2"/>
      <c r="Q65" s="2"/>
      <c r="R65" s="2"/>
      <c r="S65" s="2"/>
      <c r="T65" s="2"/>
      <c r="U65" s="2"/>
      <c r="V65" s="2"/>
      <c r="W65" s="2"/>
      <c r="X65" s="2"/>
      <c r="Y65" s="2"/>
      <c r="Z65" s="2"/>
    </row>
    <row r="66" ht="13.5" customHeight="1" spans="1:26">
      <c r="A66" s="20" t="s">
        <v>293</v>
      </c>
      <c r="B66" s="20" t="s">
        <v>8578</v>
      </c>
      <c r="C66" s="20" t="s">
        <v>290</v>
      </c>
      <c r="D66" s="23">
        <v>35</v>
      </c>
      <c r="E66" s="20" t="s">
        <v>37</v>
      </c>
      <c r="F66" s="24" t="str">
        <f>HYPERLINK("https://upload.wikimedia.org/wikipedia/en/thumb/6/6a/BNP_Paribas.svg/1024px-BNP_Paribas.svg.png","https://upload.wikimedia.org/wikipedia/en/thumb/6/6a/BNP_Paribas.svg/1024px-BNP_Paribas.svg.png")</f>
        <v>https://upload.wikimedia.org/wikipedia/en/thumb/6/6a/BNP_Paribas.svg/1024px-BNP_Paribas.svg.png</v>
      </c>
      <c r="G66" s="24" t="str">
        <f>HYPERLINK("https://mabanqueprivee.bnpparibas","https://mabanqueprivee.bnpparibas")</f>
        <v>https://mabanqueprivee.bnpparibas</v>
      </c>
      <c r="H66" s="2"/>
      <c r="I66" s="2"/>
      <c r="J66" s="2"/>
      <c r="K66" s="2"/>
      <c r="L66" s="2"/>
      <c r="M66" s="2"/>
      <c r="N66" s="2"/>
      <c r="O66" s="2"/>
      <c r="P66" s="2"/>
      <c r="Q66" s="2"/>
      <c r="R66" s="2"/>
      <c r="S66" s="2"/>
      <c r="T66" s="2"/>
      <c r="U66" s="2"/>
      <c r="V66" s="2"/>
      <c r="W66" s="2"/>
      <c r="X66" s="2"/>
      <c r="Y66" s="2"/>
      <c r="Z66" s="2"/>
    </row>
    <row r="67" ht="13.5" customHeight="1" spans="1:26">
      <c r="A67" s="20" t="s">
        <v>297</v>
      </c>
      <c r="B67" s="25" t="s">
        <v>298</v>
      </c>
      <c r="C67" s="25" t="s">
        <v>1807</v>
      </c>
      <c r="D67" s="26"/>
      <c r="E67" s="20"/>
      <c r="F67" s="24" t="str">
        <f>HYPERLINK("http://www.isparis.edu/uploaded/Documents/logos/ISPplus_Logo_tag_web-rvb-whitebgrnd.jpg","http://www.isparis.edu/uploaded/Documents/logos/ISPplus_Logo_tag_web-rvb-whitebgrnd.jpg")</f>
        <v>http://www.isparis.edu/uploaded/Documents/logos/ISPplus_Logo_tag_web-rvb-whitebgrnd.jpg</v>
      </c>
      <c r="G67" s="24" t="str">
        <f>HYPERLINK("http://www.isparis.edu/","http://www.isparis.edu/")</f>
        <v>http://www.isparis.edu/</v>
      </c>
      <c r="H67" s="2"/>
      <c r="I67" s="2"/>
      <c r="J67" s="2"/>
      <c r="K67" s="2"/>
      <c r="L67" s="2"/>
      <c r="M67" s="2"/>
      <c r="N67" s="2"/>
      <c r="O67" s="2"/>
      <c r="P67" s="2"/>
      <c r="Q67" s="2"/>
      <c r="R67" s="2"/>
      <c r="S67" s="2"/>
      <c r="T67" s="2"/>
      <c r="U67" s="2"/>
      <c r="V67" s="2"/>
      <c r="W67" s="2"/>
      <c r="X67" s="2"/>
      <c r="Y67" s="2"/>
      <c r="Z67" s="2"/>
    </row>
    <row r="68" ht="13.5" customHeight="1" spans="1:26">
      <c r="A68" s="20" t="s">
        <v>302</v>
      </c>
      <c r="B68" s="20" t="s">
        <v>303</v>
      </c>
      <c r="C68" s="20" t="s">
        <v>304</v>
      </c>
      <c r="D68" s="2"/>
      <c r="E68" s="2"/>
      <c r="F68" s="24" t="str">
        <f>HYPERLINK("http://www.sevenseasworldwide.com/ssw-shipping-logo.png","http://www.sevenseasworldwide.com/ssw-shipping-logo.png")</f>
        <v>http://www.sevenseasworldwide.com/ssw-shipping-logo.png</v>
      </c>
      <c r="G68" s="24" t="str">
        <f>HYPERLINK("http://www.sevenseasworldwide.com","http://www.sevenseasworldwide.com")</f>
        <v>http://www.sevenseasworldwide.com</v>
      </c>
      <c r="H68" s="2"/>
      <c r="I68" s="2"/>
      <c r="J68" s="2"/>
      <c r="K68" s="2"/>
      <c r="L68" s="2"/>
      <c r="M68" s="2"/>
      <c r="N68" s="2"/>
      <c r="O68" s="2"/>
      <c r="P68" s="2"/>
      <c r="Q68" s="2"/>
      <c r="R68" s="2"/>
      <c r="S68" s="2"/>
      <c r="T68" s="2"/>
      <c r="U68" s="2"/>
      <c r="V68" s="2"/>
      <c r="W68" s="2"/>
      <c r="X68" s="2"/>
      <c r="Y68" s="2"/>
      <c r="Z68" s="2"/>
    </row>
    <row r="69" ht="13.5" customHeight="1" spans="1:26">
      <c r="A69" s="30" t="s">
        <v>307</v>
      </c>
      <c r="B69" s="31" t="s">
        <v>308</v>
      </c>
      <c r="C69" s="31" t="s">
        <v>309</v>
      </c>
      <c r="D69" s="32">
        <v>45</v>
      </c>
      <c r="E69" s="31" t="s">
        <v>310</v>
      </c>
      <c r="F69" s="34" t="str">
        <f>HYPERLINK("http://www.discountspout.com/images/stores/accessorize-us.png","http://www.discountspout.com/images/stores/accessorize-us.png")</f>
        <v>http://www.discountspout.com/images/stores/accessorize-us.png</v>
      </c>
      <c r="G69" s="34" t="str">
        <f>HYPERLINK("http://fr.accessorize.com/?countrycheck=true&amp;languageCode=fr","http://fr.accessorize.com/?countrycheck=true&amp;languageCode=fr")</f>
        <v>http://fr.accessorize.com/?countrycheck=true&amp;languageCode=fr</v>
      </c>
      <c r="H69" s="2"/>
      <c r="I69" s="2"/>
      <c r="J69" s="2"/>
      <c r="K69" s="2"/>
      <c r="L69" s="2"/>
      <c r="M69" s="2"/>
      <c r="N69" s="2"/>
      <c r="O69" s="2"/>
      <c r="P69" s="2"/>
      <c r="Q69" s="2"/>
      <c r="R69" s="2"/>
      <c r="S69" s="2"/>
      <c r="T69" s="2"/>
      <c r="U69" s="2"/>
      <c r="V69" s="2"/>
      <c r="W69" s="2"/>
      <c r="X69" s="2"/>
      <c r="Y69" s="2"/>
      <c r="Z69" s="2"/>
    </row>
    <row r="70" ht="13.5" customHeight="1" spans="1:26">
      <c r="A70" s="20" t="s">
        <v>313</v>
      </c>
      <c r="B70" s="20" t="s">
        <v>314</v>
      </c>
      <c r="C70" s="20" t="s">
        <v>315</v>
      </c>
      <c r="D70" s="23">
        <v>90</v>
      </c>
      <c r="E70" s="20" t="s">
        <v>32</v>
      </c>
      <c r="F70" s="24" t="str">
        <f>HYPERLINK("https://cdn-ssl.img.disneystore.com/content/ds/skyway/global/ds_logo_stacked.png","https://cdn-ssl.img.disneystore.com/content/ds/skyway/global/ds_logo_stacked.png")</f>
        <v>https://cdn-ssl.img.disneystore.com/content/ds/skyway/global/ds_logo_stacked.png</v>
      </c>
      <c r="G70" s="24" t="str">
        <f>HYPERLINK("http://www.disneystore.fr/","http://www.disneystore.fr/")</f>
        <v>http://www.disneystore.fr/</v>
      </c>
      <c r="H70" s="2"/>
      <c r="I70" s="2"/>
      <c r="J70" s="2"/>
      <c r="K70" s="2"/>
      <c r="L70" s="2"/>
      <c r="M70" s="2"/>
      <c r="N70" s="2"/>
      <c r="O70" s="2"/>
      <c r="P70" s="2"/>
      <c r="Q70" s="2"/>
      <c r="R70" s="2"/>
      <c r="S70" s="2"/>
      <c r="T70" s="2"/>
      <c r="U70" s="2"/>
      <c r="V70" s="2"/>
      <c r="W70" s="2"/>
      <c r="X70" s="2"/>
      <c r="Y70" s="2"/>
      <c r="Z70" s="2"/>
    </row>
    <row r="71" ht="13.5" customHeight="1" spans="1:26">
      <c r="A71" s="20" t="s">
        <v>317</v>
      </c>
      <c r="B71" s="20" t="s">
        <v>318</v>
      </c>
      <c r="C71" s="20" t="s">
        <v>319</v>
      </c>
      <c r="D71" s="23">
        <v>400</v>
      </c>
      <c r="E71" s="20" t="s">
        <v>245</v>
      </c>
      <c r="F71" s="24" t="str">
        <f>HYPERLINK("http://www.bloc.com/images_administrables/bibliotheque/petite/logo-bebe9-magasin.jpg","http://www.bloc.com/images_administrables/bibliotheque/petite/logo-bebe9-magasin.jpg")</f>
        <v>http://www.bloc.com/images_administrables/bibliotheque/petite/logo-bebe9-magasin.jpg</v>
      </c>
      <c r="G71" s="24" t="str">
        <f>HYPERLINK("http://www.bebe9.com/","www.bebe9.com/")</f>
        <v>www.bebe9.com/</v>
      </c>
      <c r="H71" s="2"/>
      <c r="I71" s="2"/>
      <c r="J71" s="2"/>
      <c r="K71" s="2"/>
      <c r="L71" s="2"/>
      <c r="M71" s="2"/>
      <c r="N71" s="2"/>
      <c r="O71" s="2"/>
      <c r="P71" s="2"/>
      <c r="Q71" s="2"/>
      <c r="R71" s="2"/>
      <c r="S71" s="2"/>
      <c r="T71" s="2"/>
      <c r="U71" s="2"/>
      <c r="V71" s="2"/>
      <c r="W71" s="2"/>
      <c r="X71" s="2"/>
      <c r="Y71" s="2"/>
      <c r="Z71" s="2"/>
    </row>
    <row r="72" ht="13.5" customHeight="1" spans="1:26">
      <c r="A72" s="20" t="s">
        <v>321</v>
      </c>
      <c r="B72" s="20" t="s">
        <v>322</v>
      </c>
      <c r="C72" s="20" t="s">
        <v>315</v>
      </c>
      <c r="D72" s="23">
        <v>13</v>
      </c>
      <c r="E72" s="20" t="s">
        <v>262</v>
      </c>
      <c r="F72" s="24" t="str">
        <f>HYPERLINK("https://abbeybookshop.files.wordpress.com/2009/06/abbey-bookshop.jpg?w=240","https://abbeybookshop.files.wordpress.com/2009/06/abbey-bookshop.jpg?w=240")</f>
        <v>https://abbeybookshop.files.wordpress.com/2009/06/abbey-bookshop.jpg?w=240</v>
      </c>
      <c r="G72" s="24" t="str">
        <f>HYPERLINK("https://abbeybookshop.wordpress.com/about/","https://abbeybookshop.wordpress.com/about/")</f>
        <v>https://abbeybookshop.wordpress.com/about/</v>
      </c>
      <c r="H72" s="2"/>
      <c r="I72" s="2"/>
      <c r="J72" s="2"/>
      <c r="K72" s="2"/>
      <c r="L72" s="2"/>
      <c r="M72" s="2"/>
      <c r="N72" s="2"/>
      <c r="O72" s="2"/>
      <c r="P72" s="2"/>
      <c r="Q72" s="2"/>
      <c r="R72" s="2"/>
      <c r="S72" s="2"/>
      <c r="T72" s="2"/>
      <c r="U72" s="2"/>
      <c r="V72" s="2"/>
      <c r="W72" s="2"/>
      <c r="X72" s="2"/>
      <c r="Y72" s="2"/>
      <c r="Z72" s="2"/>
    </row>
    <row r="73" ht="13.5" customHeight="1" spans="1:26">
      <c r="A73" s="20" t="s">
        <v>325</v>
      </c>
      <c r="B73" s="20" t="s">
        <v>326</v>
      </c>
      <c r="C73" s="20" t="s">
        <v>327</v>
      </c>
      <c r="D73" s="23">
        <v>25</v>
      </c>
      <c r="E73" s="20" t="s">
        <v>310</v>
      </c>
      <c r="F73" s="24" t="str">
        <f>HYPERLINK("http://www.chocolatleroux.com/img/cms/newsletter/mai_2015/newsl_MAI2015_logo.jpg","http://www.chocolatleroux.com/img/cms/newsletter/mai_2015/newsl_MAI2015_logo.jpg")</f>
        <v>http://www.chocolatleroux.com/img/cms/newsletter/mai_2015/newsl_MAI2015_logo.jpg</v>
      </c>
      <c r="G73" s="24" t="str">
        <f>HYPERLINK("http://www.chocolatleroux.eu/","http://www.chocolatleroux.eu/")</f>
        <v>http://www.chocolatleroux.eu/</v>
      </c>
      <c r="H73" s="2"/>
      <c r="I73" s="2"/>
      <c r="J73" s="2"/>
      <c r="K73" s="2"/>
      <c r="L73" s="2"/>
      <c r="M73" s="2"/>
      <c r="N73" s="2"/>
      <c r="O73" s="2"/>
      <c r="P73" s="2"/>
      <c r="Q73" s="2"/>
      <c r="R73" s="2"/>
      <c r="S73" s="2"/>
      <c r="T73" s="2"/>
      <c r="U73" s="2"/>
      <c r="V73" s="2"/>
      <c r="W73" s="2"/>
      <c r="X73" s="2"/>
      <c r="Y73" s="2"/>
      <c r="Z73" s="2"/>
    </row>
    <row r="74" ht="13.5" customHeight="1" spans="1:26">
      <c r="A74" s="20" t="s">
        <v>330</v>
      </c>
      <c r="B74" s="20" t="s">
        <v>331</v>
      </c>
      <c r="C74" s="20" t="s">
        <v>315</v>
      </c>
      <c r="D74" s="23">
        <v>50</v>
      </c>
      <c r="E74" s="20" t="s">
        <v>37</v>
      </c>
      <c r="F74" s="24" t="str">
        <f>HYPERLINK("https://ncgrussell.files.wordpress.com/2015/02/topman-logo.jpg","https://ncgrussell.files.wordpress.com/2015/02/topman-logo.jpg")</f>
        <v>https://ncgrussell.files.wordpress.com/2015/02/topman-logo.jpg</v>
      </c>
      <c r="G74" s="24" t="str">
        <f>HYPERLINK("http://fr.topman.com/?geoip=home","http://fr.topman.com/?geoip=home")</f>
        <v>http://fr.topman.com/?geoip=home</v>
      </c>
      <c r="H74" s="2"/>
      <c r="I74" s="2"/>
      <c r="J74" s="2"/>
      <c r="K74" s="2"/>
      <c r="L74" s="2"/>
      <c r="M74" s="2"/>
      <c r="N74" s="2"/>
      <c r="O74" s="2"/>
      <c r="P74" s="2"/>
      <c r="Q74" s="2"/>
      <c r="R74" s="2"/>
      <c r="S74" s="2"/>
      <c r="T74" s="2"/>
      <c r="U74" s="2"/>
      <c r="V74" s="2"/>
      <c r="W74" s="2"/>
      <c r="X74" s="2"/>
      <c r="Y74" s="2"/>
      <c r="Z74" s="2"/>
    </row>
    <row r="75" ht="13.5" customHeight="1" spans="1:26">
      <c r="A75" s="20" t="s">
        <v>334</v>
      </c>
      <c r="B75" s="20" t="s">
        <v>335</v>
      </c>
      <c r="C75" s="20" t="s">
        <v>315</v>
      </c>
      <c r="D75" s="23">
        <v>50</v>
      </c>
      <c r="E75" s="20" t="s">
        <v>37</v>
      </c>
      <c r="F75" s="24" t="str">
        <f>HYPERLINK("http://intu.co.uk/uploads/media/logo_retailer/0001/06/thumb_5157_logo_retailer_1x.pn","http://intu.co.uk/uploads/media/logo_retailer/0001/06/thumb_5157_logo_retailer_1x.pn")</f>
        <v>http://intu.co.uk/uploads/media/logo_retailer/0001/06/thumb_5157_logo_retailer_1x.pn</v>
      </c>
      <c r="G75" s="24" t="str">
        <f>HYPERLINK("http://fr.topshop.com/?geoip=home","http://fr.topshop.com/?geoip=home")</f>
        <v>http://fr.topshop.com/?geoip=home</v>
      </c>
      <c r="H75" s="2"/>
      <c r="I75" s="2"/>
      <c r="J75" s="2"/>
      <c r="K75" s="2"/>
      <c r="L75" s="2"/>
      <c r="M75" s="2"/>
      <c r="N75" s="2"/>
      <c r="O75" s="2"/>
      <c r="P75" s="2"/>
      <c r="Q75" s="2"/>
      <c r="R75" s="2"/>
      <c r="S75" s="2"/>
      <c r="T75" s="2"/>
      <c r="U75" s="2"/>
      <c r="V75" s="2"/>
      <c r="W75" s="2"/>
      <c r="X75" s="2"/>
      <c r="Y75" s="2"/>
      <c r="Z75" s="2"/>
    </row>
    <row r="76" ht="13.5" customHeight="1" spans="1:26">
      <c r="A76" s="20" t="s">
        <v>338</v>
      </c>
      <c r="B76" s="20" t="s">
        <v>339</v>
      </c>
      <c r="C76" s="20" t="s">
        <v>315</v>
      </c>
      <c r="D76" s="23">
        <v>125</v>
      </c>
      <c r="E76" s="20" t="s">
        <v>262</v>
      </c>
      <c r="F76" s="24" t="str">
        <f>HYPERLINK("http://uk.queryclick.com/static/images/logos/allsaints.png","http://uk.queryclick.com/static/images/logos/allsaints.png")</f>
        <v>http://uk.queryclick.com/static/images/logos/allsaints.png</v>
      </c>
      <c r="G76" s="24" t="str">
        <f>HYPERLINK("https://fr.allsaints.com","https://fr.allsaints.com")</f>
        <v>https://fr.allsaints.com</v>
      </c>
      <c r="H76" s="2"/>
      <c r="I76" s="2"/>
      <c r="J76" s="2"/>
      <c r="K76" s="2"/>
      <c r="L76" s="2"/>
      <c r="M76" s="2"/>
      <c r="N76" s="2"/>
      <c r="O76" s="2"/>
      <c r="P76" s="2"/>
      <c r="Q76" s="2"/>
      <c r="R76" s="2"/>
      <c r="S76" s="2"/>
      <c r="T76" s="2"/>
      <c r="U76" s="2"/>
      <c r="V76" s="2"/>
      <c r="W76" s="2"/>
      <c r="X76" s="2"/>
      <c r="Y76" s="2"/>
      <c r="Z76" s="2"/>
    </row>
    <row r="77" ht="13.5" customHeight="1" spans="1:26">
      <c r="A77" s="20" t="s">
        <v>342</v>
      </c>
      <c r="B77" s="20" t="s">
        <v>343</v>
      </c>
      <c r="C77" s="20" t="s">
        <v>315</v>
      </c>
      <c r="D77" s="23">
        <v>45</v>
      </c>
      <c r="E77" s="20" t="s">
        <v>262</v>
      </c>
      <c r="F77" s="24" t="str">
        <f>HYPERLINK("http://www.fashioncapital.co.uk/images/newlook-logo.png","http://www.fashioncapital.co.uk/images/newlook-logo.png")</f>
        <v>http://www.fashioncapital.co.uk/images/newlook-logo.png</v>
      </c>
      <c r="G77" s="24" t="str">
        <f>HYPERLINK("http://www.newlook.com/fr/womens","http://www.newlook.com/fr/womens")</f>
        <v>http://www.newlook.com/fr/womens</v>
      </c>
      <c r="H77" s="2"/>
      <c r="I77" s="2"/>
      <c r="J77" s="2"/>
      <c r="K77" s="2"/>
      <c r="L77" s="2"/>
      <c r="M77" s="2"/>
      <c r="N77" s="2"/>
      <c r="O77" s="2"/>
      <c r="P77" s="2"/>
      <c r="Q77" s="2"/>
      <c r="R77" s="2"/>
      <c r="S77" s="2"/>
      <c r="T77" s="2"/>
      <c r="U77" s="2"/>
      <c r="V77" s="2"/>
      <c r="W77" s="2"/>
      <c r="X77" s="2"/>
      <c r="Y77" s="2"/>
      <c r="Z77" s="2"/>
    </row>
    <row r="78" ht="13.5" customHeight="1" spans="1:26">
      <c r="A78" s="20" t="s">
        <v>346</v>
      </c>
      <c r="B78" s="20" t="s">
        <v>347</v>
      </c>
      <c r="C78" s="20" t="s">
        <v>315</v>
      </c>
      <c r="D78" s="23">
        <v>55</v>
      </c>
      <c r="E78" s="20" t="s">
        <v>37</v>
      </c>
      <c r="F78" s="24" t="str">
        <f>HYPERLINK("http://fashionweek.com/wp-content/uploads/2015/03/zara.jpg","http://fashionweek.com/wp-content/uploads/2015/03/zara.jpg")</f>
        <v>http://fashionweek.com/wp-content/uploads/2015/03/zara.jpg</v>
      </c>
      <c r="G78" s="24" t="str">
        <f>HYPERLINK("https://www.zara.com/fr/","https://www.zara.com/fr/")</f>
        <v>https://www.zara.com/fr/</v>
      </c>
      <c r="H78" s="2"/>
      <c r="I78" s="2"/>
      <c r="J78" s="2"/>
      <c r="K78" s="2"/>
      <c r="L78" s="2"/>
      <c r="M78" s="2"/>
      <c r="N78" s="2"/>
      <c r="O78" s="2"/>
      <c r="P78" s="2"/>
      <c r="Q78" s="2"/>
      <c r="R78" s="2"/>
      <c r="S78" s="2"/>
      <c r="T78" s="2"/>
      <c r="U78" s="2"/>
      <c r="V78" s="2"/>
      <c r="W78" s="2"/>
      <c r="X78" s="2"/>
      <c r="Y78" s="2"/>
      <c r="Z78" s="2"/>
    </row>
    <row r="79" ht="13.5" customHeight="1" spans="1:26">
      <c r="A79" s="20" t="s">
        <v>350</v>
      </c>
      <c r="B79" s="20" t="s">
        <v>351</v>
      </c>
      <c r="C79" s="20" t="s">
        <v>315</v>
      </c>
      <c r="D79" s="23">
        <v>20</v>
      </c>
      <c r="E79" s="20" t="s">
        <v>262</v>
      </c>
      <c r="F79" s="24" t="str">
        <f>HYPERLINK("http://www.thebigidea.co.uk/wp-content/uploads/2015/09/The-Body-Shop.png","http://www.thebigidea.co.uk/wp-content/uploads/2015/09/The-Body-Shop.png")</f>
        <v>http://www.thebigidea.co.uk/wp-content/uploads/2015/09/The-Body-Shop.png</v>
      </c>
      <c r="G79" s="24" t="str">
        <f>HYPERLINK("https://www.thebodyshop.com/fr-fr/","https://www.thebodyshop.com/fr-fr/")</f>
        <v>https://www.thebodyshop.com/fr-fr/</v>
      </c>
      <c r="H79" s="2"/>
      <c r="I79" s="2"/>
      <c r="J79" s="2"/>
      <c r="K79" s="2"/>
      <c r="L79" s="2"/>
      <c r="M79" s="2"/>
      <c r="N79" s="2"/>
      <c r="O79" s="2"/>
      <c r="P79" s="2"/>
      <c r="Q79" s="2"/>
      <c r="R79" s="2"/>
      <c r="S79" s="2"/>
      <c r="T79" s="2"/>
      <c r="U79" s="2"/>
      <c r="V79" s="2"/>
      <c r="W79" s="2"/>
      <c r="X79" s="2"/>
      <c r="Y79" s="2"/>
      <c r="Z79" s="2"/>
    </row>
    <row r="80" ht="13.5" customHeight="1" spans="1:26">
      <c r="A80" s="20" t="s">
        <v>354</v>
      </c>
      <c r="B80" s="20" t="s">
        <v>355</v>
      </c>
      <c r="C80" s="20" t="s">
        <v>356</v>
      </c>
      <c r="D80" s="23">
        <v>123</v>
      </c>
      <c r="E80" s="20" t="s">
        <v>310</v>
      </c>
      <c r="F80" s="24" t="str">
        <f>HYPERLINK("http://www.mehnazkhan.com/wp-content/uploads/2013/07/MAC-cosmetics-logo.jpg","http://www.mehnazkhan.com/wp-content/uploads/2013/07/MAC-cosmetics-logo.jpg")</f>
        <v>http://www.mehnazkhan.com/wp-content/uploads/2013/07/MAC-cosmetics-logo.jpg</v>
      </c>
      <c r="G80" s="24" t="str">
        <f>HYPERLINK("http://www.maccosmetics.fr","http://www.maccosmetics.fr")</f>
        <v>http://www.maccosmetics.fr</v>
      </c>
      <c r="H80" s="2"/>
      <c r="I80" s="2"/>
      <c r="J80" s="2"/>
      <c r="K80" s="2"/>
      <c r="L80" s="2"/>
      <c r="M80" s="2"/>
      <c r="N80" s="2"/>
      <c r="O80" s="2"/>
      <c r="P80" s="2"/>
      <c r="Q80" s="2"/>
      <c r="R80" s="2"/>
      <c r="S80" s="2"/>
      <c r="T80" s="2"/>
      <c r="U80" s="2"/>
      <c r="V80" s="2"/>
      <c r="W80" s="2"/>
      <c r="X80" s="2"/>
      <c r="Y80" s="2"/>
      <c r="Z80" s="2"/>
    </row>
    <row r="81" ht="13.5" customHeight="1" spans="1:26">
      <c r="A81" s="20" t="s">
        <v>359</v>
      </c>
      <c r="B81" s="20" t="s">
        <v>8579</v>
      </c>
      <c r="C81" s="20" t="s">
        <v>361</v>
      </c>
      <c r="D81" s="23">
        <v>55</v>
      </c>
      <c r="E81" s="20" t="s">
        <v>310</v>
      </c>
      <c r="F81" s="24" t="str">
        <f>HYPERLINK("http://www.dior.com/couture/minisite/dior-homme/StrangerInARoom/Previews/logo_dior.jpg","http://www.dior.com/couture/minisite/dior-homme/StrangerInARoom/Previews/logo_dior.jpg")</f>
        <v>http://www.dior.com/couture/minisite/dior-homme/StrangerInARoom/Previews/logo_dior.jpg</v>
      </c>
      <c r="G81" s="24" t="str">
        <f>HYPERLINK("http://www.dior.com/home/fr_fr","http://www.dior.com/home/fr_fr")</f>
        <v>http://www.dior.com/home/fr_fr</v>
      </c>
      <c r="H81" s="2"/>
      <c r="I81" s="2"/>
      <c r="J81" s="2"/>
      <c r="K81" s="2"/>
      <c r="L81" s="2"/>
      <c r="M81" s="2"/>
      <c r="N81" s="2"/>
      <c r="O81" s="2"/>
      <c r="P81" s="2"/>
      <c r="Q81" s="2"/>
      <c r="R81" s="2"/>
      <c r="S81" s="2"/>
      <c r="T81" s="2"/>
      <c r="U81" s="2"/>
      <c r="V81" s="2"/>
      <c r="W81" s="2"/>
      <c r="X81" s="2"/>
      <c r="Y81" s="2"/>
      <c r="Z81" s="2"/>
    </row>
    <row r="82" ht="13.5" customHeight="1" spans="1:26">
      <c r="A82" s="20" t="s">
        <v>364</v>
      </c>
      <c r="B82" s="20" t="s">
        <v>365</v>
      </c>
      <c r="C82" s="20" t="s">
        <v>366</v>
      </c>
      <c r="D82" s="23">
        <v>35</v>
      </c>
      <c r="E82" s="20" t="s">
        <v>262</v>
      </c>
      <c r="F82" s="24" t="str">
        <f>HYPERLINK("https://upload.wikimedia.org/wikipedia/commons/4/48/EBay_logo.png","https://upload.wikimedia.org/wikipedia/commons/4/48/EBay_logo.png")</f>
        <v>https://upload.wikimedia.org/wikipedia/commons/4/48/EBay_logo.png</v>
      </c>
      <c r="G82" s="24" t="str">
        <f>HYPERLINK("http://www.ebay.fr/","http://www.ebay.fr/")</f>
        <v>http://www.ebay.fr/</v>
      </c>
      <c r="H82" s="2"/>
      <c r="I82" s="2"/>
      <c r="J82" s="2"/>
      <c r="K82" s="2"/>
      <c r="L82" s="2"/>
      <c r="M82" s="2"/>
      <c r="N82" s="2"/>
      <c r="O82" s="2"/>
      <c r="P82" s="2"/>
      <c r="Q82" s="2"/>
      <c r="R82" s="2"/>
      <c r="S82" s="2"/>
      <c r="T82" s="2"/>
      <c r="U82" s="2"/>
      <c r="V82" s="2"/>
      <c r="W82" s="2"/>
      <c r="X82" s="2"/>
      <c r="Y82" s="2"/>
      <c r="Z82" s="2"/>
    </row>
    <row r="83" ht="13.5" customHeight="1" spans="1:26">
      <c r="A83" s="20" t="s">
        <v>368</v>
      </c>
      <c r="B83" s="20" t="s">
        <v>369</v>
      </c>
      <c r="C83" s="20" t="s">
        <v>366</v>
      </c>
      <c r="D83" s="23">
        <v>30</v>
      </c>
      <c r="E83" s="20" t="s">
        <v>262</v>
      </c>
      <c r="F83" s="24" t="str">
        <f>HYPERLINK("http://img1.wikia.nocookie.net/__cb20100929014950/logopedia/images/c/cd/500px-Amazon_com_logo_svg.png","http://img1.wikia.nocookie.net/__cb20100929014950/logopedia/images/c/cd/500px-Amazon_com_logo_svg.png")</f>
        <v>http://img1.wikia.nocookie.net/__cb20100929014950/logopedia/images/c/cd/500px-Amazon_com_logo_svg.png</v>
      </c>
      <c r="G83" s="24" t="str">
        <f>HYPERLINK("http://www.amazon.fr/","http://www.amazon.fr/")</f>
        <v>http://www.amazon.fr/</v>
      </c>
      <c r="H83" s="2"/>
      <c r="I83" s="2"/>
      <c r="J83" s="2"/>
      <c r="K83" s="2"/>
      <c r="L83" s="2"/>
      <c r="M83" s="2"/>
      <c r="N83" s="2"/>
      <c r="O83" s="2"/>
      <c r="P83" s="2"/>
      <c r="Q83" s="2"/>
      <c r="R83" s="2"/>
      <c r="S83" s="2"/>
      <c r="T83" s="2"/>
      <c r="U83" s="2"/>
      <c r="V83" s="2"/>
      <c r="W83" s="2"/>
      <c r="X83" s="2"/>
      <c r="Y83" s="2"/>
      <c r="Z83" s="2"/>
    </row>
    <row r="84" ht="13.5" customHeight="1" spans="1:26">
      <c r="A84" s="20" t="s">
        <v>371</v>
      </c>
      <c r="B84" s="20" t="s">
        <v>372</v>
      </c>
      <c r="C84" s="20" t="s">
        <v>373</v>
      </c>
      <c r="D84" s="23">
        <v>35</v>
      </c>
      <c r="E84" s="20" t="s">
        <v>37</v>
      </c>
      <c r="F84" s="24" t="str">
        <f>HYPERLINK("http://www.nextplc.co.uk/~/media/Images/N/Next-PLC/Image%20Library/company-images/logos/download/Next-Thin-Master-Logo-2014-Reversed.jpg","http://www.nextplc.co.uk/~/media/Images/N/Next-PLC/Image%20Library/company-images/logos/download/Next-Thin-Master-Logo-2014-Reversed.jpg")</f>
        <v>http://www.nextplc.co.uk/~/media/Images/N/Next-PLC/Image%20Library/company-images/logos/download/Next-Thin-Master-Logo-2014-Reversed.jpg</v>
      </c>
      <c r="G84" s="24" t="str">
        <f>HYPERLINK("http://www.next.fr/","http://www.next.fr/")</f>
        <v>http://www.next.fr/</v>
      </c>
      <c r="H84" s="2"/>
      <c r="I84" s="2"/>
      <c r="J84" s="2"/>
      <c r="K84" s="2"/>
      <c r="L84" s="2"/>
      <c r="M84" s="2"/>
      <c r="N84" s="2"/>
      <c r="O84" s="2"/>
      <c r="P84" s="2"/>
      <c r="Q84" s="2"/>
      <c r="R84" s="2"/>
      <c r="S84" s="2"/>
      <c r="T84" s="2"/>
      <c r="U84" s="2"/>
      <c r="V84" s="2"/>
      <c r="W84" s="2"/>
      <c r="X84" s="2"/>
      <c r="Y84" s="2"/>
      <c r="Z84" s="2"/>
    </row>
    <row r="85" ht="13.5" customHeight="1" spans="1:26">
      <c r="A85" s="20" t="s">
        <v>375</v>
      </c>
      <c r="B85" s="20" t="s">
        <v>376</v>
      </c>
      <c r="C85" s="20" t="s">
        <v>373</v>
      </c>
      <c r="D85" s="23">
        <v>90</v>
      </c>
      <c r="E85" s="20" t="s">
        <v>37</v>
      </c>
      <c r="F85" s="24" t="str">
        <f>HYPERLINK("http://myfonts-wtf.s3.amazonaws.com/65/65b5c6d50dbe17868b7ca6990f4890e1.73208.png","http://myfonts-wtf.s3.amazonaws.com/65/65b5c6d50dbe17868b7ca6990f4890e1.73208.png")</f>
        <v>http://myfonts-wtf.s3.amazonaws.com/65/65b5c6d50dbe17868b7ca6990f4890e1.73208.png</v>
      </c>
      <c r="G85" s="24" t="str">
        <f>HYPERLINK("http://www.lebonmarche.com/","http://www.lebonmarche.com/")</f>
        <v>http://www.lebonmarche.com/</v>
      </c>
      <c r="H85" s="2"/>
      <c r="I85" s="2"/>
      <c r="J85" s="2"/>
      <c r="K85" s="2"/>
      <c r="L85" s="2"/>
      <c r="M85" s="2"/>
      <c r="N85" s="2"/>
      <c r="O85" s="2"/>
      <c r="P85" s="2"/>
      <c r="Q85" s="2"/>
      <c r="R85" s="2"/>
      <c r="S85" s="2"/>
      <c r="T85" s="2"/>
      <c r="U85" s="2"/>
      <c r="V85" s="2"/>
      <c r="W85" s="2"/>
      <c r="X85" s="2"/>
      <c r="Y85" s="2"/>
      <c r="Z85" s="2"/>
    </row>
    <row r="86" ht="13.5" customHeight="1" spans="1:26">
      <c r="A86" s="20" t="s">
        <v>379</v>
      </c>
      <c r="B86" s="20" t="s">
        <v>380</v>
      </c>
      <c r="C86" s="20" t="s">
        <v>373</v>
      </c>
      <c r="D86" s="23">
        <v>66</v>
      </c>
      <c r="E86" s="20" t="s">
        <v>21</v>
      </c>
      <c r="F86" s="24" t="str">
        <f>HYPERLINK("http://www.printemps.com/medias/sys_master/images/images/h95/he4/8804484579358/logo.png","http://www.printemps.com/medias/sys_master/images/images/h95/he4/8804484579358/logo.png")</f>
        <v>http://www.printemps.com/medias/sys_master/images/images/h95/he4/8804484579358/logo.png</v>
      </c>
      <c r="G86" s="24" t="str">
        <f>HYPERLINK("http://www.printemps.com/","http://www.printemps.com/")</f>
        <v>http://www.printemps.com/</v>
      </c>
      <c r="H86" s="2"/>
      <c r="I86" s="2"/>
      <c r="J86" s="2"/>
      <c r="K86" s="2"/>
      <c r="L86" s="2"/>
      <c r="M86" s="2"/>
      <c r="N86" s="2"/>
      <c r="O86" s="2"/>
      <c r="P86" s="2"/>
      <c r="Q86" s="2"/>
      <c r="R86" s="2"/>
      <c r="S86" s="2"/>
      <c r="T86" s="2"/>
      <c r="U86" s="2"/>
      <c r="V86" s="2"/>
      <c r="W86" s="2"/>
      <c r="X86" s="2"/>
      <c r="Y86" s="2"/>
      <c r="Z86" s="2"/>
    </row>
    <row r="87" ht="13.5" customHeight="1" spans="1:26">
      <c r="A87" s="20" t="s">
        <v>383</v>
      </c>
      <c r="B87" s="20" t="s">
        <v>384</v>
      </c>
      <c r="C87" s="20" t="s">
        <v>373</v>
      </c>
      <c r="D87" s="2"/>
      <c r="E87" s="2"/>
      <c r="F87" s="24" t="str">
        <f>HYPERLINK("http://static.galerieslafayette.com/media/endeca2/header/logo-galeries-lafayette-16092015.png","http://static.galerieslafayette.com/media/endeca2/header/logo-galeries-lafayette-16092015.png")</f>
        <v>http://static.galerieslafayette.com/media/endeca2/header/logo-galeries-lafayette-16092015.png</v>
      </c>
      <c r="G87" s="24" t="str">
        <f>HYPERLINK("http://haussmann.galerieslafayette.com/","http://haussmann.galerieslafayette.com/")</f>
        <v>http://haussmann.galerieslafayette.com/</v>
      </c>
      <c r="H87" s="2"/>
      <c r="I87" s="2"/>
      <c r="J87" s="2"/>
      <c r="K87" s="2"/>
      <c r="L87" s="2"/>
      <c r="M87" s="2"/>
      <c r="N87" s="2"/>
      <c r="O87" s="2"/>
      <c r="P87" s="2"/>
      <c r="Q87" s="2"/>
      <c r="R87" s="2"/>
      <c r="S87" s="2"/>
      <c r="T87" s="2"/>
      <c r="U87" s="2"/>
      <c r="V87" s="2"/>
      <c r="W87" s="2"/>
      <c r="X87" s="2"/>
      <c r="Y87" s="2"/>
      <c r="Z87" s="2"/>
    </row>
    <row r="88" ht="13.5" customHeight="1" spans="1:26">
      <c r="A88" s="20" t="s">
        <v>387</v>
      </c>
      <c r="B88" s="20" t="s">
        <v>388</v>
      </c>
      <c r="C88" s="20" t="s">
        <v>373</v>
      </c>
      <c r="D88" s="23">
        <v>76</v>
      </c>
      <c r="E88" s="20" t="s">
        <v>37</v>
      </c>
      <c r="F88" s="24" t="str">
        <f>HYPERLINK("http://www.simplyharrogate.com/_images_features/66_0.jpg","http://www.simplyharrogate.com/_images_features/66_0.jpg")</f>
        <v>http://www.simplyharrogate.com/_images_features/66_0.jpg</v>
      </c>
      <c r="G88" s="24" t="str">
        <f>HYPERLINK("http://www.debenhams.com/en-fr","http://www.debenhams.com/en-fr")</f>
        <v>http://www.debenhams.com/en-fr</v>
      </c>
      <c r="H88" s="2"/>
      <c r="I88" s="2"/>
      <c r="J88" s="2"/>
      <c r="K88" s="2"/>
      <c r="L88" s="2"/>
      <c r="M88" s="2"/>
      <c r="N88" s="2"/>
      <c r="O88" s="2"/>
      <c r="P88" s="2"/>
      <c r="Q88" s="2"/>
      <c r="R88" s="2"/>
      <c r="S88" s="2"/>
      <c r="T88" s="2"/>
      <c r="U88" s="2"/>
      <c r="V88" s="2"/>
      <c r="W88" s="2"/>
      <c r="X88" s="2"/>
      <c r="Y88" s="2"/>
      <c r="Z88" s="2"/>
    </row>
    <row r="89" ht="13.5" customHeight="1" spans="1:26">
      <c r="A89" s="20" t="s">
        <v>391</v>
      </c>
      <c r="B89" s="20" t="s">
        <v>392</v>
      </c>
      <c r="C89" s="20" t="s">
        <v>393</v>
      </c>
      <c r="D89" s="33">
        <v>3500</v>
      </c>
      <c r="E89" s="20" t="s">
        <v>21</v>
      </c>
      <c r="F89" s="24" t="str">
        <f>HYPERLINK("https://upload.wikimedia.org/wikipedia/en/thumb/9/92/Chanel_logo_interlocking_cs.svg/1280px-Chanel_logo_interlocking_cs.svg.png","https://upload.wikimedia.org/wikipedia/en/thumb/9/92/Chanel_logo_interlocking_cs.svg/1280px-Chanel_logo_interlocking_cs.svg.png")</f>
        <v>https://upload.wikimedia.org/wikipedia/en/thumb/9/92/Chanel_logo_interlocking_cs.svg/1280px-Chanel_logo_interlocking_cs.svg.png</v>
      </c>
      <c r="G89" s="24" t="str">
        <f>HYPERLINK("http://www.chanel.com/fr_FR/","http://www.chanel.com/fr_FR/")</f>
        <v>http://www.chanel.com/fr_FR/</v>
      </c>
      <c r="H89" s="2"/>
      <c r="I89" s="2"/>
      <c r="J89" s="2"/>
      <c r="K89" s="2"/>
      <c r="L89" s="2"/>
      <c r="M89" s="2"/>
      <c r="N89" s="2"/>
      <c r="O89" s="2"/>
      <c r="P89" s="2"/>
      <c r="Q89" s="2"/>
      <c r="R89" s="2"/>
      <c r="S89" s="2"/>
      <c r="T89" s="2"/>
      <c r="U89" s="2"/>
      <c r="V89" s="2"/>
      <c r="W89" s="2"/>
      <c r="X89" s="2"/>
      <c r="Y89" s="2"/>
      <c r="Z89" s="2"/>
    </row>
    <row r="90" ht="13.5" customHeight="1" spans="1:26">
      <c r="A90" s="20" t="s">
        <v>395</v>
      </c>
      <c r="B90" s="20" t="s">
        <v>396</v>
      </c>
      <c r="C90" s="20" t="s">
        <v>393</v>
      </c>
      <c r="D90" s="33">
        <v>1230</v>
      </c>
      <c r="E90" s="20" t="s">
        <v>21</v>
      </c>
      <c r="F90" s="24" t="str">
        <f>HYPERLINK("http://www.brandsoftheworld.com/sites/default/files/styles/logo-thumbnail/public/042014/michael_kors.png?itok=-LcukS9K","http://www.brandsoftheworld.com/sites/default/files/styles/logo-thumbnail/public/042014/michael_kors.png?itok=-LcukS9K")</f>
        <v>http://www.brandsoftheworld.com/sites/default/files/styles/logo-thumbnail/public/042014/michael_kors.png?itok=-LcukS9K</v>
      </c>
      <c r="G90" s="24" t="str">
        <f>HYPERLINK("http://www.michaelkors.com","http://www.michaelkors.com")</f>
        <v>http://www.michaelkors.com</v>
      </c>
      <c r="H90" s="2"/>
      <c r="I90" s="2"/>
      <c r="J90" s="2"/>
      <c r="K90" s="2"/>
      <c r="L90" s="2"/>
      <c r="M90" s="2"/>
      <c r="N90" s="2"/>
      <c r="O90" s="2"/>
      <c r="P90" s="2"/>
      <c r="Q90" s="2"/>
      <c r="R90" s="2"/>
      <c r="S90" s="2"/>
      <c r="T90" s="2"/>
      <c r="U90" s="2"/>
      <c r="V90" s="2"/>
      <c r="W90" s="2"/>
      <c r="X90" s="2"/>
      <c r="Y90" s="2"/>
      <c r="Z90" s="2"/>
    </row>
    <row r="91" ht="13.5" customHeight="1" spans="1:26">
      <c r="A91" s="20" t="s">
        <v>399</v>
      </c>
      <c r="B91" s="20" t="s">
        <v>400</v>
      </c>
      <c r="C91" s="20" t="s">
        <v>224</v>
      </c>
      <c r="D91" s="2"/>
      <c r="E91" s="2"/>
      <c r="F91" s="24" t="str">
        <f>HYPERLINK("http://www.shescribes.com/wp-content/uploads/2013/10/Rowenta-Logo.jpg","http://www.shescribes.com/wp-content/uploads/2013/10/Rowenta-Logo.jpg")</f>
        <v>http://www.shescribes.com/wp-content/uploads/2013/10/Rowenta-Logo.jpg</v>
      </c>
      <c r="G91" s="24" t="str">
        <f>HYPERLINK("http://www.rowenta.fr/","http://www.rowenta.fr/")</f>
        <v>http://www.rowenta.fr/</v>
      </c>
      <c r="H91" s="2"/>
      <c r="I91" s="2"/>
      <c r="J91" s="2"/>
      <c r="K91" s="2"/>
      <c r="L91" s="2"/>
      <c r="M91" s="2"/>
      <c r="N91" s="2"/>
      <c r="O91" s="2"/>
      <c r="P91" s="2"/>
      <c r="Q91" s="2"/>
      <c r="R91" s="2"/>
      <c r="S91" s="2"/>
      <c r="T91" s="2"/>
      <c r="U91" s="2"/>
      <c r="V91" s="2"/>
      <c r="W91" s="2"/>
      <c r="X91" s="2"/>
      <c r="Y91" s="2"/>
      <c r="Z91" s="2"/>
    </row>
    <row r="92" ht="13.5" customHeight="1" spans="1:26">
      <c r="A92" s="20" t="s">
        <v>403</v>
      </c>
      <c r="B92" s="20" t="s">
        <v>404</v>
      </c>
      <c r="C92" s="20" t="s">
        <v>229</v>
      </c>
      <c r="D92" s="2"/>
      <c r="E92" s="2"/>
      <c r="F92" s="24" t="str">
        <f>HYPERLINK("http://wirelesstradersinc.com/wp-content/uploads/2016/02/Samsung-Logo.png","http://wirelesstradersinc.com/wp-content/uploads/2016/02/Samsung-Logo.png")</f>
        <v>http://wirelesstradersinc.com/wp-content/uploads/2016/02/Samsung-Logo.png</v>
      </c>
      <c r="G92" s="24" t="str">
        <f>HYPERLINK("http://www.samsung.com/fr/home/","http://www.samsung.com/fr/home/")</f>
        <v>http://www.samsung.com/fr/home/</v>
      </c>
      <c r="H92" s="2"/>
      <c r="I92" s="2"/>
      <c r="J92" s="2"/>
      <c r="K92" s="2"/>
      <c r="L92" s="2"/>
      <c r="M92" s="2"/>
      <c r="N92" s="2"/>
      <c r="O92" s="2"/>
      <c r="P92" s="2"/>
      <c r="Q92" s="2"/>
      <c r="R92" s="2"/>
      <c r="S92" s="2"/>
      <c r="T92" s="2"/>
      <c r="U92" s="2"/>
      <c r="V92" s="2"/>
      <c r="W92" s="2"/>
      <c r="X92" s="2"/>
      <c r="Y92" s="2"/>
      <c r="Z92" s="2"/>
    </row>
    <row r="93" ht="13.5" customHeight="1" spans="1:26">
      <c r="A93" s="20" t="s">
        <v>407</v>
      </c>
      <c r="B93" s="20" t="s">
        <v>408</v>
      </c>
      <c r="C93" s="20" t="s">
        <v>229</v>
      </c>
      <c r="D93" s="23">
        <v>350</v>
      </c>
      <c r="E93" s="20" t="s">
        <v>21</v>
      </c>
      <c r="F93" s="24" t="str">
        <f>HYPERLINK("http://www.maisondeletudiant.nc/sites/default/files/u1175/gitemlogoi.jpg","http://www.maisondeletudiant.nc/sites/default/files/u1175/gitemlogoi.jpg")</f>
        <v>http://www.maisondeletudiant.nc/sites/default/files/u1175/gitemlogoi.jpg</v>
      </c>
      <c r="G93" s="24" t="str">
        <f>HYPERLINK("http://www.gitem.fr","http://www.gitem.fr")</f>
        <v>http://www.gitem.fr</v>
      </c>
      <c r="H93" s="2"/>
      <c r="I93" s="2"/>
      <c r="J93" s="2"/>
      <c r="K93" s="2"/>
      <c r="L93" s="2"/>
      <c r="M93" s="2"/>
      <c r="N93" s="2"/>
      <c r="O93" s="2"/>
      <c r="P93" s="2"/>
      <c r="Q93" s="2"/>
      <c r="R93" s="2"/>
      <c r="S93" s="2"/>
      <c r="T93" s="2"/>
      <c r="U93" s="2"/>
      <c r="V93" s="2"/>
      <c r="W93" s="2"/>
      <c r="X93" s="2"/>
      <c r="Y93" s="2"/>
      <c r="Z93" s="2"/>
    </row>
    <row r="94" ht="13.5" customHeight="1" spans="1:26">
      <c r="A94" s="20" t="s">
        <v>411</v>
      </c>
      <c r="B94" s="20" t="s">
        <v>412</v>
      </c>
      <c r="C94" s="20" t="s">
        <v>413</v>
      </c>
      <c r="D94" s="20"/>
      <c r="E94" s="20"/>
      <c r="F94" s="24" t="str">
        <f>HYPERLINK("https://stylefilenyc.files.wordpress.com/2010/11/img_1415.jpg","https://stylefilenyc.files.wordpress.com/2010/11/img_1415.jpg")</f>
        <v>https://stylefilenyc.files.wordpress.com/2010/11/img_1415.jpg</v>
      </c>
      <c r="G94" s="24" t="str">
        <f>HYPERLINK("http://www.odorantes-paris.com/","http://www.odorantes-paris.com/")</f>
        <v>http://www.odorantes-paris.com/</v>
      </c>
      <c r="H94" s="2"/>
      <c r="I94" s="2"/>
      <c r="J94" s="2"/>
      <c r="K94" s="2"/>
      <c r="L94" s="2"/>
      <c r="M94" s="2"/>
      <c r="N94" s="2"/>
      <c r="O94" s="2"/>
      <c r="P94" s="2"/>
      <c r="Q94" s="2"/>
      <c r="R94" s="2"/>
      <c r="S94" s="2"/>
      <c r="T94" s="2"/>
      <c r="U94" s="2"/>
      <c r="V94" s="2"/>
      <c r="W94" s="2"/>
      <c r="X94" s="2"/>
      <c r="Y94" s="2"/>
      <c r="Z94" s="2"/>
    </row>
    <row r="95" ht="13.5" customHeight="1" spans="1:26">
      <c r="A95" s="20" t="s">
        <v>416</v>
      </c>
      <c r="B95" s="20" t="s">
        <v>417</v>
      </c>
      <c r="C95" s="20" t="s">
        <v>418</v>
      </c>
      <c r="D95" s="20"/>
      <c r="E95" s="20"/>
      <c r="F95" s="24" t="str">
        <f>HYPERLINK("http://lecritoire-dijon.com/wp-content/uploads/2016/03/logo-ecritoire.png","http://lecritoire-dijon.com/wp-content/uploads/2016/03/logo-ecritoire.png")</f>
        <v>http://lecritoire-dijon.com/wp-content/uploads/2016/03/logo-ecritoire.png</v>
      </c>
      <c r="G95" s="24" t="str">
        <f>HYPERLINK("http://www.ecritoire.fr/","http://www.ecritoire.fr/")</f>
        <v>http://www.ecritoire.fr/</v>
      </c>
      <c r="H95" s="2"/>
      <c r="I95" s="2"/>
      <c r="J95" s="2"/>
      <c r="K95" s="2"/>
      <c r="L95" s="2"/>
      <c r="M95" s="2"/>
      <c r="N95" s="2"/>
      <c r="O95" s="2"/>
      <c r="P95" s="2"/>
      <c r="Q95" s="2"/>
      <c r="R95" s="2"/>
      <c r="S95" s="2"/>
      <c r="T95" s="2"/>
      <c r="U95" s="2"/>
      <c r="V95" s="2"/>
      <c r="W95" s="2"/>
      <c r="X95" s="2"/>
      <c r="Y95" s="2"/>
      <c r="Z95" s="2"/>
    </row>
    <row r="96" ht="13.5" customHeight="1" spans="1:26">
      <c r="A96" s="20" t="s">
        <v>421</v>
      </c>
      <c r="B96" s="20" t="s">
        <v>422</v>
      </c>
      <c r="C96" s="20" t="s">
        <v>423</v>
      </c>
      <c r="D96" s="20"/>
      <c r="E96" s="20"/>
      <c r="F96" s="24" t="str">
        <f>HYPERLINK("http://www.laquincaillerie.com/img/layout/logo.png","http://www.laquincaillerie.com/img/layout/logo.png")</f>
        <v>http://www.laquincaillerie.com/img/layout/logo.png</v>
      </c>
      <c r="G96" s="24" t="str">
        <f>HYPERLINK("http://www.laquincaillerie.com/","http://www.laquincaillerie.com/")</f>
        <v>http://www.laquincaillerie.com/</v>
      </c>
      <c r="H96" s="2"/>
      <c r="I96" s="2"/>
      <c r="J96" s="2"/>
      <c r="K96" s="2"/>
      <c r="L96" s="2"/>
      <c r="M96" s="2"/>
      <c r="N96" s="2"/>
      <c r="O96" s="2"/>
      <c r="P96" s="2"/>
      <c r="Q96" s="2"/>
      <c r="R96" s="2"/>
      <c r="S96" s="2"/>
      <c r="T96" s="2"/>
      <c r="U96" s="2"/>
      <c r="V96" s="2"/>
      <c r="W96" s="2"/>
      <c r="X96" s="2"/>
      <c r="Y96" s="2"/>
      <c r="Z96" s="2"/>
    </row>
    <row r="97" ht="13.5" customHeight="1" spans="1:26">
      <c r="A97" s="20" t="s">
        <v>426</v>
      </c>
      <c r="B97" s="20" t="s">
        <v>427</v>
      </c>
      <c r="C97" s="20" t="s">
        <v>428</v>
      </c>
      <c r="D97" s="20"/>
      <c r="E97" s="20"/>
      <c r="F97" s="24" t="str">
        <f>HYPERLINK("http://www.magazine-immobilier.org/wp-content/uploads/2009/06/logo-habitat.gif","http://www.magazine-immobilier.org/wp-content/uploads/2009/06/logo-habitat.gif")</f>
        <v>http://www.magazine-immobilier.org/wp-content/uploads/2009/06/logo-habitat.gif</v>
      </c>
      <c r="G97" s="24" t="str">
        <f>HYPERLINK("https://www.habitat.fr/","https://www.habitat.fr/")</f>
        <v>https://www.habitat.fr/</v>
      </c>
      <c r="H97" s="2"/>
      <c r="I97" s="2"/>
      <c r="J97" s="2"/>
      <c r="K97" s="2"/>
      <c r="L97" s="2"/>
      <c r="M97" s="2"/>
      <c r="N97" s="2"/>
      <c r="O97" s="2"/>
      <c r="P97" s="2"/>
      <c r="Q97" s="2"/>
      <c r="R97" s="2"/>
      <c r="S97" s="2"/>
      <c r="T97" s="2"/>
      <c r="U97" s="2"/>
      <c r="V97" s="2"/>
      <c r="W97" s="2"/>
      <c r="X97" s="2"/>
      <c r="Y97" s="2"/>
      <c r="Z97" s="2"/>
    </row>
    <row r="98" ht="13.5" customHeight="1" spans="1:26">
      <c r="A98" s="20" t="s">
        <v>431</v>
      </c>
      <c r="B98" s="20" t="s">
        <v>432</v>
      </c>
      <c r="C98" s="20" t="s">
        <v>428</v>
      </c>
      <c r="D98" s="20"/>
      <c r="E98" s="20"/>
      <c r="F98" s="24" t="str">
        <f>HYPERLINK("http://modernliving.perlora.com/wp-content/uploads/2014/11/natuzzi-logo.jpg","http://modernliving.perlora.com/wp-content/uploads/2014/11/natuzzi-logo.jpg")</f>
        <v>http://modernliving.perlora.com/wp-content/uploads/2014/11/natuzzi-logo.jpg</v>
      </c>
      <c r="G98" s="24" t="str">
        <f>HYPERLINK("http://www.natuzzi.fr/","http://www.natuzzi.fr/")</f>
        <v>http://www.natuzzi.fr/</v>
      </c>
      <c r="H98" s="2"/>
      <c r="I98" s="2"/>
      <c r="J98" s="2"/>
      <c r="K98" s="2"/>
      <c r="L98" s="2"/>
      <c r="M98" s="2"/>
      <c r="N98" s="2"/>
      <c r="O98" s="2"/>
      <c r="P98" s="2"/>
      <c r="Q98" s="2"/>
      <c r="R98" s="2"/>
      <c r="S98" s="2"/>
      <c r="T98" s="2"/>
      <c r="U98" s="2"/>
      <c r="V98" s="2"/>
      <c r="W98" s="2"/>
      <c r="X98" s="2"/>
      <c r="Y98" s="2"/>
      <c r="Z98" s="2"/>
    </row>
    <row r="99" ht="13.5" customHeight="1" spans="1:26">
      <c r="A99" s="20" t="s">
        <v>435</v>
      </c>
      <c r="B99" s="20" t="s">
        <v>436</v>
      </c>
      <c r="C99" s="20" t="s">
        <v>428</v>
      </c>
      <c r="D99" s="20"/>
      <c r="E99" s="20"/>
      <c r="F99" s="24" t="str">
        <f>HYPERLINK("https://www.facclosangeles.org/wp-content/uploads/2015/08/Roche-Bobois_logo.jpg","https://www.facclosangeles.org/wp-content/uploads/2015/08/Roche-Bobois_logo.jpg")</f>
        <v>https://www.facclosangeles.org/wp-content/uploads/2015/08/Roche-Bobois_logo.jpg</v>
      </c>
      <c r="G99" s="24" t="str">
        <f>HYPERLINK("http://www.roche-bobois.com/","http://www.roche-bobois.com/")</f>
        <v>http://www.roche-bobois.com/</v>
      </c>
      <c r="H99" s="2"/>
      <c r="I99" s="2"/>
      <c r="J99" s="2"/>
      <c r="K99" s="2"/>
      <c r="L99" s="2"/>
      <c r="M99" s="2"/>
      <c r="N99" s="2"/>
      <c r="O99" s="2"/>
      <c r="P99" s="2"/>
      <c r="Q99" s="2"/>
      <c r="R99" s="2"/>
      <c r="S99" s="2"/>
      <c r="T99" s="2"/>
      <c r="U99" s="2"/>
      <c r="V99" s="2"/>
      <c r="W99" s="2"/>
      <c r="X99" s="2"/>
      <c r="Y99" s="2"/>
      <c r="Z99" s="2"/>
    </row>
    <row r="100" ht="13.5" customHeight="1" spans="1:26">
      <c r="A100" s="20" t="s">
        <v>439</v>
      </c>
      <c r="B100" s="20" t="s">
        <v>440</v>
      </c>
      <c r="C100" s="20" t="s">
        <v>315</v>
      </c>
      <c r="D100" s="23">
        <v>15</v>
      </c>
      <c r="E100" s="20" t="s">
        <v>37</v>
      </c>
      <c r="F100" s="24" t="str">
        <f>HYPERLINK("http://l7.alamy.com/zooms/a7817ae92cc8433da716f8b572b956c8/1-euro-store-dyw3cp.jpg","http://l7.alamy.com/zooms/a7817ae92cc8433da716f8b572b956c8/1-euro-store-dyw3cp.jpg")</f>
        <v>http://l7.alamy.com/zooms/a7817ae92cc8433da716f8b572b956c8/1-euro-store-dyw3cp.jpg</v>
      </c>
      <c r="G100" s="20" t="s">
        <v>442</v>
      </c>
      <c r="H100" s="2"/>
      <c r="I100" s="2"/>
      <c r="J100" s="2"/>
      <c r="K100" s="2"/>
      <c r="L100" s="2"/>
      <c r="M100" s="2"/>
      <c r="N100" s="2"/>
      <c r="O100" s="2"/>
      <c r="P100" s="2"/>
      <c r="Q100" s="2"/>
      <c r="R100" s="2"/>
      <c r="S100" s="2"/>
      <c r="T100" s="2"/>
      <c r="U100" s="2"/>
      <c r="V100" s="2"/>
      <c r="W100" s="2"/>
      <c r="X100" s="2"/>
      <c r="Y100" s="2"/>
      <c r="Z100" s="2"/>
    </row>
    <row r="101" ht="13.5" customHeight="1" spans="1:26">
      <c r="A101" s="20" t="s">
        <v>443</v>
      </c>
      <c r="B101" s="20" t="s">
        <v>444</v>
      </c>
      <c r="C101" s="20" t="s">
        <v>445</v>
      </c>
      <c r="D101" s="20"/>
      <c r="E101" s="20"/>
      <c r="F101" s="24" t="str">
        <f>HYPERLINK("http://www.jaubalet-paris.com/wp-content/uploads/2013/09/jaubalet.jpg","http://www.jaubalet-paris.com/wp-content/uploads/2013/09/jaubalet.jpg")</f>
        <v>http://www.jaubalet-paris.com/wp-content/uploads/2013/09/jaubalet.jpg</v>
      </c>
      <c r="G101" s="24" t="str">
        <f>HYPERLINK("https://www.jaubalet-paris.fr/","https://www.jaubalet-paris.fr/")</f>
        <v>https://www.jaubalet-paris.fr/</v>
      </c>
      <c r="H101" s="2"/>
      <c r="I101" s="2"/>
      <c r="J101" s="2"/>
      <c r="K101" s="2"/>
      <c r="L101" s="2"/>
      <c r="M101" s="2"/>
      <c r="N101" s="2"/>
      <c r="O101" s="2"/>
      <c r="P101" s="2"/>
      <c r="Q101" s="2"/>
      <c r="R101" s="2"/>
      <c r="S101" s="2"/>
      <c r="T101" s="2"/>
      <c r="U101" s="2"/>
      <c r="V101" s="2"/>
      <c r="W101" s="2"/>
      <c r="X101" s="2"/>
      <c r="Y101" s="2"/>
      <c r="Z101" s="2"/>
    </row>
    <row r="102" ht="13.5" customHeight="1" spans="1:26">
      <c r="A102" s="20" t="s">
        <v>448</v>
      </c>
      <c r="B102" s="20" t="s">
        <v>449</v>
      </c>
      <c r="C102" s="20" t="s">
        <v>450</v>
      </c>
      <c r="D102" s="23">
        <v>95</v>
      </c>
      <c r="E102" s="20" t="s">
        <v>310</v>
      </c>
      <c r="F102" s="24" t="str">
        <f>HYPERLINK("http://www.logotheque.fr/6342-2/logo%20PETIT%20BATEAU.jpg","http://www.logotheque.fr/6342-2/logo%20PETIT%20BATEAU.jpg")</f>
        <v>http://www.logotheque.fr/6342-2/logo%20PETIT%20BATEAU.jpg</v>
      </c>
      <c r="G102" s="24" t="str">
        <f>HYPERLINK("http://www.petit-bateau.fr/","www.petit-bateau.fr/")</f>
        <v>www.petit-bateau.fr/</v>
      </c>
      <c r="H102" s="2"/>
      <c r="I102" s="2"/>
      <c r="J102" s="2"/>
      <c r="K102" s="2"/>
      <c r="L102" s="2"/>
      <c r="M102" s="2"/>
      <c r="N102" s="2"/>
      <c r="O102" s="2"/>
      <c r="P102" s="2"/>
      <c r="Q102" s="2"/>
      <c r="R102" s="2"/>
      <c r="S102" s="2"/>
      <c r="T102" s="2"/>
      <c r="U102" s="2"/>
      <c r="V102" s="2"/>
      <c r="W102" s="2"/>
      <c r="X102" s="2"/>
      <c r="Y102" s="2"/>
      <c r="Z102" s="2"/>
    </row>
    <row r="103" ht="13.5" customHeight="1" spans="1:26">
      <c r="A103" s="20" t="s">
        <v>452</v>
      </c>
      <c r="B103" s="20" t="s">
        <v>453</v>
      </c>
      <c r="C103" s="20" t="s">
        <v>450</v>
      </c>
      <c r="D103" s="23">
        <v>89</v>
      </c>
      <c r="E103" s="20" t="s">
        <v>310</v>
      </c>
      <c r="F103" s="24" t="str">
        <f>HYPERLINK("http://www.bloc.com/images_administrables/bibliotheque/grande/autour-du-bebe.jpg","http://www.bloc.com/images_administrables/bibliotheque/grande/autour-du-bebe.jpg")</f>
        <v>http://www.bloc.com/images_administrables/bibliotheque/grande/autour-du-bebe.jpg</v>
      </c>
      <c r="G103" s="24" t="str">
        <f>HYPERLINK("http://www.autourdebebe.com/","www.autourdebebe.com/")</f>
        <v>www.autourdebebe.com/</v>
      </c>
      <c r="H103" s="2"/>
      <c r="I103" s="2"/>
      <c r="J103" s="2"/>
      <c r="K103" s="2"/>
      <c r="L103" s="2"/>
      <c r="M103" s="2"/>
      <c r="N103" s="2"/>
      <c r="O103" s="2"/>
      <c r="P103" s="2"/>
      <c r="Q103" s="2"/>
      <c r="R103" s="2"/>
      <c r="S103" s="2"/>
      <c r="T103" s="2"/>
      <c r="U103" s="2"/>
      <c r="V103" s="2"/>
      <c r="W103" s="2"/>
      <c r="X103" s="2"/>
      <c r="Y103" s="2"/>
      <c r="Z103" s="2"/>
    </row>
    <row r="104" ht="13.5" customHeight="1" spans="1:26">
      <c r="A104" s="20" t="s">
        <v>455</v>
      </c>
      <c r="B104" s="20" t="s">
        <v>456</v>
      </c>
      <c r="C104" s="20" t="s">
        <v>457</v>
      </c>
      <c r="D104" s="20"/>
      <c r="E104" s="20"/>
      <c r="F104" s="24" t="str">
        <f>HYPERLINK("http://www.perzel.fr/en/wp-content/uploads/sites/2/2014/06/catalogue_en.jpg","http://www.perzel.fr/en/wp-content/uploads/sites/2/2014/06/catalogue_en.jpg")</f>
        <v>http://www.perzel.fr/en/wp-content/uploads/sites/2/2014/06/catalogue_en.jpg</v>
      </c>
      <c r="G104" s="24" t="str">
        <f>HYPERLINK("http://www.perzel.fr/","http://www.perzel.fr/")</f>
        <v>http://www.perzel.fr/</v>
      </c>
      <c r="H104" s="2"/>
      <c r="I104" s="2"/>
      <c r="J104" s="2"/>
      <c r="K104" s="2"/>
      <c r="L104" s="2"/>
      <c r="M104" s="2"/>
      <c r="N104" s="2"/>
      <c r="O104" s="2"/>
      <c r="P104" s="2"/>
      <c r="Q104" s="2"/>
      <c r="R104" s="2"/>
      <c r="S104" s="2"/>
      <c r="T104" s="2"/>
      <c r="U104" s="2"/>
      <c r="V104" s="2"/>
      <c r="W104" s="2"/>
      <c r="X104" s="2"/>
      <c r="Y104" s="2"/>
      <c r="Z104" s="2"/>
    </row>
    <row r="105" ht="13.5" customHeight="1" spans="1:26">
      <c r="A105" s="20" t="s">
        <v>460</v>
      </c>
      <c r="B105" s="20" t="s">
        <v>461</v>
      </c>
      <c r="C105" s="20" t="s">
        <v>462</v>
      </c>
      <c r="D105" s="20"/>
      <c r="E105" s="20"/>
      <c r="F105" s="24" t="str">
        <f>HYPERLINK("http://www.procureddesign.com/wp-content/uploads/2012/10/Calligrane-Interior.gif","http://www.procureddesign.com/wp-content/uploads/2012/10/Calligrane-Interior.gif")</f>
        <v>http://www.procureddesign.com/wp-content/uploads/2012/10/Calligrane-Interior.gif</v>
      </c>
      <c r="G105" s="24" t="str">
        <f>HYPERLINK("http://calligrane.fr/","http://calligrane.fr/")</f>
        <v>http://calligrane.fr/</v>
      </c>
      <c r="H105" s="2"/>
      <c r="I105" s="2"/>
      <c r="J105" s="2"/>
      <c r="K105" s="2"/>
      <c r="L105" s="2"/>
      <c r="M105" s="2"/>
      <c r="N105" s="2"/>
      <c r="O105" s="2"/>
      <c r="P105" s="2"/>
      <c r="Q105" s="2"/>
      <c r="R105" s="2"/>
      <c r="S105" s="2"/>
      <c r="T105" s="2"/>
      <c r="U105" s="2"/>
      <c r="V105" s="2"/>
      <c r="W105" s="2"/>
      <c r="X105" s="2"/>
      <c r="Y105" s="2"/>
      <c r="Z105" s="2"/>
    </row>
    <row r="106" ht="13.5" customHeight="1" spans="1:26">
      <c r="A106" s="20" t="s">
        <v>465</v>
      </c>
      <c r="B106" s="20" t="s">
        <v>466</v>
      </c>
      <c r="C106" s="20" t="s">
        <v>315</v>
      </c>
      <c r="D106" s="23">
        <v>30</v>
      </c>
      <c r="E106" s="20" t="s">
        <v>21</v>
      </c>
      <c r="F106" s="24" t="str">
        <f>HYPERLINK("http://intu.co.uk/uploads/media/logo_retailer/0001/06/thumb_5018_logo_retailer_1x.png","http://intu.co.uk/uploads/media/logo_retailer/0001/06/thumb_5018_logo_retailer_1x.png")</f>
        <v>http://intu.co.uk/uploads/media/logo_retailer/0001/06/thumb_5018_logo_retailer_1x.png</v>
      </c>
      <c r="G106" s="24" t="str">
        <f>HYPERLINK("https://www.clarks.fr","https://www.clarks.fr")</f>
        <v>https://www.clarks.fr</v>
      </c>
      <c r="H106" s="2"/>
      <c r="I106" s="2"/>
      <c r="J106" s="2"/>
      <c r="K106" s="2"/>
      <c r="L106" s="2"/>
      <c r="M106" s="2"/>
      <c r="N106" s="2"/>
      <c r="O106" s="2"/>
      <c r="P106" s="2"/>
      <c r="Q106" s="2"/>
      <c r="R106" s="2"/>
      <c r="S106" s="2"/>
      <c r="T106" s="2"/>
      <c r="U106" s="2"/>
      <c r="V106" s="2"/>
      <c r="W106" s="2"/>
      <c r="X106" s="2"/>
      <c r="Y106" s="2"/>
      <c r="Z106" s="2"/>
    </row>
    <row r="107" ht="13.5" customHeight="1" spans="1:26">
      <c r="A107" s="20" t="s">
        <v>469</v>
      </c>
      <c r="B107" s="20" t="s">
        <v>470</v>
      </c>
      <c r="C107" s="20" t="s">
        <v>471</v>
      </c>
      <c r="D107" s="20"/>
      <c r="E107" s="20"/>
      <c r="F107" s="24" t="str">
        <f>HYPERLINK("http://shop.shoeshop.fr/themes/shoeshop_simple/img/shoeshop.png","http://shop.shoeshop.fr/themes/shoeshop_simple/img/shoeshop.png")</f>
        <v>http://shop.shoeshop.fr/themes/shoeshop_simple/img/shoeshop.png</v>
      </c>
      <c r="G107" s="24" t="str">
        <f>HYPERLINK("http://www.shoeshop.fr/","http://www.shoeshop.fr/")</f>
        <v>http://www.shoeshop.fr/</v>
      </c>
      <c r="H107" s="2"/>
      <c r="I107" s="2"/>
      <c r="J107" s="2"/>
      <c r="K107" s="2"/>
      <c r="L107" s="2"/>
      <c r="M107" s="2"/>
      <c r="N107" s="2"/>
      <c r="O107" s="2"/>
      <c r="P107" s="2"/>
      <c r="Q107" s="2"/>
      <c r="R107" s="2"/>
      <c r="S107" s="2"/>
      <c r="T107" s="2"/>
      <c r="U107" s="2"/>
      <c r="V107" s="2"/>
      <c r="W107" s="2"/>
      <c r="X107" s="2"/>
      <c r="Y107" s="2"/>
      <c r="Z107" s="2"/>
    </row>
    <row r="108" ht="13.5" customHeight="1" spans="1:26">
      <c r="A108" s="20" t="s">
        <v>474</v>
      </c>
      <c r="B108" s="20" t="s">
        <v>475</v>
      </c>
      <c r="C108" s="20" t="s">
        <v>476</v>
      </c>
      <c r="D108" s="23">
        <v>123</v>
      </c>
      <c r="E108" s="20" t="s">
        <v>310</v>
      </c>
      <c r="F108" s="24" t="str">
        <f>HYPERLINK("https://excoupuk.com/wp-content/uploads/2015/12/Sports-direct.jpg","https://excoupuk.com/wp-content/uploads/2015/12/Sports-direct.jpg")</f>
        <v>https://excoupuk.com/wp-content/uploads/2015/12/Sports-direct.jpg</v>
      </c>
      <c r="G108" s="24" t="str">
        <f>HYPERLINK("http://www.sportsdirect.com","http://www.sportsdirect.com")</f>
        <v>http://www.sportsdirect.com</v>
      </c>
      <c r="H108" s="2"/>
      <c r="I108" s="2"/>
      <c r="J108" s="2"/>
      <c r="K108" s="2"/>
      <c r="L108" s="2"/>
      <c r="M108" s="2"/>
      <c r="N108" s="2"/>
      <c r="O108" s="2"/>
      <c r="P108" s="2"/>
      <c r="Q108" s="2"/>
      <c r="R108" s="2"/>
      <c r="S108" s="2"/>
      <c r="T108" s="2"/>
      <c r="U108" s="2"/>
      <c r="V108" s="2"/>
      <c r="W108" s="2"/>
      <c r="X108" s="2"/>
      <c r="Y108" s="2"/>
      <c r="Z108" s="2"/>
    </row>
    <row r="109" ht="13.5" customHeight="1" spans="1:26">
      <c r="A109" s="20" t="s">
        <v>479</v>
      </c>
      <c r="B109" s="20" t="s">
        <v>480</v>
      </c>
      <c r="C109" s="20" t="s">
        <v>476</v>
      </c>
      <c r="D109" s="23">
        <v>76</v>
      </c>
      <c r="E109" s="20" t="s">
        <v>310</v>
      </c>
      <c r="F109" s="24" t="str">
        <f>HYPERLINK("https://67fb162d391b3c725e9d-210fd98f9f4ad5bac2f98cc8e61aaae5.ssl.cf2.rackcdn.com/clients/jd-sports/logo-18e9aaa70cfc521565a79eb9da6e5bb2.png","https://67fb162d391b3c725e9d-210fd98f9f4ad5bac2f98cc8e61aaae5.ssl.cf2.rackcdn.com/clients/jd-sports/logo-18e9aaa70cfc521565a79eb9da6e5bb2.png")</f>
        <v>https://67fb162d391b3c725e9d-210fd98f9f4ad5bac2f98cc8e61aaae5.ssl.cf2.rackcdn.com/clients/jd-sports/logo-18e9aaa70cfc521565a79eb9da6e5bb2.png</v>
      </c>
      <c r="G109" s="24" t="str">
        <f>HYPERLINK("https://www.jdsports.fr","https://www.jdsports.fr")</f>
        <v>https://www.jdsports.fr</v>
      </c>
      <c r="H109" s="2"/>
      <c r="I109" s="2"/>
      <c r="J109" s="2"/>
      <c r="K109" s="2"/>
      <c r="L109" s="2"/>
      <c r="M109" s="2"/>
      <c r="N109" s="2"/>
      <c r="O109" s="2"/>
      <c r="P109" s="2"/>
      <c r="Q109" s="2"/>
      <c r="R109" s="2"/>
      <c r="S109" s="2"/>
      <c r="T109" s="2"/>
      <c r="U109" s="2"/>
      <c r="V109" s="2"/>
      <c r="W109" s="2"/>
      <c r="X109" s="2"/>
      <c r="Y109" s="2"/>
      <c r="Z109" s="2"/>
    </row>
    <row r="110" ht="13.5" customHeight="1" spans="1:26">
      <c r="A110" s="20" t="s">
        <v>483</v>
      </c>
      <c r="B110" s="20" t="s">
        <v>484</v>
      </c>
      <c r="C110" s="20" t="s">
        <v>485</v>
      </c>
      <c r="D110" s="23">
        <v>77</v>
      </c>
      <c r="E110" s="20" t="s">
        <v>37</v>
      </c>
      <c r="F110" s="24" t="str">
        <f>HYPERLINK("http://www.theo2.co.uk/assets/img/VenueLanding_Sky_TheO2_logo.jpg","http://www.theo2.co.uk/assets/img/VenueLanding_Sky_TheO2_logo.jpg")</f>
        <v>http://www.theo2.co.uk/assets/img/VenueLanding_Sky_TheO2_logo.jpg</v>
      </c>
      <c r="G110" s="24" t="str">
        <f>HYPERLINK("http://www.sky.com/","http://www.sky.com/")</f>
        <v>http://www.sky.com/</v>
      </c>
      <c r="H110" s="2"/>
      <c r="I110" s="2"/>
      <c r="J110" s="2"/>
      <c r="K110" s="2"/>
      <c r="L110" s="2"/>
      <c r="M110" s="2"/>
      <c r="N110" s="2"/>
      <c r="O110" s="2"/>
      <c r="P110" s="2"/>
      <c r="Q110" s="2"/>
      <c r="R110" s="2"/>
      <c r="S110" s="2"/>
      <c r="T110" s="2"/>
      <c r="U110" s="2"/>
      <c r="V110" s="2"/>
      <c r="W110" s="2"/>
      <c r="X110" s="2"/>
      <c r="Y110" s="2"/>
      <c r="Z110" s="2"/>
    </row>
    <row r="111" ht="13.5" customHeight="1" spans="1:26">
      <c r="A111" s="20" t="s">
        <v>488</v>
      </c>
      <c r="B111" s="20" t="s">
        <v>489</v>
      </c>
      <c r="C111" s="20" t="s">
        <v>490</v>
      </c>
      <c r="D111" s="20"/>
      <c r="E111" s="20"/>
      <c r="F111" s="24" t="str">
        <f>HYPERLINK("https://hotelprojects.files.wordpress.com/2014/09/mandarin-oriental-hotel-group.gif","https://hotelprojects.files.wordpress.com/2014/09/mandarin-oriental-hotel-group.gif")</f>
        <v>https://hotelprojects.files.wordpress.com/2014/09/mandarin-oriental-hotel-group.gif</v>
      </c>
      <c r="G111" s="24" t="str">
        <f>HYPERLINK("http://www.mandarinoriental.fr/","http://www.mandarinoriental.fr/")</f>
        <v>http://www.mandarinoriental.fr/</v>
      </c>
      <c r="H111" s="2"/>
      <c r="I111" s="2"/>
      <c r="J111" s="2"/>
      <c r="K111" s="2"/>
      <c r="L111" s="2"/>
      <c r="M111" s="2"/>
      <c r="N111" s="2"/>
      <c r="O111" s="2"/>
      <c r="P111" s="2"/>
      <c r="Q111" s="2"/>
      <c r="R111" s="2"/>
      <c r="S111" s="2"/>
      <c r="T111" s="2"/>
      <c r="U111" s="2"/>
      <c r="V111" s="2"/>
      <c r="W111" s="2"/>
      <c r="X111" s="2"/>
      <c r="Y111" s="2"/>
      <c r="Z111" s="2"/>
    </row>
    <row r="112" ht="13.5" customHeight="1" spans="1:26">
      <c r="A112" s="20" t="s">
        <v>493</v>
      </c>
      <c r="B112" s="20" t="s">
        <v>494</v>
      </c>
      <c r="C112" s="20" t="s">
        <v>495</v>
      </c>
      <c r="D112" s="2"/>
      <c r="E112" s="2"/>
      <c r="F112" s="24" t="str">
        <f>HYPERLINK("http://www.eurocave.com.au/wp-content/themes/eurocave/images/eurocave-logo.gif","http://www.eurocave.com.au/wp-content/themes/eurocave/images/eurocave-logo.gif")</f>
        <v>http://www.eurocave.com.au/wp-content/themes/eurocave/images/eurocave-logo.gif</v>
      </c>
      <c r="G112" s="24" t="str">
        <f>HYPERLINK("http://www.eurocave.com","http://www.eurocave.com")</f>
        <v>http://www.eurocave.com</v>
      </c>
      <c r="H112" s="2"/>
      <c r="I112" s="2"/>
      <c r="J112" s="2"/>
      <c r="K112" s="2"/>
      <c r="L112" s="2"/>
      <c r="M112" s="2"/>
      <c r="N112" s="2"/>
      <c r="O112" s="2"/>
      <c r="P112" s="2"/>
      <c r="Q112" s="2"/>
      <c r="R112" s="2"/>
      <c r="S112" s="2"/>
      <c r="T112" s="2"/>
      <c r="U112" s="2"/>
      <c r="V112" s="2"/>
      <c r="W112" s="2"/>
      <c r="X112" s="2"/>
      <c r="Y112" s="2"/>
      <c r="Z112" s="2"/>
    </row>
    <row r="113" ht="13.5" customHeight="1" spans="1:26">
      <c r="A113" s="20" t="s">
        <v>498</v>
      </c>
      <c r="B113" s="20" t="s">
        <v>499</v>
      </c>
      <c r="C113" s="20" t="s">
        <v>500</v>
      </c>
      <c r="D113" s="2"/>
      <c r="E113" s="2"/>
      <c r="F113" s="24" t="str">
        <f>HYPERLINK("http://www.labfacility.com/media/wysiwyg/farnell-logo.png","http://www.labfacility.com/media/wysiwyg/farnell-logo.png")</f>
        <v>http://www.labfacility.com/media/wysiwyg/farnell-logo.png</v>
      </c>
      <c r="G113" s="24" t="str">
        <f>HYPERLINK("http://fr.farnell.com","http://fr.farnell.com")</f>
        <v>http://fr.farnell.com</v>
      </c>
      <c r="H113" s="2"/>
      <c r="I113" s="2"/>
      <c r="J113" s="2"/>
      <c r="K113" s="2"/>
      <c r="L113" s="2"/>
      <c r="M113" s="2"/>
      <c r="N113" s="2"/>
      <c r="O113" s="2"/>
      <c r="P113" s="2"/>
      <c r="Q113" s="2"/>
      <c r="R113" s="2"/>
      <c r="S113" s="2"/>
      <c r="T113" s="2"/>
      <c r="U113" s="2"/>
      <c r="V113" s="2"/>
      <c r="W113" s="2"/>
      <c r="X113" s="2"/>
      <c r="Y113" s="2"/>
      <c r="Z113" s="2"/>
    </row>
    <row r="114" ht="13.5" customHeight="1" spans="1:26">
      <c r="A114" s="20" t="s">
        <v>503</v>
      </c>
      <c r="B114" s="20" t="s">
        <v>504</v>
      </c>
      <c r="C114" s="20" t="s">
        <v>505</v>
      </c>
      <c r="D114" s="23">
        <v>38</v>
      </c>
      <c r="E114" s="20" t="s">
        <v>37</v>
      </c>
      <c r="F114" s="24" t="str">
        <f>HYPERLINK("https://upload.wikimedia.org/wikipedia/commons/thumb/7/74/Dominos_pizza_logo.svg/2000px-Dominos_pizza_logo.svg.png","https://upload.wikimedia.org/wikipedia/commons/thumb/7/74/Dominos_pizza_logo.svg/2000px-Dominos_pizza_logo.svg.png")</f>
        <v>https://upload.wikimedia.org/wikipedia/commons/thumb/7/74/Dominos_pizza_logo.svg/2000px-Dominos_pizza_logo.svg.png</v>
      </c>
      <c r="G114" s="24" t="str">
        <f>HYPERLINK("https://www.dominos.fr/","https://www.dominos.fr/")</f>
        <v>https://www.dominos.fr/</v>
      </c>
      <c r="H114" s="2"/>
      <c r="I114" s="2"/>
      <c r="J114" s="2"/>
      <c r="K114" s="2"/>
      <c r="L114" s="2"/>
      <c r="M114" s="2"/>
      <c r="N114" s="2"/>
      <c r="O114" s="2"/>
      <c r="P114" s="2"/>
      <c r="Q114" s="2"/>
      <c r="R114" s="2"/>
      <c r="S114" s="2"/>
      <c r="T114" s="2"/>
      <c r="U114" s="2"/>
      <c r="V114" s="2"/>
      <c r="W114" s="2"/>
      <c r="X114" s="2"/>
      <c r="Y114" s="2"/>
      <c r="Z114" s="2"/>
    </row>
    <row r="115" ht="13.5" customHeight="1" spans="1:26">
      <c r="A115" s="20" t="s">
        <v>508</v>
      </c>
      <c r="B115" s="20" t="s">
        <v>509</v>
      </c>
      <c r="C115" s="20" t="s">
        <v>510</v>
      </c>
      <c r="D115" s="20"/>
      <c r="E115" s="20"/>
      <c r="F115" s="24" t="str">
        <f>HYPERLINK("https://ak-api-mc.bouyguestelecom.fr/img/logo-bouygues-telecom.svg","https://ak-api-mc.bouyguestelecom.fr/img/logo-bouygues-telecom.svg")</f>
        <v>https://ak-api-mc.bouyguestelecom.fr/img/logo-bouygues-telecom.svg</v>
      </c>
      <c r="G115" s="24" t="str">
        <f>HYPERLINK("https://www.bouyguestelecom.fr/visiteurs_etrangers/index.htm","https://www.bouyguestelecom.fr/visiteurs_etrangers/index.htm")</f>
        <v>https://www.bouyguestelecom.fr/visiteurs_etrangers/index.htm</v>
      </c>
      <c r="H115" s="2"/>
      <c r="I115" s="2"/>
      <c r="J115" s="2"/>
      <c r="K115" s="2"/>
      <c r="L115" s="2"/>
      <c r="M115" s="2"/>
      <c r="N115" s="2"/>
      <c r="O115" s="2"/>
      <c r="P115" s="2"/>
      <c r="Q115" s="2"/>
      <c r="R115" s="2"/>
      <c r="S115" s="2"/>
      <c r="T115" s="2"/>
      <c r="U115" s="2"/>
      <c r="V115" s="2"/>
      <c r="W115" s="2"/>
      <c r="X115" s="2"/>
      <c r="Y115" s="2"/>
      <c r="Z115" s="2"/>
    </row>
    <row r="116" ht="13.5" customHeight="1" spans="1:26">
      <c r="A116" s="20" t="s">
        <v>513</v>
      </c>
      <c r="B116" s="20" t="s">
        <v>514</v>
      </c>
      <c r="C116" s="20" t="s">
        <v>515</v>
      </c>
      <c r="D116" s="23">
        <v>40</v>
      </c>
      <c r="E116" s="20" t="s">
        <v>37</v>
      </c>
      <c r="F116" s="24" t="str">
        <f>HYPERLINK("http://static.s-sfr.fr/media/sfr_logo2014_exe_rvb.png","http://static.s-sfr.fr/media/sfr_logo2014_exe_rvb.png")</f>
        <v>http://static.s-sfr.fr/media/sfr_logo2014_exe_rvb.png</v>
      </c>
      <c r="G116" s="24" t="str">
        <f>HYPERLINK("https://www.sfr.fr","https://www.sfr.fr")</f>
        <v>https://www.sfr.fr</v>
      </c>
      <c r="H116" s="2"/>
      <c r="I116" s="2"/>
      <c r="J116" s="2"/>
      <c r="K116" s="2"/>
      <c r="L116" s="2"/>
      <c r="M116" s="2"/>
      <c r="N116" s="2"/>
      <c r="O116" s="2"/>
      <c r="P116" s="2"/>
      <c r="Q116" s="2"/>
      <c r="R116" s="2"/>
      <c r="S116" s="2"/>
      <c r="T116" s="2"/>
      <c r="U116" s="2"/>
      <c r="V116" s="2"/>
      <c r="W116" s="2"/>
      <c r="X116" s="2"/>
      <c r="Y116" s="2"/>
      <c r="Z116" s="2"/>
    </row>
    <row r="117" ht="13.5" customHeight="1" spans="1:26">
      <c r="A117" s="20" t="s">
        <v>518</v>
      </c>
      <c r="B117" s="20" t="s">
        <v>175</v>
      </c>
      <c r="C117" s="20" t="s">
        <v>519</v>
      </c>
      <c r="D117" s="23">
        <v>45</v>
      </c>
      <c r="E117" s="20" t="s">
        <v>37</v>
      </c>
      <c r="F117" s="24" t="str">
        <f>HYPERLINK("http://www.free.fr/freebox/im/logo_free.png","http://www.free.fr/freebox/im/logo_free.png")</f>
        <v>http://www.free.fr/freebox/im/logo_free.png</v>
      </c>
      <c r="G117" s="24" t="str">
        <f>HYPERLINK("http://www.free.fr/freebox/index.html","http://www.free.fr/freebox/index.html")</f>
        <v>http://www.free.fr/freebox/index.html</v>
      </c>
      <c r="H117" s="2"/>
      <c r="I117" s="2"/>
      <c r="J117" s="2"/>
      <c r="K117" s="2"/>
      <c r="L117" s="2"/>
      <c r="M117" s="2"/>
      <c r="N117" s="2"/>
      <c r="O117" s="2"/>
      <c r="P117" s="2"/>
      <c r="Q117" s="2"/>
      <c r="R117" s="2"/>
      <c r="S117" s="2"/>
      <c r="T117" s="2"/>
      <c r="U117" s="2"/>
      <c r="V117" s="2"/>
      <c r="W117" s="2"/>
      <c r="X117" s="2"/>
      <c r="Y117" s="2"/>
      <c r="Z117" s="2"/>
    </row>
    <row r="118" ht="13.5" customHeight="1" spans="1:26">
      <c r="A118" s="20" t="s">
        <v>520</v>
      </c>
      <c r="B118" s="20" t="s">
        <v>170</v>
      </c>
      <c r="C118" s="20" t="s">
        <v>515</v>
      </c>
      <c r="D118" s="23">
        <v>50</v>
      </c>
      <c r="E118" s="20" t="s">
        <v>37</v>
      </c>
      <c r="F118" s="24" t="str">
        <f>HYPERLINK("http://agence.orange.fr/templates/orange/template-responsive/versions/2465/images/logo-print.png","http://agence.orange.fr/templates/orange/template-responsive/versions/2465/images/logo-print.png")</f>
        <v>http://agence.orange.fr/templates/orange/template-responsive/versions/2465/images/logo-print.png</v>
      </c>
      <c r="G118" s="24" t="str">
        <f>HYPERLINK("http://www.orange.fr","http://www.orange.fr")</f>
        <v>http://www.orange.fr</v>
      </c>
      <c r="H118" s="2"/>
      <c r="I118" s="2"/>
      <c r="J118" s="2"/>
      <c r="K118" s="2"/>
      <c r="L118" s="2"/>
      <c r="M118" s="2"/>
      <c r="N118" s="2"/>
      <c r="O118" s="2"/>
      <c r="P118" s="2"/>
      <c r="Q118" s="2"/>
      <c r="R118" s="2"/>
      <c r="S118" s="2"/>
      <c r="T118" s="2"/>
      <c r="U118" s="2"/>
      <c r="V118" s="2"/>
      <c r="W118" s="2"/>
      <c r="X118" s="2"/>
      <c r="Y118" s="2"/>
      <c r="Z118" s="2"/>
    </row>
    <row r="119" ht="13.5" customHeight="1" spans="1:26">
      <c r="A119" s="20" t="s">
        <v>522</v>
      </c>
      <c r="B119" s="20" t="s">
        <v>523</v>
      </c>
      <c r="C119" s="20" t="s">
        <v>524</v>
      </c>
      <c r="D119" s="23">
        <v>90</v>
      </c>
      <c r="E119" s="20" t="s">
        <v>21</v>
      </c>
      <c r="F119" s="24" t="str">
        <f>HYPERLINK("http://www.foyleside.co.uk/perch/resources/ticketmaster-logo.jpg","http://www.foyleside.co.uk/perch/resources/ticketmaster-logo.jpg")</f>
        <v>http://www.foyleside.co.uk/perch/resources/ticketmaster-logo.jpg</v>
      </c>
      <c r="G119" s="24" t="str">
        <f>HYPERLINK("https://www.ticketmaster.fr","https://www.ticketmaster.fr")</f>
        <v>https://www.ticketmaster.fr</v>
      </c>
      <c r="H119" s="2"/>
      <c r="I119" s="2"/>
      <c r="J119" s="2"/>
      <c r="K119" s="2"/>
      <c r="L119" s="2"/>
      <c r="M119" s="2"/>
      <c r="N119" s="2"/>
      <c r="O119" s="2"/>
      <c r="P119" s="2"/>
      <c r="Q119" s="2"/>
      <c r="R119" s="2"/>
      <c r="S119" s="2"/>
      <c r="T119" s="2"/>
      <c r="U119" s="2"/>
      <c r="V119" s="2"/>
      <c r="W119" s="2"/>
      <c r="X119" s="2"/>
      <c r="Y119" s="2"/>
      <c r="Z119" s="2"/>
    </row>
    <row r="120" ht="13.5" customHeight="1" spans="1:26">
      <c r="A120" s="20" t="s">
        <v>527</v>
      </c>
      <c r="B120" s="24" t="str">
        <f>HYPERLINK("http://Markets.com","Markets.com")</f>
        <v>Markets.com</v>
      </c>
      <c r="C120" s="20" t="s">
        <v>529</v>
      </c>
      <c r="D120" s="2"/>
      <c r="E120" s="2"/>
      <c r="F120" s="24" t="str">
        <f>HYPERLINK("http://www.gambling-affiliation.com/uploads/cms/logos/markets_com.png","http://www.gambling-affiliation.com/uploads/cms/logos/markets_com.png")</f>
        <v>http://www.gambling-affiliation.com/uploads/cms/logos/markets_com.png</v>
      </c>
      <c r="G120" s="24" t="str">
        <f>HYPERLINK("http://www.markets.com","http://www.markets.com")</f>
        <v>http://www.markets.com</v>
      </c>
      <c r="H120" s="2"/>
      <c r="I120" s="2"/>
      <c r="J120" s="2"/>
      <c r="K120" s="2"/>
      <c r="L120" s="2"/>
      <c r="M120" s="2"/>
      <c r="N120" s="2"/>
      <c r="O120" s="2"/>
      <c r="P120" s="2"/>
      <c r="Q120" s="2"/>
      <c r="R120" s="2"/>
      <c r="S120" s="2"/>
      <c r="T120" s="2"/>
      <c r="U120" s="2"/>
      <c r="V120" s="2"/>
      <c r="W120" s="2"/>
      <c r="X120" s="2"/>
      <c r="Y120" s="2"/>
      <c r="Z120" s="2"/>
    </row>
    <row r="121" ht="13.5" customHeight="1" spans="1:26">
      <c r="A121" s="20" t="s">
        <v>532</v>
      </c>
      <c r="B121" s="20" t="s">
        <v>533</v>
      </c>
      <c r="C121" s="20" t="s">
        <v>534</v>
      </c>
      <c r="D121" s="20"/>
      <c r="E121" s="20"/>
      <c r="F121" s="24" t="str">
        <f>HYPERLINK("https://upload.wikimedia.org/wikipedia/en/thumb/e/e4/RATP_Group_logo.svg/1024px-RATP_Group_logo.svg.png","https://upload.wikimedia.org/wikipedia/en/thumb/e/e4/RATP_Group_logo.svg/1024px-RATP_Group_logo.svg.png")</f>
        <v>https://upload.wikimedia.org/wikipedia/en/thumb/e/e4/RATP_Group_logo.svg/1024px-RATP_Group_logo.svg.png</v>
      </c>
      <c r="G121" s="24" t="str">
        <f>HYPERLINK("http://www.ratp.fr/fr/ratp/r_61584/titres-de-transport/","http://www.ratp.fr/fr/ratp/r_61584/titres-de-transport/")</f>
        <v>http://www.ratp.fr/fr/ratp/r_61584/titres-de-transport/</v>
      </c>
      <c r="H121" s="2"/>
      <c r="I121" s="2"/>
      <c r="J121" s="2"/>
      <c r="K121" s="2"/>
      <c r="L121" s="2"/>
      <c r="M121" s="2"/>
      <c r="N121" s="2"/>
      <c r="O121" s="2"/>
      <c r="P121" s="2"/>
      <c r="Q121" s="2"/>
      <c r="R121" s="2"/>
      <c r="S121" s="2"/>
      <c r="T121" s="2"/>
      <c r="U121" s="2"/>
      <c r="V121" s="2"/>
      <c r="W121" s="2"/>
      <c r="X121" s="2"/>
      <c r="Y121" s="2"/>
      <c r="Z121" s="2"/>
    </row>
    <row r="122" ht="13.5" customHeight="1" spans="1:26">
      <c r="A122" s="20" t="s">
        <v>537</v>
      </c>
      <c r="B122" s="20" t="s">
        <v>538</v>
      </c>
      <c r="C122" s="20" t="s">
        <v>539</v>
      </c>
      <c r="D122" s="20"/>
      <c r="E122" s="20"/>
      <c r="F122" s="24" t="str">
        <f>HYPERLINK("http://groupe.direct-energie.com/fileadmin/Commun/Logos/logo-direct-energie.gif","http://groupe.direct-energie.com/fileadmin/Commun/Logos/logo-direct-energie.gif")</f>
        <v>http://groupe.direct-energie.com/fileadmin/Commun/Logos/logo-direct-energie.gif</v>
      </c>
      <c r="G122" s="24" t="str">
        <f>HYPERLINK("http://www.direct-energie.com/","http://www.direct-energie.com/")</f>
        <v>http://www.direct-energie.com/</v>
      </c>
      <c r="H122" s="2"/>
      <c r="I122" s="2"/>
      <c r="J122" s="2"/>
      <c r="K122" s="2"/>
      <c r="L122" s="2"/>
      <c r="M122" s="2"/>
      <c r="N122" s="2"/>
      <c r="O122" s="2"/>
      <c r="P122" s="2"/>
      <c r="Q122" s="2"/>
      <c r="R122" s="2"/>
      <c r="S122" s="2"/>
      <c r="T122" s="2"/>
      <c r="U122" s="2"/>
      <c r="V122" s="2"/>
      <c r="W122" s="2"/>
      <c r="X122" s="2"/>
      <c r="Y122" s="2"/>
      <c r="Z122" s="2"/>
    </row>
    <row r="123" ht="13.5" customHeight="1" spans="1:26">
      <c r="A123" s="20" t="s">
        <v>542</v>
      </c>
      <c r="B123" s="20" t="s">
        <v>543</v>
      </c>
      <c r="C123" s="20" t="s">
        <v>539</v>
      </c>
      <c r="D123" s="23">
        <v>50</v>
      </c>
      <c r="E123" s="20" t="s">
        <v>37</v>
      </c>
      <c r="F123" s="24" t="str">
        <f>HYPERLINK("https://media.licdn.com/mpr/mpr/shrink_200_200/AAEAAQAAAAAAAAf6AAAAJDQ1OWJmNTc4LTYzNWMtNDU4OS05NzVmLWJhYmU5YTY2ZDVlMQ.png","https://media.licdn.com/mpr/mpr/shrink_200_200/AAEAAQAAAAAAAAf6AAAAJDQ1OWJmNTc4LTYzNWMtNDU4OS05NzVmLWJhYmU5YTY2ZDVlMQ.png")</f>
        <v>https://media.licdn.com/mpr/mpr/shrink_200_200/AAEAAQAAAAAAAAf6AAAAJDQ1OWJmNTc4LTYzNWMtNDU4OS05NzVmLWJhYmU5YTY2ZDVlMQ.png</v>
      </c>
      <c r="G123" s="24" t="str">
        <f>HYPERLINK("http://www.selia-energies.fr","http://www.selia-energies.fr")</f>
        <v>http://www.selia-energies.fr</v>
      </c>
      <c r="H123" s="2"/>
      <c r="I123" s="2"/>
      <c r="J123" s="2"/>
      <c r="K123" s="2"/>
      <c r="L123" s="2"/>
      <c r="M123" s="2"/>
      <c r="N123" s="2"/>
      <c r="O123" s="2"/>
      <c r="P123" s="2"/>
      <c r="Q123" s="2"/>
      <c r="R123" s="2"/>
      <c r="S123" s="2"/>
      <c r="T123" s="2"/>
      <c r="U123" s="2"/>
      <c r="V123" s="2"/>
      <c r="W123" s="2"/>
      <c r="X123" s="2"/>
      <c r="Y123" s="2"/>
      <c r="Z123" s="2"/>
    </row>
    <row r="124" ht="13.5" customHeight="1" spans="1:26">
      <c r="A124" s="20" t="s">
        <v>546</v>
      </c>
      <c r="B124" s="20" t="s">
        <v>547</v>
      </c>
      <c r="C124" s="20" t="s">
        <v>548</v>
      </c>
      <c r="D124" s="23">
        <v>100</v>
      </c>
      <c r="E124" s="20" t="s">
        <v>37</v>
      </c>
      <c r="F124" s="24" t="str">
        <f>HYPERLINK("https://www.lampiris.be/sites/default/files/lampiris-logo-baseline-FR-RVB-HD.jpg","https://www.lampiris.be/sites/default/files/lampiris-logo-baseline-FR-RVB-HD.jpg")</f>
        <v>https://www.lampiris.be/sites/default/files/lampiris-logo-baseline-FR-RVB-HD.jpg</v>
      </c>
      <c r="G124" s="24" t="str">
        <f>HYPERLINK("https://www.lampiris.fr","https://www.lampiris.fr")</f>
        <v>https://www.lampiris.fr</v>
      </c>
      <c r="H124" s="2"/>
      <c r="I124" s="2"/>
      <c r="J124" s="2"/>
      <c r="K124" s="2"/>
      <c r="L124" s="2"/>
      <c r="M124" s="2"/>
      <c r="N124" s="2"/>
      <c r="O124" s="2"/>
      <c r="P124" s="2"/>
      <c r="Q124" s="2"/>
      <c r="R124" s="2"/>
      <c r="S124" s="2"/>
      <c r="T124" s="2"/>
      <c r="U124" s="2"/>
      <c r="V124" s="2"/>
      <c r="W124" s="2"/>
      <c r="X124" s="2"/>
      <c r="Y124" s="2"/>
      <c r="Z124" s="2"/>
    </row>
    <row r="125" ht="13.5" customHeight="1" spans="1:26">
      <c r="A125" s="20" t="s">
        <v>551</v>
      </c>
      <c r="B125" s="20" t="s">
        <v>552</v>
      </c>
      <c r="C125" s="20" t="s">
        <v>553</v>
      </c>
      <c r="D125" s="23">
        <v>30</v>
      </c>
      <c r="E125" s="20" t="s">
        <v>37</v>
      </c>
      <c r="F125" s="24" t="str">
        <f>HYPERLINK("http://www.assistance-client.fr/wp-content/uploads/2013/01/Veolia-Eau-Service-Client.jpg","http://www.assistance-client.fr/wp-content/uploads/2013/01/Veolia-Eau-Service-Client.jpg")</f>
        <v>http://www.assistance-client.fr/wp-content/uploads/2013/01/Veolia-Eau-Service-Client.jpg</v>
      </c>
      <c r="G125" s="24" t="str">
        <f>HYPERLINK("https://www.service-client.veoliaeau.fr/home.html","https://www.service-client.veoliaeau.fr/home.html")</f>
        <v>https://www.service-client.veoliaeau.fr/home.html</v>
      </c>
      <c r="H125" s="2"/>
      <c r="I125" s="2"/>
      <c r="J125" s="2"/>
      <c r="K125" s="2"/>
      <c r="L125" s="2"/>
      <c r="M125" s="2"/>
      <c r="N125" s="2"/>
      <c r="O125" s="2"/>
      <c r="P125" s="2"/>
      <c r="Q125" s="2"/>
      <c r="R125" s="2"/>
      <c r="S125" s="2"/>
      <c r="T125" s="2"/>
      <c r="U125" s="2"/>
      <c r="V125" s="2"/>
      <c r="W125" s="2"/>
      <c r="X125" s="2"/>
      <c r="Y125" s="2"/>
      <c r="Z125" s="2"/>
    </row>
    <row r="126" ht="13.5" customHeight="1" spans="1:26">
      <c r="A126" s="20" t="s">
        <v>556</v>
      </c>
      <c r="B126" s="20" t="s">
        <v>552</v>
      </c>
      <c r="C126" s="20" t="s">
        <v>557</v>
      </c>
      <c r="D126" s="20"/>
      <c r="E126" s="20"/>
      <c r="F126" s="24" t="str">
        <f>HYPERLINK("http://www.assistance-client.fr/wp-content/uploads/2013/01/Veolia-Eau-Service-Client.jpg","http://www.assistance-client.fr/wp-content/uploads/2013/01/Veolia-Eau-Service-Client.jpg")</f>
        <v>http://www.assistance-client.fr/wp-content/uploads/2013/01/Veolia-Eau-Service-Client.jpg</v>
      </c>
      <c r="G126" s="24" t="str">
        <f>HYPERLINK("https://www.service-client.veoliaeau.fr/home.html","https://www.service-client.veoliaeau.fr/home.html")</f>
        <v>https://www.service-client.veoliaeau.fr/home.html</v>
      </c>
      <c r="H126" s="2"/>
      <c r="I126" s="2"/>
      <c r="J126" s="2"/>
      <c r="K126" s="2"/>
      <c r="L126" s="2"/>
      <c r="M126" s="2"/>
      <c r="N126" s="2"/>
      <c r="O126" s="2"/>
      <c r="P126" s="2"/>
      <c r="Q126" s="2"/>
      <c r="R126" s="2"/>
      <c r="S126" s="2"/>
      <c r="T126" s="2"/>
      <c r="U126" s="2"/>
      <c r="V126" s="2"/>
      <c r="W126" s="2"/>
      <c r="X126" s="2"/>
      <c r="Y126" s="2"/>
      <c r="Z126" s="2"/>
    </row>
    <row r="127" ht="13.5" customHeight="1" spans="1:26">
      <c r="A127" s="20" t="s">
        <v>558</v>
      </c>
      <c r="B127" s="20" t="s">
        <v>559</v>
      </c>
      <c r="C127" s="20" t="s">
        <v>560</v>
      </c>
      <c r="D127" s="23">
        <v>40</v>
      </c>
      <c r="E127" s="20" t="s">
        <v>37</v>
      </c>
      <c r="F127" s="24" t="str">
        <f>HYPERLINK("http://www.thecosmocompany.com/wp-content/uploads/2015/03/edf-logo.jpg","http://www.thecosmocompany.com/wp-content/uploads/2015/03/edf-logo.jpg")</f>
        <v>http://www.thecosmocompany.com/wp-content/uploads/2015/03/edf-logo.jpg</v>
      </c>
      <c r="G127" s="24" t="str">
        <f>HYPERLINK("https://www.edf.fr","https://www.edf.fr")</f>
        <v>https://www.edf.fr</v>
      </c>
      <c r="H127" s="2"/>
      <c r="I127" s="2"/>
      <c r="J127" s="2"/>
      <c r="K127" s="2"/>
      <c r="L127" s="2"/>
      <c r="M127" s="2"/>
      <c r="N127" s="2"/>
      <c r="O127" s="2"/>
      <c r="P127" s="2"/>
      <c r="Q127" s="2"/>
      <c r="R127" s="2"/>
      <c r="S127" s="2"/>
      <c r="T127" s="2"/>
      <c r="U127" s="2"/>
      <c r="V127" s="2"/>
      <c r="W127" s="2"/>
      <c r="X127" s="2"/>
      <c r="Y127" s="2"/>
      <c r="Z127" s="2"/>
    </row>
    <row r="128" ht="13.5" customHeight="1" spans="1:26">
      <c r="A128" s="20" t="s">
        <v>563</v>
      </c>
      <c r="B128" s="20" t="s">
        <v>564</v>
      </c>
      <c r="C128" s="20" t="s">
        <v>565</v>
      </c>
      <c r="D128" s="23">
        <v>80</v>
      </c>
      <c r="E128" s="20" t="s">
        <v>37</v>
      </c>
      <c r="F128" s="24" t="str">
        <f>HYPERLINK("http://ycf-club.fr/wp-content/uploads/logo-150-ans.jpg","http://ycf-club.fr/wp-content/uploads/logo-150-ans.jpg")</f>
        <v>http://ycf-club.fr/wp-content/uploads/logo-150-ans.jpg</v>
      </c>
      <c r="G128" s="24" t="str">
        <f>HYPERLINK("http://ycf-club.fr","http://ycf-club.fr")</f>
        <v>http://ycf-club.fr</v>
      </c>
      <c r="H128" s="2"/>
      <c r="I128" s="2"/>
      <c r="J128" s="2"/>
      <c r="K128" s="2"/>
      <c r="L128" s="2"/>
      <c r="M128" s="2"/>
      <c r="N128" s="2"/>
      <c r="O128" s="2"/>
      <c r="P128" s="2"/>
      <c r="Q128" s="2"/>
      <c r="R128" s="2"/>
      <c r="S128" s="2"/>
      <c r="T128" s="2"/>
      <c r="U128" s="2"/>
      <c r="V128" s="2"/>
      <c r="W128" s="2"/>
      <c r="X128" s="2"/>
      <c r="Y128" s="2"/>
      <c r="Z128" s="2"/>
    </row>
    <row r="129" ht="13.5" customHeight="1" spans="1:26">
      <c r="A129" s="35" t="s">
        <v>568</v>
      </c>
      <c r="B129" s="36" t="s">
        <v>569</v>
      </c>
      <c r="C129" s="36" t="s">
        <v>570</v>
      </c>
      <c r="D129" s="2"/>
      <c r="E129" s="2"/>
      <c r="F129" s="9" t="str">
        <f>HYPERLINK("https://upload.wikimedia.org/wikipedia/commons/4/4d/UniCredit_bank%2C_Spielberk_Office_Centre_%282%29.jpg","https://upload.wikimedia.org/wikipedia/commons/4/4d/UniCredit_bank%2C_Spielberk_Office_Centre_%282%29.jpg")</f>
        <v>https://upload.wikimedia.org/wikipedia/commons/4/4d/UniCredit_bank%2C_Spielberk_Office_Centre_%282%29.jpg</v>
      </c>
      <c r="G129" s="9" t="str">
        <f>HYPERLINK("https://www.unicreditbank.eu/","https://www.unicreditbank.eu/")</f>
        <v>https://www.unicreditbank.eu/</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1203</v>
      </c>
      <c r="C130" s="2" t="s">
        <v>570</v>
      </c>
      <c r="D130" s="2"/>
      <c r="E130" s="2"/>
      <c r="F130" s="9" t="str">
        <f>HYPERLINK("http://www.chronicle.lu/images/K7/BGL-Drive-in_Strassen-600.JPG","http://www.chronicle.lu/images/K7/BGL-Drive-in_Strassen-600.JPG")</f>
        <v>http://www.chronicle.lu/images/K7/BGL-Drive-in_Strassen-600.JPG</v>
      </c>
      <c r="G130" s="9" t="str">
        <f>HYPERLINK("https://cib.bnpparibas.com/?&amp;gclid=CIvTt6TOr9QCFXAA0wod9AACkQ&amp;mkwid=sp0g9TTdw_173339207197_%2Bbnp%20%2Beurope_b_c&amp;mtid=23352p1559174&amp;slid=&amp;product_id=","https://cib.bnpparibas.com/?&amp;gclid=CIvTt6TOr9QCFXAA0wod9AACkQ&amp;mkwid=sp0g9TTdw_173339207197_%2Bbnp%20%2Beurope_b_c&amp;mtid=23352p1559174&amp;slid=&amp;product_id=")</f>
        <v>https://cib.bnpparibas.com/?&amp;gclid=CIvTt6TOr9QCFXAA0wod9AACkQ&amp;mkwid=sp0g9TTdw_173339207197_%2Bbnp%20%2Beurope_b_c&amp;mtid=23352p1559174&amp;slid=&amp;product_id=</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8580</v>
      </c>
      <c r="C131" s="20"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5035</v>
      </c>
      <c r="C132" s="20"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582</v>
      </c>
      <c r="C133" s="20"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5037</v>
      </c>
      <c r="C134" s="20"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8581</v>
      </c>
      <c r="C135" s="20"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1209</v>
      </c>
      <c r="C136" s="20" t="s">
        <v>578</v>
      </c>
      <c r="D136" s="2"/>
      <c r="E136" s="2"/>
      <c r="F136" s="9" t="str">
        <f>HYPERLINK("https://smiletrain.org.uk/sites/default/files/smile-train-logo-social-share.jpg","https://smiletrain.org.uk/sites/default/files/smile-train-logo-social-share.jpg")</f>
        <v>https://smiletrain.org.uk/sites/default/files/smile-train-logo-social-share.jpg</v>
      </c>
      <c r="G136" s="9" t="str">
        <f>HYPERLINK("https://www.smiletrain.org","https://www.smiletrain.org")</f>
        <v>https://www.smiletrain.org</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8582</v>
      </c>
      <c r="C137" s="20" t="s">
        <v>578</v>
      </c>
      <c r="D137" s="2"/>
      <c r="E137" s="2"/>
      <c r="F137" s="9" t="str">
        <f>HYPERLINK("http://pawspets.org/wp-content/uploads/2012/04/pawslogo-1.png","http://pawspets.org/wp-content/uploads/2012/04/pawslogo-1.png")</f>
        <v>http://pawspets.org/wp-content/uploads/2012/04/pawslogo-1.png</v>
      </c>
      <c r="G137" s="9" t="str">
        <f>HYPERLINK("http://pawspets.org","http://pawspets.org")</f>
        <v>http://pawspets.org</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8583</v>
      </c>
      <c r="C138" s="20" t="s">
        <v>578</v>
      </c>
      <c r="D138" s="2"/>
      <c r="E138" s="2"/>
      <c r="F138" s="9" t="str">
        <f>HYPERLINK("http://www.rnib.org.uk/sites/default/files/iga-logo2.jpg","http://www.rnib.org.uk/sites/default/files/iga-logo2.jpg")</f>
        <v>http://www.rnib.org.uk/sites/default/files/iga-logo2.jpg</v>
      </c>
      <c r="G138" s="9" t="str">
        <f>HYPERLINK("http://www.glaucoma-association.com","http://www.glaucoma-association.com")</f>
        <v>http://www.glaucoma-association.com</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8584</v>
      </c>
      <c r="C139" s="20" t="s">
        <v>578</v>
      </c>
      <c r="D139" s="2"/>
      <c r="E139" s="2"/>
      <c r="F139" s="9" t="str">
        <f>HYPERLINK("https://www.emmaus-solidarite.org/wp-content/uploads/2015/07/logo.jpg","https://www.emmaus-solidarite.org/wp-content/uploads/2015/07/logo.jpg")</f>
        <v>https://www.emmaus-solidarite.org/wp-content/uploads/2015/07/logo.jpg</v>
      </c>
      <c r="G139" s="9" t="str">
        <f>HYPERLINK("https://www.emmaus-solidarite.org","https://www.emmaus-solidarite.org")</f>
        <v>https://www.emmaus-solidarite.org</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8585</v>
      </c>
      <c r="C140" s="20" t="s">
        <v>578</v>
      </c>
      <c r="D140" s="2"/>
      <c r="E140" s="2"/>
      <c r="F140" s="9" t="str">
        <f>HYPERLINK("https://pbs.twimg.com/profile_images/530671109075505152/xhIqvK3N.jpeg","https://pbs.twimg.com/profile_images/530671109075505152/xhIqvK3N.jpeg")</f>
        <v>https://pbs.twimg.com/profile_images/530671109075505152/xhIqvK3N.jpeg</v>
      </c>
      <c r="G140" s="9" t="str">
        <f>HYPERLINK("http://www.theunion.org/francais","http://www.theunion.org/francais")</f>
        <v>http://www.theunion.org/francais</v>
      </c>
      <c r="H140" s="2"/>
      <c r="I140" s="2"/>
      <c r="J140" s="2"/>
      <c r="K140" s="2"/>
      <c r="L140" s="2"/>
      <c r="M140" s="2"/>
      <c r="N140" s="2"/>
      <c r="O140" s="2"/>
      <c r="P140" s="2"/>
      <c r="Q140" s="2"/>
      <c r="R140" s="2"/>
      <c r="S140" s="2"/>
      <c r="T140" s="2"/>
      <c r="U140" s="2"/>
      <c r="V140" s="2"/>
      <c r="W140" s="2"/>
      <c r="X140" s="2"/>
      <c r="Y140" s="2"/>
      <c r="Z140" s="2"/>
    </row>
    <row r="141" ht="13.5" customHeight="1" spans="1:26">
      <c r="A141" s="2" t="s">
        <v>607</v>
      </c>
      <c r="B141" s="2" t="s">
        <v>1222</v>
      </c>
      <c r="C141" s="20"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2" t="s">
        <v>610</v>
      </c>
      <c r="B142" s="2" t="s">
        <v>611</v>
      </c>
      <c r="C142" s="20"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2" t="s">
        <v>613</v>
      </c>
      <c r="B143" s="2" t="s">
        <v>615</v>
      </c>
      <c r="C143" s="2"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20"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2" t="s">
        <v>619</v>
      </c>
      <c r="B145" s="2" t="s">
        <v>620</v>
      </c>
      <c r="C145" s="20" t="s">
        <v>612</v>
      </c>
      <c r="D145" s="2"/>
      <c r="E145" s="2"/>
      <c r="F145" s="9" t="str">
        <f>HYPERLINK("https://www.jeanne-garnier.org/wp-content/plugins/widgetkit/cache/gallery/1581/001-JG-80a232dd3e.jpg","https://www.jeanne-garnier.org/wp-content/plugins/widgetkit/cache/gallery/1581/001-JG-80a232dd3e.jpg")</f>
        <v>https://www.jeanne-garnier.org/wp-content/plugins/widgetkit/cache/gallery/1581/001-JG-80a232dd3e.jpg</v>
      </c>
      <c r="G145" s="9" t="str">
        <f>HYPERLINK("http://www.jeanne-garnier.org","http://www.jeanne-garnier.org")</f>
        <v>http://www.jeanne-garnier.org</v>
      </c>
      <c r="H145" s="2"/>
      <c r="I145" s="2"/>
      <c r="J145" s="2"/>
      <c r="K145" s="2"/>
      <c r="L145" s="2"/>
      <c r="M145" s="2"/>
      <c r="N145" s="2"/>
      <c r="O145" s="2"/>
      <c r="P145" s="2"/>
      <c r="Q145" s="2"/>
      <c r="R145" s="2"/>
      <c r="S145" s="2"/>
      <c r="T145" s="2"/>
      <c r="U145" s="2"/>
      <c r="V145" s="2"/>
      <c r="W145" s="2"/>
      <c r="X145" s="2"/>
      <c r="Y145" s="2"/>
      <c r="Z145" s="2"/>
    </row>
    <row r="146" ht="13.5" customHeight="1" spans="1:26">
      <c r="A146" s="2" t="s">
        <v>623</v>
      </c>
      <c r="B146" s="2" t="s">
        <v>2331</v>
      </c>
      <c r="C146" s="20" t="s">
        <v>612</v>
      </c>
      <c r="D146" s="2"/>
      <c r="E146" s="2"/>
      <c r="F146" s="9" t="str">
        <f>HYPERLINK("https://pbs.twimg.com/profile_images/378800000254940288/17ecf7675bdc8cc6bf80395a5cd1c59e_400x400.png","https://pbs.twimg.com/profile_images/378800000254940288/17ecf7675bdc8cc6bf80395a5cd1c59e_400x400.png")</f>
        <v>https://pbs.twimg.com/profile_images/378800000254940288/17ecf7675bdc8cc6bf80395a5cd1c59e_400x400.png</v>
      </c>
      <c r="G146" s="9" t="str">
        <f>HYPERLINK("http://hopital-necker.aphp.fr","http://hopital-necker.aphp.fr")</f>
        <v>http://hopital-necker.aphp.fr</v>
      </c>
      <c r="H146" s="2"/>
      <c r="I146" s="2"/>
      <c r="J146" s="2"/>
      <c r="K146" s="2"/>
      <c r="L146" s="2"/>
      <c r="M146" s="2"/>
      <c r="N146" s="2"/>
      <c r="O146" s="2"/>
      <c r="P146" s="2"/>
      <c r="Q146" s="2"/>
      <c r="R146" s="2"/>
      <c r="S146" s="2"/>
      <c r="T146" s="2"/>
      <c r="U146" s="2"/>
      <c r="V146" s="2"/>
      <c r="W146" s="2"/>
      <c r="X146" s="2"/>
      <c r="Y146" s="2"/>
      <c r="Z146" s="2"/>
    </row>
    <row r="147" ht="13.5" customHeight="1" spans="1:26">
      <c r="A147" s="2" t="s">
        <v>627</v>
      </c>
      <c r="B147" s="2" t="s">
        <v>5047</v>
      </c>
      <c r="C147" s="20"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2" t="s">
        <v>629</v>
      </c>
      <c r="B148" s="2" t="s">
        <v>5048</v>
      </c>
      <c r="C148" s="20"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2" t="s">
        <v>631</v>
      </c>
      <c r="B149" s="2" t="s">
        <v>8586</v>
      </c>
      <c r="C149" s="20"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2" t="s">
        <v>633</v>
      </c>
      <c r="B150" s="2" t="s">
        <v>5050</v>
      </c>
      <c r="C150" s="20"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2" t="s">
        <v>635</v>
      </c>
      <c r="B151" s="2" t="s">
        <v>1234</v>
      </c>
      <c r="C151" s="20"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2" t="s">
        <v>637</v>
      </c>
      <c r="B152" s="2" t="s">
        <v>8587</v>
      </c>
      <c r="C152" s="20"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2" t="s">
        <v>639</v>
      </c>
      <c r="B153" s="2" t="s">
        <v>8588</v>
      </c>
      <c r="C153" s="20"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2" t="s">
        <v>641</v>
      </c>
      <c r="B154" s="2" t="s">
        <v>8589</v>
      </c>
      <c r="C154" s="20"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644</v>
      </c>
      <c r="C155" s="20"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2" t="s">
        <v>645</v>
      </c>
      <c r="B156" s="2" t="s">
        <v>644</v>
      </c>
      <c r="C156" s="20" t="s">
        <v>644</v>
      </c>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spans="1:26">
      <c r="A157" s="20" t="s">
        <v>646</v>
      </c>
      <c r="B157" s="20" t="s">
        <v>1239</v>
      </c>
      <c r="C157" s="20" t="s">
        <v>648</v>
      </c>
      <c r="D157" s="23">
        <v>120</v>
      </c>
      <c r="E157" s="20" t="s">
        <v>37</v>
      </c>
      <c r="F157" s="24" t="str">
        <f>HYPERLINK("http://blog.thetrainline.com/wp-content/uploads/2015/08/TL-new-icon1.png","http://blog.thetrainline.com/wp-content/uploads/2015/08/TL-new-icon1.png")</f>
        <v>http://blog.thetrainline.com/wp-content/uploads/2015/08/TL-new-icon1.png</v>
      </c>
      <c r="G157" s="24" t="str">
        <f>HYPERLINK("https://www.thetrainline.com","https://www.thetrainline.com")</f>
        <v>https://www.thetrainline.com</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652</v>
      </c>
      <c r="C158" s="20" t="s">
        <v>653</v>
      </c>
      <c r="D158" s="2"/>
      <c r="E158" s="2"/>
      <c r="F158" s="9" t="str">
        <f>HYPERLINK("http://www.pfca34.org/sites/default/files/styles/200x160/public/interlocuteurs/entrepeneurs_cite_v2.png?itok=oxiyEKkm","http://www.pfca34.org/sites/default/files/styles/200x160/public/interlocuteurs/entrepeneurs_cite_v2.png?itok=oxiyEKkm")</f>
        <v>http://www.pfca34.org/sites/default/files/styles/200x160/public/interlocuteurs/entrepeneurs_cite_v2.png?itok=oxiyEKkm</v>
      </c>
      <c r="G158" s="9" t="str">
        <f>HYPERLINK("http://www.entrepreneursdelacite.org/","http://www.entrepreneursdelacite.org/")</f>
        <v>http://www.entrepreneursdelacite.org/</v>
      </c>
      <c r="H158" s="2"/>
      <c r="I158" s="2"/>
      <c r="J158" s="2"/>
      <c r="K158" s="2"/>
      <c r="L158" s="2"/>
      <c r="M158" s="2"/>
      <c r="N158" s="2"/>
      <c r="O158" s="2"/>
      <c r="P158" s="2"/>
      <c r="Q158" s="2"/>
      <c r="R158" s="2"/>
      <c r="S158" s="2"/>
      <c r="T158" s="2"/>
      <c r="U158" s="2"/>
      <c r="V158" s="2"/>
      <c r="W158" s="2"/>
      <c r="X158" s="2"/>
      <c r="Y158" s="2"/>
      <c r="Z158" s="2"/>
    </row>
    <row r="159" customFormat="1" ht="13.5" customHeight="1" spans="1:26">
      <c r="A159" s="37" t="s">
        <v>3788</v>
      </c>
      <c r="B159" s="2" t="s">
        <v>658</v>
      </c>
      <c r="C159" s="37" t="s">
        <v>658</v>
      </c>
      <c r="D159" s="38"/>
      <c r="E159" s="39"/>
      <c r="F159" s="9" t="s">
        <v>659</v>
      </c>
      <c r="G159" s="9" t="s">
        <v>660</v>
      </c>
      <c r="H159" s="40"/>
      <c r="I159" s="39"/>
      <c r="J159" s="39"/>
      <c r="K159" s="39"/>
      <c r="L159" s="39"/>
      <c r="M159" s="39"/>
      <c r="N159" s="39"/>
      <c r="O159" s="39"/>
      <c r="P159" s="39"/>
      <c r="Q159" s="39"/>
      <c r="R159" s="2"/>
      <c r="S159" s="2"/>
      <c r="T159" s="2"/>
      <c r="U159" s="2"/>
      <c r="V159" s="2"/>
      <c r="W159" s="2"/>
      <c r="X159" s="2"/>
      <c r="Y159" s="2"/>
      <c r="Z159" s="2"/>
    </row>
    <row r="160" customFormat="1" ht="13.5" customHeight="1" spans="1:26">
      <c r="A160" s="2" t="s">
        <v>2344</v>
      </c>
      <c r="B160" s="2" t="s">
        <v>2344</v>
      </c>
      <c r="C160" s="2" t="s">
        <v>658</v>
      </c>
      <c r="D160" s="39"/>
      <c r="E160" s="39"/>
      <c r="F160" s="9" t="str">
        <f>HYPERLINK("https://seeklogo.com/images/M/mastercard-logo-473B8726A9-seeklogo.com.png","https://seeklogo.com/images/M/mastercard-logo-473B8726A9-seeklogo.com.png")</f>
        <v>https://seeklogo.com/images/M/mastercard-logo-473B8726A9-seeklogo.com.png</v>
      </c>
      <c r="G160" s="9" t="str">
        <f>HYPERLINK("https://www.mastercard.com.au/en-au.html","https://www.mastercard.com.au/en-au.html")</f>
        <v>https://www.mastercard.com.au/en-au.html</v>
      </c>
      <c r="H160" s="39"/>
      <c r="I160" s="39"/>
      <c r="J160" s="39"/>
      <c r="K160" s="39"/>
      <c r="L160" s="39"/>
      <c r="M160" s="39"/>
      <c r="N160" s="39"/>
      <c r="O160" s="39"/>
      <c r="P160" s="39"/>
      <c r="Q160" s="39"/>
      <c r="R160" s="2"/>
      <c r="S160" s="2"/>
      <c r="T160" s="2"/>
      <c r="U160" s="2"/>
      <c r="V160" s="2"/>
      <c r="W160" s="2"/>
      <c r="X160" s="2"/>
      <c r="Y160" s="2"/>
      <c r="Z160" s="2"/>
    </row>
    <row r="169" ht="13.5" customHeight="1" spans="1:26">
      <c r="A169" s="20" t="s">
        <v>664</v>
      </c>
      <c r="B169" s="20" t="s">
        <v>665</v>
      </c>
      <c r="C169" s="20" t="s">
        <v>46</v>
      </c>
      <c r="D169" s="20"/>
      <c r="E169" s="20"/>
      <c r="F169" s="24" t="str">
        <f>HYPERLINK("https://privatecarserviceparis.com/wp-content/uploads/2012/06/private-car-service-paris-logo3.png","https://privatecarserviceparis.com/wp-content/uploads/2012/06/private-car-service-paris-logo3.png")</f>
        <v>https://privatecarserviceparis.com/wp-content/uploads/2012/06/private-car-service-paris-logo3.png</v>
      </c>
      <c r="G169" s="24" t="str">
        <f>HYPERLINK("https://www.privatecarserviceparis.com/","https://www.privatecarserviceparis.com/")</f>
        <v>https://www.privatecarserviceparis.com/</v>
      </c>
      <c r="H169" s="2"/>
      <c r="I169" s="2"/>
      <c r="J169" s="2"/>
      <c r="K169" s="2"/>
      <c r="L169" s="2"/>
      <c r="M169" s="2"/>
      <c r="N169" s="2"/>
      <c r="O169" s="2"/>
      <c r="P169" s="2"/>
      <c r="Q169" s="2"/>
      <c r="R169" s="2"/>
      <c r="S169" s="2"/>
      <c r="T169" s="2"/>
      <c r="U169" s="2"/>
      <c r="V169" s="2"/>
      <c r="W169" s="2"/>
      <c r="X169" s="2"/>
      <c r="Y169" s="2"/>
      <c r="Z169" s="2"/>
    </row>
    <row r="170" ht="13.5" customHeight="1" spans="1:26">
      <c r="A170" s="20" t="s">
        <v>668</v>
      </c>
      <c r="B170" s="20" t="s">
        <v>669</v>
      </c>
      <c r="C170" s="20" t="s">
        <v>670</v>
      </c>
      <c r="D170" s="23">
        <v>80</v>
      </c>
      <c r="E170" s="20" t="s">
        <v>671</v>
      </c>
      <c r="F170" s="24" t="str">
        <f>HYPERLINK("http://upload.wikimedia.org/wikipedia/fr/thumb/b/b0/Nicolas_logo.svg/500px-Nicolas_logo.svg.png","http://upload.wikimedia.org/wikipedia/fr/thumb/b/b0/Nicolas_logo.svg/500px-Nicolas_logo.svg.png")</f>
        <v>http://upload.wikimedia.org/wikipedia/fr/thumb/b/b0/Nicolas_logo.svg/500px-Nicolas_logo.svg.png</v>
      </c>
      <c r="G170" s="24" t="str">
        <f>HYPERLINK("http://www.nicolas.com/fr/","www.nicolas.com/fr/")</f>
        <v>www.nicolas.com/fr/</v>
      </c>
      <c r="H170" s="2"/>
      <c r="I170" s="2"/>
      <c r="J170" s="2"/>
      <c r="K170" s="2"/>
      <c r="L170" s="2"/>
      <c r="M170" s="2"/>
      <c r="N170" s="2"/>
      <c r="O170" s="2"/>
      <c r="P170" s="2"/>
      <c r="Q170" s="2"/>
      <c r="R170" s="2"/>
      <c r="S170" s="2"/>
      <c r="T170" s="2"/>
      <c r="U170" s="2"/>
      <c r="V170" s="2"/>
      <c r="W170" s="2"/>
      <c r="X170" s="2"/>
      <c r="Y170" s="2"/>
      <c r="Z170" s="2"/>
    </row>
    <row r="171" ht="13.5" customHeight="1" spans="1:26">
      <c r="A171" s="20" t="s">
        <v>668</v>
      </c>
      <c r="B171" s="20" t="s">
        <v>673</v>
      </c>
      <c r="C171" s="20" t="s">
        <v>674</v>
      </c>
      <c r="D171" s="23">
        <v>50</v>
      </c>
      <c r="E171" s="20" t="s">
        <v>671</v>
      </c>
      <c r="F171" s="24" t="str">
        <f>HYPERLINK("http://upload.wikimedia.org/wikipedia/fr/f/f9/La_Foir'Fouille_logo_2002.png","http://upload.wikimedia.org/wikipedia/fr/f/f9/La_Foir'Fouille_logo_2002.png")</f>
        <v>http://upload.wikimedia.org/wikipedia/fr/f/f9/La_Foir'Fouille_logo_2002.png</v>
      </c>
      <c r="G171" s="24" t="str">
        <f>HYPERLINK("http://www.lafoirfouille.fr/","www.lafoirfouille.fr/")</f>
        <v>www.lafoirfouille.fr/</v>
      </c>
      <c r="H171" s="2"/>
      <c r="I171" s="2"/>
      <c r="J171" s="2"/>
      <c r="K171" s="2"/>
      <c r="L171" s="2"/>
      <c r="M171" s="2"/>
      <c r="N171" s="2"/>
      <c r="O171" s="2"/>
      <c r="P171" s="2"/>
      <c r="Q171" s="2"/>
      <c r="R171" s="2"/>
      <c r="S171" s="2"/>
      <c r="T171" s="2"/>
      <c r="U171" s="2"/>
      <c r="V171" s="2"/>
      <c r="W171" s="2"/>
      <c r="X171" s="2"/>
      <c r="Y171" s="2"/>
      <c r="Z171" s="2"/>
    </row>
    <row r="172" ht="13.5" customHeight="1" spans="1:26">
      <c r="A172" s="20" t="s">
        <v>668</v>
      </c>
      <c r="B172" s="20" t="s">
        <v>8590</v>
      </c>
      <c r="C172" s="20" t="s">
        <v>677</v>
      </c>
      <c r="D172" s="23">
        <v>160</v>
      </c>
      <c r="E172" s="20" t="s">
        <v>97</v>
      </c>
      <c r="F172" s="24" t="str">
        <f>HYPERLINK("http://upload.wikimedia.org/wikipedia/fr/3/3b/Logo_Carrefour.svg","http://upload.wikimedia.org/wikipedia/fr/3/3b/Logo_Carrefour.svg")</f>
        <v>http://upload.wikimedia.org/wikipedia/fr/3/3b/Logo_Carrefour.svg</v>
      </c>
      <c r="G172" s="24" t="str">
        <f>HYPERLINK("http://www.carrefour.fr/","www.carrefour.fr/")</f>
        <v>www.carrefour.fr/</v>
      </c>
      <c r="H172" s="2"/>
      <c r="I172" s="2"/>
      <c r="J172" s="2"/>
      <c r="K172" s="2"/>
      <c r="L172" s="2"/>
      <c r="M172" s="2"/>
      <c r="N172" s="2"/>
      <c r="O172" s="2"/>
      <c r="P172" s="2"/>
      <c r="Q172" s="2"/>
      <c r="R172" s="2"/>
      <c r="S172" s="2"/>
      <c r="T172" s="2"/>
      <c r="U172" s="2"/>
      <c r="V172" s="2"/>
      <c r="W172" s="2"/>
      <c r="X172" s="2"/>
      <c r="Y172" s="2"/>
      <c r="Z172" s="2"/>
    </row>
    <row r="173" ht="13.5" customHeight="1" spans="1:26">
      <c r="A173" s="20" t="s">
        <v>668</v>
      </c>
      <c r="B173" s="20" t="s">
        <v>679</v>
      </c>
      <c r="C173" s="20" t="s">
        <v>680</v>
      </c>
      <c r="D173" s="23">
        <v>150</v>
      </c>
      <c r="E173" s="20" t="s">
        <v>97</v>
      </c>
      <c r="F173" s="24" t="str">
        <f>HYPERLINK("http://upload.wikimedia.org/wikipedia/fr/archive/c/ce/20120504132214!Logo_Auchan.svg","http://upload.wikimedia.org/wikipedia/fr/archive/c/ce/20120504132214!Logo_Auchan.svg")</f>
        <v>http://upload.wikimedia.org/wikipedia/fr/archive/c/ce/20120504132214!Logo_Auchan.svg</v>
      </c>
      <c r="G173" s="24" t="str">
        <f>HYPERLINK("http://www.auchan.fr/","www.auchan.fr/")</f>
        <v>www.auchan.fr/</v>
      </c>
      <c r="H173" s="2"/>
      <c r="I173" s="2"/>
      <c r="J173" s="2"/>
      <c r="K173" s="2"/>
      <c r="L173" s="2"/>
      <c r="M173" s="2"/>
      <c r="N173" s="2"/>
      <c r="O173" s="2"/>
      <c r="P173" s="2"/>
      <c r="Q173" s="2"/>
      <c r="R173" s="2"/>
      <c r="S173" s="2"/>
      <c r="T173" s="2"/>
      <c r="U173" s="2"/>
      <c r="V173" s="2"/>
      <c r="W173" s="2"/>
      <c r="X173" s="2"/>
      <c r="Y173" s="2"/>
      <c r="Z173" s="2"/>
    </row>
    <row r="174" ht="13.5" customHeight="1" spans="1:26">
      <c r="A174" s="20" t="s">
        <v>668</v>
      </c>
      <c r="B174" s="20" t="s">
        <v>682</v>
      </c>
      <c r="C174" s="20" t="s">
        <v>683</v>
      </c>
      <c r="D174" s="23">
        <v>200</v>
      </c>
      <c r="E174" s="20" t="s">
        <v>684</v>
      </c>
      <c r="F174" s="24" t="str">
        <f>HYPERLINK("http://upload.wikimedia.org/wikipedia/commons/thumb/c/c5/Ikea_logo.svg/2000px-Ikea_logo.svg.png","http://upload.wikimedia.org/wikipedia/commons/thumb/c/c5/Ikea_logo.svg/2000px-Ikea_logo.svg.png")</f>
        <v>http://upload.wikimedia.org/wikipedia/commons/thumb/c/c5/Ikea_logo.svg/2000px-Ikea_logo.svg.png</v>
      </c>
      <c r="G174" s="24" t="str">
        <f>HYPERLINK("http://www.ikea.com/","www.ikea.com/")</f>
        <v>www.ikea.com/</v>
      </c>
      <c r="H174" s="2"/>
      <c r="I174" s="2"/>
      <c r="J174" s="2"/>
      <c r="K174" s="2"/>
      <c r="L174" s="2"/>
      <c r="M174" s="2"/>
      <c r="N174" s="2"/>
      <c r="O174" s="2"/>
      <c r="P174" s="2"/>
      <c r="Q174" s="2"/>
      <c r="R174" s="2"/>
      <c r="S174" s="2"/>
      <c r="T174" s="2"/>
      <c r="U174" s="2"/>
      <c r="V174" s="2"/>
      <c r="W174" s="2"/>
      <c r="X174" s="2"/>
      <c r="Y174" s="2"/>
      <c r="Z174" s="2"/>
    </row>
    <row r="175" ht="13.5" customHeight="1" spans="1:26">
      <c r="A175" s="20" t="s">
        <v>686</v>
      </c>
      <c r="B175" s="20" t="s">
        <v>687</v>
      </c>
      <c r="C175" s="20" t="s">
        <v>688</v>
      </c>
      <c r="D175" s="23">
        <v>100</v>
      </c>
      <c r="E175" s="20" t="s">
        <v>671</v>
      </c>
      <c r="F175" s="24" t="str">
        <f>HYPERLINK("http://fr.wilogo.com/images/svg/gdf_suez_logo.svg","http://fr.wilogo.com/images/svg/gdf_suez_logo.svg")</f>
        <v>http://fr.wilogo.com/images/svg/gdf_suez_logo.svg</v>
      </c>
      <c r="G175" s="24" t="str">
        <f>HYPERLINK("http://www.gdfsuez.com/","www.gdfsuez.com/")</f>
        <v>www.gdfsuez.com/</v>
      </c>
      <c r="H175" s="2"/>
      <c r="I175" s="2"/>
      <c r="J175" s="2"/>
      <c r="K175" s="2"/>
      <c r="L175" s="2"/>
      <c r="M175" s="2"/>
      <c r="N175" s="2"/>
      <c r="O175" s="2"/>
      <c r="P175" s="2"/>
      <c r="Q175" s="2"/>
      <c r="R175" s="2"/>
      <c r="S175" s="2"/>
      <c r="T175" s="2"/>
      <c r="U175" s="2"/>
      <c r="V175" s="2"/>
      <c r="W175" s="2"/>
      <c r="X175" s="2"/>
      <c r="Y175" s="2"/>
      <c r="Z175" s="2"/>
    </row>
    <row r="176" ht="13.5" customHeight="1" spans="1:26">
      <c r="A176" s="20" t="s">
        <v>91</v>
      </c>
      <c r="B176" s="20" t="s">
        <v>690</v>
      </c>
      <c r="C176" s="20" t="s">
        <v>91</v>
      </c>
      <c r="D176" s="20"/>
      <c r="E176" s="20"/>
      <c r="F176" s="24" t="str">
        <f>HYPERLINK("http://cd3.girlsguidetoparis.com/wp-content/uploads/2015/05/sold-sign.jpg?937064","http://cd3.girlsguidetoparis.com/wp-content/uploads/2015/05/sold-sign.jpg?937064")</f>
        <v>http://cd3.girlsguidetoparis.com/wp-content/uploads/2015/05/sold-sign.jpg?937064</v>
      </c>
      <c r="G176" s="24" t="str">
        <f>HYPERLINK("http://www.paris-property.com/","http://www.paris-property.com/")</f>
        <v>http://www.paris-property.com/</v>
      </c>
      <c r="H176" s="2"/>
      <c r="I176" s="2"/>
      <c r="J176" s="2"/>
      <c r="K176" s="2"/>
      <c r="L176" s="2"/>
      <c r="M176" s="2"/>
      <c r="N176" s="2"/>
      <c r="O176" s="2"/>
      <c r="P176" s="2"/>
      <c r="Q176" s="2"/>
      <c r="R176" s="2"/>
      <c r="S176" s="2"/>
      <c r="T176" s="2"/>
      <c r="U176" s="2"/>
      <c r="V176" s="2"/>
      <c r="W176" s="2"/>
      <c r="X176" s="2"/>
      <c r="Y176" s="2"/>
      <c r="Z176" s="2"/>
    </row>
    <row r="177" ht="13.5" customHeight="1" spans="1:26">
      <c r="A177" s="20" t="s">
        <v>680</v>
      </c>
      <c r="B177" s="20" t="s">
        <v>693</v>
      </c>
      <c r="C177" s="20" t="s">
        <v>680</v>
      </c>
      <c r="D177" s="23">
        <v>80</v>
      </c>
      <c r="E177" s="20" t="s">
        <v>97</v>
      </c>
      <c r="F177" s="24" t="str">
        <f>HYPERLINK("http://upload.wikimedia.org/wikipedia/commons/archive/0/0a/20141103162920%21Monoprix_logo.svg","http://upload.wikimedia.org/wikipedia/commons/archive/0/0a/20141103162920%21Monoprix_logo.svg")</f>
        <v>http://upload.wikimedia.org/wikipedia/commons/archive/0/0a/20141103162920%21Monoprix_logo.svg</v>
      </c>
      <c r="G177" s="24" t="str">
        <f>HYPERLINK("http://www.monoprix.fr/","http://www.monoprix.fr/")</f>
        <v>http://www.monoprix.fr/</v>
      </c>
      <c r="H177" s="2"/>
      <c r="I177" s="2"/>
      <c r="J177" s="2"/>
      <c r="K177" s="2"/>
      <c r="L177" s="2"/>
      <c r="M177" s="2"/>
      <c r="N177" s="2"/>
      <c r="O177" s="2"/>
      <c r="P177" s="2"/>
      <c r="Q177" s="2"/>
      <c r="R177" s="2"/>
      <c r="S177" s="2"/>
      <c r="T177" s="2"/>
      <c r="U177" s="2"/>
      <c r="V177" s="2"/>
      <c r="W177" s="2"/>
      <c r="X177" s="2"/>
      <c r="Y177" s="2"/>
      <c r="Z177" s="2"/>
    </row>
    <row r="178" ht="13.5" customHeight="1" spans="1:26">
      <c r="A178" s="20" t="s">
        <v>680</v>
      </c>
      <c r="B178" s="20" t="s">
        <v>695</v>
      </c>
      <c r="C178" s="20" t="s">
        <v>680</v>
      </c>
      <c r="D178" s="23">
        <v>60</v>
      </c>
      <c r="E178" s="20" t="s">
        <v>97</v>
      </c>
      <c r="F178" s="24" t="str">
        <f>HYPERLINK("http://logos.wikia.com/wiki/Simply_Market","http://logos.wikia.com/wiki/Simply_Market")</f>
        <v>http://logos.wikia.com/wiki/Simply_Market</v>
      </c>
      <c r="G178" s="24" t="str">
        <f>HYPERLINK("http://www.simplymarket.fr/","http://www.simplymarket.fr/")</f>
        <v>http://www.simplymarket.fr/</v>
      </c>
      <c r="H178" s="2"/>
      <c r="I178" s="2"/>
      <c r="J178" s="2"/>
      <c r="K178" s="2"/>
      <c r="L178" s="2"/>
      <c r="M178" s="2"/>
      <c r="N178" s="2"/>
      <c r="O178" s="2"/>
      <c r="P178" s="2"/>
      <c r="Q178" s="2"/>
      <c r="R178" s="2"/>
      <c r="S178" s="2"/>
      <c r="T178" s="2"/>
      <c r="U178" s="2"/>
      <c r="V178" s="2"/>
      <c r="W178" s="2"/>
      <c r="X178" s="2"/>
      <c r="Y178" s="2"/>
      <c r="Z178" s="2"/>
    </row>
    <row r="179" ht="13.5" customHeight="1" spans="1:26">
      <c r="A179" s="20" t="s">
        <v>680</v>
      </c>
      <c r="B179" s="20" t="s">
        <v>132</v>
      </c>
      <c r="C179" s="20" t="s">
        <v>680</v>
      </c>
      <c r="D179" s="23">
        <v>40</v>
      </c>
      <c r="E179" s="20" t="s">
        <v>97</v>
      </c>
      <c r="F179" s="24" t="str">
        <f>HYPERLINK("http://upload.wikimedia.org/wikipedia/fr/9/90/Supermarch%C3%A9s_G20_logo_2011.png","http://upload.wikimedia.org/wikipedia/fr/9/90/Supermarch%C3%A9s_G20_logo_2011.png")</f>
        <v>http://upload.wikimedia.org/wikipedia/fr/9/90/Supermarch%C3%A9s_G20_logo_2011.png</v>
      </c>
      <c r="G179" s="24" t="str">
        <f>HYPERLINK("http://www.supermarchesg20.com/","http://www.supermarchesg20.com/")</f>
        <v>http://www.supermarchesg20.com/</v>
      </c>
      <c r="H179" s="2"/>
      <c r="I179" s="2"/>
      <c r="J179" s="2"/>
      <c r="K179" s="2"/>
      <c r="L179" s="2"/>
      <c r="M179" s="2"/>
      <c r="N179" s="2"/>
      <c r="O179" s="2"/>
      <c r="P179" s="2"/>
      <c r="Q179" s="2"/>
      <c r="R179" s="2"/>
      <c r="S179" s="2"/>
      <c r="T179" s="2"/>
      <c r="U179" s="2"/>
      <c r="V179" s="2"/>
      <c r="W179" s="2"/>
      <c r="X179" s="2"/>
      <c r="Y179" s="2"/>
      <c r="Z179" s="2"/>
    </row>
    <row r="180" ht="13.5" customHeight="1" spans="1:26">
      <c r="A180" s="20" t="s">
        <v>680</v>
      </c>
      <c r="B180" s="20" t="s">
        <v>699</v>
      </c>
      <c r="C180" s="20" t="s">
        <v>680</v>
      </c>
      <c r="D180" s="23">
        <v>40</v>
      </c>
      <c r="E180" s="20" t="s">
        <v>97</v>
      </c>
      <c r="F180" s="24" t="str">
        <f>HYPERLINK("http://upload.wikimedia.org/wikipedia/fr/3/3e/Franprix_logo.png","http://upload.wikimedia.org/wikipedia/fr/3/3e/Franprix_logo.png")</f>
        <v>http://upload.wikimedia.org/wikipedia/fr/3/3e/Franprix_logo.png</v>
      </c>
      <c r="G180" s="24" t="str">
        <f>HYPERLINK("http://www.franprix.fr/","http://www.franprix.fr/")</f>
        <v>http://www.franprix.fr/</v>
      </c>
      <c r="H180" s="2"/>
      <c r="I180" s="2"/>
      <c r="J180" s="2"/>
      <c r="K180" s="2"/>
      <c r="L180" s="2"/>
      <c r="M180" s="2"/>
      <c r="N180" s="2"/>
      <c r="O180" s="2"/>
      <c r="P180" s="2"/>
      <c r="Q180" s="2"/>
      <c r="R180" s="2"/>
      <c r="S180" s="2"/>
      <c r="T180" s="2"/>
      <c r="U180" s="2"/>
      <c r="V180" s="2"/>
      <c r="W180" s="2"/>
      <c r="X180" s="2"/>
      <c r="Y180" s="2"/>
      <c r="Z180" s="2"/>
    </row>
    <row r="181" ht="13.5" customHeight="1" spans="1:26">
      <c r="A181" s="20" t="s">
        <v>701</v>
      </c>
      <c r="B181" s="20" t="s">
        <v>702</v>
      </c>
      <c r="C181" s="20" t="s">
        <v>703</v>
      </c>
      <c r="D181" s="23">
        <v>30</v>
      </c>
      <c r="E181" s="20" t="s">
        <v>671</v>
      </c>
      <c r="F181" s="24" t="str">
        <f>HYPERLINK("http://www.pharmacie-monge.fr/media/wysiwyg/logo-new.jpg","http://www.pharmacie-monge.fr/media/wysiwyg/logo-new.jpg")</f>
        <v>http://www.pharmacie-monge.fr/media/wysiwyg/logo-new.jpg</v>
      </c>
      <c r="G181" s="24" t="str">
        <f>HYPERLINK("http://www.pharmacie-monge.fr/","www.pharmacie-monge.fr/")</f>
        <v>www.pharmacie-monge.fr/</v>
      </c>
      <c r="H181" s="2"/>
      <c r="I181" s="2"/>
      <c r="J181" s="2"/>
      <c r="K181" s="2"/>
      <c r="L181" s="2"/>
      <c r="M181" s="2"/>
      <c r="N181" s="2"/>
      <c r="O181" s="2"/>
      <c r="P181" s="2"/>
      <c r="Q181" s="2"/>
      <c r="R181" s="2"/>
      <c r="S181" s="2"/>
      <c r="T181" s="2"/>
      <c r="U181" s="2"/>
      <c r="V181" s="2"/>
      <c r="W181" s="2"/>
      <c r="X181" s="2"/>
      <c r="Y181" s="2"/>
      <c r="Z181" s="2"/>
    </row>
    <row r="182" ht="13.5" customHeight="1" spans="1:26">
      <c r="A182" s="20" t="s">
        <v>701</v>
      </c>
      <c r="B182" s="20" t="s">
        <v>705</v>
      </c>
      <c r="C182" s="20" t="s">
        <v>706</v>
      </c>
      <c r="D182" s="23">
        <v>200</v>
      </c>
      <c r="E182" s="20" t="s">
        <v>707</v>
      </c>
      <c r="F182" s="24" t="str">
        <f>HYPERLINK("http://upload.wikimedia.org/wikipedia/commons/c/ca/Logo_opticalcenter.jpg","http://upload.wikimedia.org/wikipedia/commons/c/ca/Logo_opticalcenter.jpg")</f>
        <v>http://upload.wikimedia.org/wikipedia/commons/c/ca/Logo_opticalcenter.jpg</v>
      </c>
      <c r="G182" s="24" t="str">
        <f>HYPERLINK("http://www.optical-center.fr/","www.optical-center.fr/")</f>
        <v>www.optical-center.fr/</v>
      </c>
      <c r="H182" s="2"/>
      <c r="I182" s="2"/>
      <c r="J182" s="2"/>
      <c r="K182" s="2"/>
      <c r="L182" s="2"/>
      <c r="M182" s="2"/>
      <c r="N182" s="2"/>
      <c r="O182" s="2"/>
      <c r="P182" s="2"/>
      <c r="Q182" s="2"/>
      <c r="R182" s="2"/>
      <c r="S182" s="2"/>
      <c r="T182" s="2"/>
      <c r="U182" s="2"/>
      <c r="V182" s="2"/>
      <c r="W182" s="2"/>
      <c r="X182" s="2"/>
      <c r="Y182" s="2"/>
      <c r="Z182" s="2"/>
    </row>
    <row r="183" ht="13.5" customHeight="1" spans="1:26">
      <c r="A183" s="20" t="s">
        <v>701</v>
      </c>
      <c r="B183" s="20" t="s">
        <v>709</v>
      </c>
      <c r="C183" s="20" t="s">
        <v>710</v>
      </c>
      <c r="D183" s="23">
        <v>100</v>
      </c>
      <c r="E183" s="20" t="s">
        <v>707</v>
      </c>
      <c r="F183" s="20" t="s">
        <v>711</v>
      </c>
      <c r="G183" s="24" t="str">
        <f>HYPERLINK("http://centredentairesaintlazare.com/","centredentairesaintlazare.com/")</f>
        <v>centredentairesaintlazare.com/</v>
      </c>
      <c r="H183" s="2"/>
      <c r="I183" s="2"/>
      <c r="J183" s="2"/>
      <c r="K183" s="2"/>
      <c r="L183" s="2"/>
      <c r="M183" s="2"/>
      <c r="N183" s="2"/>
      <c r="O183" s="2"/>
      <c r="P183" s="2"/>
      <c r="Q183" s="2"/>
      <c r="R183" s="2"/>
      <c r="S183" s="2"/>
      <c r="T183" s="2"/>
      <c r="U183" s="2"/>
      <c r="V183" s="2"/>
      <c r="W183" s="2"/>
      <c r="X183" s="2"/>
      <c r="Y183" s="2"/>
      <c r="Z183" s="2"/>
    </row>
    <row r="184" ht="13.5" customHeight="1" spans="1:26">
      <c r="A184" s="20" t="s">
        <v>713</v>
      </c>
      <c r="B184" s="20" t="s">
        <v>714</v>
      </c>
      <c r="C184" s="20" t="s">
        <v>715</v>
      </c>
      <c r="D184" s="23">
        <v>20</v>
      </c>
      <c r="E184" s="20" t="s">
        <v>671</v>
      </c>
      <c r="F184" s="24" t="str">
        <f>HYPERLINK("http://www.ojd.com/var/ojd/storage/files/logos/C/logo_1733.jpg","http://www.ojd.com/var/ojd/storage/files/logos/C/logo_1733.jpg")</f>
        <v>http://www.ojd.com/var/ojd/storage/files/logos/C/logo_1733.jpg</v>
      </c>
      <c r="G184" s="28" t="str">
        <f>HYPERLINK("http://www.cinemasgaumontpathe.com/","www.cinemasgaumontpathe.com/")</f>
        <v>www.cinemasgaumontpathe.com/</v>
      </c>
      <c r="H184" s="2"/>
      <c r="I184" s="2"/>
      <c r="J184" s="2"/>
      <c r="K184" s="2"/>
      <c r="L184" s="2"/>
      <c r="M184" s="2"/>
      <c r="N184" s="2"/>
      <c r="O184" s="2"/>
      <c r="P184" s="2"/>
      <c r="Q184" s="2"/>
      <c r="R184" s="2"/>
      <c r="S184" s="2"/>
      <c r="T184" s="2"/>
      <c r="U184" s="2"/>
      <c r="V184" s="2"/>
      <c r="W184" s="2"/>
      <c r="X184" s="2"/>
      <c r="Y184" s="2"/>
      <c r="Z184" s="2"/>
    </row>
    <row r="185" ht="13.5" customHeight="1" spans="1:26">
      <c r="A185" s="20" t="s">
        <v>713</v>
      </c>
      <c r="B185" s="20" t="s">
        <v>717</v>
      </c>
      <c r="C185" s="20" t="s">
        <v>715</v>
      </c>
      <c r="D185" s="23">
        <v>20</v>
      </c>
      <c r="E185" s="20" t="s">
        <v>671</v>
      </c>
      <c r="F185" s="24" t="str">
        <f>HYPERLINK("http://www.mk2pro.com/logotheque/corporate/mk2_0_100_100_0.jpg","http://www.mk2pro.com/logotheque/corporate/mk2_0_100_100_0.jpg")</f>
        <v>http://www.mk2pro.com/logotheque/corporate/mk2_0_100_100_0.jpg</v>
      </c>
      <c r="G185" s="28" t="str">
        <f>HYPERLINK("http://www.mk2.com/","www.mk2.com/")</f>
        <v>www.mk2.com/</v>
      </c>
      <c r="H185" s="2"/>
      <c r="I185" s="2"/>
      <c r="J185" s="2"/>
      <c r="K185" s="2"/>
      <c r="L185" s="2"/>
      <c r="M185" s="2"/>
      <c r="N185" s="2"/>
      <c r="O185" s="2"/>
      <c r="P185" s="2"/>
      <c r="Q185" s="2"/>
      <c r="R185" s="2"/>
      <c r="S185" s="2"/>
      <c r="T185" s="2"/>
      <c r="U185" s="2"/>
      <c r="V185" s="2"/>
      <c r="W185" s="2"/>
      <c r="X185" s="2"/>
      <c r="Y185" s="2"/>
      <c r="Z185" s="2"/>
    </row>
    <row r="186" ht="13.5" customHeight="1" spans="1:26">
      <c r="A186" s="20" t="s">
        <v>713</v>
      </c>
      <c r="B186" s="20" t="s">
        <v>719</v>
      </c>
      <c r="C186" s="20" t="s">
        <v>715</v>
      </c>
      <c r="D186" s="23">
        <v>20</v>
      </c>
      <c r="E186" s="20" t="s">
        <v>671</v>
      </c>
      <c r="F186" s="24" t="str">
        <f>HYPERLINK("http://upload.wikimedia.org/wikipedia/fr/1/18/Logo_UGC.png","http://upload.wikimedia.org/wikipedia/fr/1/18/Logo_UGC.png")</f>
        <v>http://upload.wikimedia.org/wikipedia/fr/1/18/Logo_UGC.png</v>
      </c>
      <c r="G186" s="29" t="str">
        <f>HYPERLINK("http://www.ugc.fr/","www.ugc.fr/")</f>
        <v>www.ugc.fr/</v>
      </c>
      <c r="H186" s="2"/>
      <c r="I186" s="2"/>
      <c r="J186" s="2"/>
      <c r="K186" s="2"/>
      <c r="L186" s="2"/>
      <c r="M186" s="2"/>
      <c r="N186" s="2"/>
      <c r="O186" s="2"/>
      <c r="P186" s="2"/>
      <c r="Q186" s="2"/>
      <c r="R186" s="2"/>
      <c r="S186" s="2"/>
      <c r="T186" s="2"/>
      <c r="U186" s="2"/>
      <c r="V186" s="2"/>
      <c r="W186" s="2"/>
      <c r="X186" s="2"/>
      <c r="Y186" s="2"/>
      <c r="Z186" s="2"/>
    </row>
    <row r="187" ht="13.5" customHeight="1" spans="1:26">
      <c r="A187" s="20" t="s">
        <v>721</v>
      </c>
      <c r="B187" s="20" t="s">
        <v>722</v>
      </c>
      <c r="C187" s="20" t="s">
        <v>723</v>
      </c>
      <c r="D187" s="23">
        <v>25</v>
      </c>
      <c r="E187" s="20" t="s">
        <v>97</v>
      </c>
      <c r="F187" s="24" t="str">
        <f>HYPERLINK("http://upload.wikimedia.org/wikipedia/fr/2/2a/Logo-laposte.png","http://upload.wikimedia.org/wikipedia/fr/2/2a/Logo-laposte.png")</f>
        <v>http://upload.wikimedia.org/wikipedia/fr/2/2a/Logo-laposte.png</v>
      </c>
      <c r="G187" s="24" t="str">
        <f>HYPERLINK("http://www.laposte.fr/","www.laposte.fr/")</f>
        <v>www.laposte.fr/</v>
      </c>
      <c r="H187" s="2"/>
      <c r="I187" s="2"/>
      <c r="J187" s="2"/>
      <c r="K187" s="2"/>
      <c r="L187" s="2"/>
      <c r="M187" s="2"/>
      <c r="N187" s="2"/>
      <c r="O187" s="2"/>
      <c r="P187" s="2"/>
      <c r="Q187" s="2"/>
      <c r="R187" s="2"/>
      <c r="S187" s="2"/>
      <c r="T187" s="2"/>
      <c r="U187" s="2"/>
      <c r="V187" s="2"/>
      <c r="W187" s="2"/>
      <c r="X187" s="2"/>
      <c r="Y187" s="2"/>
      <c r="Z187" s="2"/>
    </row>
    <row r="188" ht="13.5" customHeight="1" spans="1:26">
      <c r="A188" s="20" t="s">
        <v>721</v>
      </c>
      <c r="B188" s="20" t="s">
        <v>725</v>
      </c>
      <c r="C188" s="20" t="s">
        <v>726</v>
      </c>
      <c r="D188" s="23">
        <v>40</v>
      </c>
      <c r="E188" s="20" t="s">
        <v>671</v>
      </c>
      <c r="F188" s="24" t="str">
        <f>HYPERLINK("http://www.actulogo.fr/wp-content/uploads/2010/03/monceau_niou.jpg","http://www.actulogo.fr/wp-content/uploads/2010/03/monceau_niou.jpg")</f>
        <v>http://www.actulogo.fr/wp-content/uploads/2010/03/monceau_niou.jpg</v>
      </c>
      <c r="G188" s="28" t="str">
        <f>HYPERLINK("http://www.monceaufleurs.com/","www.monceaufleurs.com/")</f>
        <v>www.monceaufleurs.com/</v>
      </c>
      <c r="H188" s="2"/>
      <c r="I188" s="2"/>
      <c r="J188" s="2"/>
      <c r="K188" s="2"/>
      <c r="L188" s="2"/>
      <c r="M188" s="2"/>
      <c r="N188" s="2"/>
      <c r="O188" s="2"/>
      <c r="P188" s="2"/>
      <c r="Q188" s="2"/>
      <c r="R188" s="2"/>
      <c r="S188" s="2"/>
      <c r="T188" s="2"/>
      <c r="U188" s="2"/>
      <c r="V188" s="2"/>
      <c r="W188" s="2"/>
      <c r="X188" s="2"/>
      <c r="Y188" s="2"/>
      <c r="Z188" s="2"/>
    </row>
    <row r="189" ht="13.5" customHeight="1" spans="1:26">
      <c r="A189" s="20" t="s">
        <v>728</v>
      </c>
      <c r="B189" s="20" t="s">
        <v>8591</v>
      </c>
      <c r="C189" s="20" t="s">
        <v>730</v>
      </c>
      <c r="D189" s="23">
        <v>350</v>
      </c>
      <c r="E189" s="20" t="s">
        <v>684</v>
      </c>
      <c r="F189" s="24" t="str">
        <f>HYPERLINK("http://upload.wikimedia.org/wikipedia/fr/thumb/b/b0/Darty.svg/1024px-Darty.svg.png","http://upload.wikimedia.org/wikipedia/fr/thumb/b/b0/Darty.svg/1024px-Darty.svg.png")</f>
        <v>http://upload.wikimedia.org/wikipedia/fr/thumb/b/b0/Darty.svg/1024px-Darty.svg.png</v>
      </c>
      <c r="G189" s="28" t="str">
        <f>HYPERLINK("http://www.darty.com/","www.darty.com/")</f>
        <v>www.darty.com/</v>
      </c>
      <c r="H189" s="2"/>
      <c r="I189" s="2"/>
      <c r="J189" s="2"/>
      <c r="K189" s="2"/>
      <c r="L189" s="2"/>
      <c r="M189" s="2"/>
      <c r="N189" s="2"/>
      <c r="O189" s="2"/>
      <c r="P189" s="2"/>
      <c r="Q189" s="2"/>
      <c r="R189" s="2"/>
      <c r="S189" s="2"/>
      <c r="T189" s="2"/>
      <c r="U189" s="2"/>
      <c r="V189" s="2"/>
      <c r="W189" s="2"/>
      <c r="X189" s="2"/>
      <c r="Y189" s="2"/>
      <c r="Z189" s="2"/>
    </row>
    <row r="190" ht="13.5" customHeight="1" spans="1:26">
      <c r="A190" s="20" t="s">
        <v>728</v>
      </c>
      <c r="B190" s="20" t="s">
        <v>732</v>
      </c>
      <c r="C190" s="20" t="s">
        <v>733</v>
      </c>
      <c r="D190" s="23">
        <v>120</v>
      </c>
      <c r="E190" s="20" t="s">
        <v>671</v>
      </c>
      <c r="F190" s="24" t="str">
        <f>HYPERLINK("http://upload.wikimedia.org/wikipedia/en/thumb/e/ea/Fnac.svg/1024px-Fnac.svg.png","http://upload.wikimedia.org/wikipedia/en/thumb/e/ea/Fnac.svg/1024px-Fnac.svg.png")</f>
        <v>http://upload.wikimedia.org/wikipedia/en/thumb/e/ea/Fnac.svg/1024px-Fnac.svg.png</v>
      </c>
      <c r="G190" s="28" t="str">
        <f>HYPERLINK("http://www.fnac.com/","www.fnac.com/")</f>
        <v>www.fnac.com/</v>
      </c>
      <c r="H190" s="2"/>
      <c r="I190" s="2"/>
      <c r="J190" s="2"/>
      <c r="K190" s="2"/>
      <c r="L190" s="2"/>
      <c r="M190" s="2"/>
      <c r="N190" s="2"/>
      <c r="O190" s="2"/>
      <c r="P190" s="2"/>
      <c r="Q190" s="2"/>
      <c r="R190" s="2"/>
      <c r="S190" s="2"/>
      <c r="T190" s="2"/>
      <c r="U190" s="2"/>
      <c r="V190" s="2"/>
      <c r="W190" s="2"/>
      <c r="X190" s="2"/>
      <c r="Y190" s="2"/>
      <c r="Z190" s="2"/>
    </row>
    <row r="191" ht="13.5" customHeight="1" spans="1:26">
      <c r="A191" s="20" t="s">
        <v>728</v>
      </c>
      <c r="B191" s="20" t="s">
        <v>735</v>
      </c>
      <c r="C191" s="20" t="s">
        <v>730</v>
      </c>
      <c r="D191" s="23">
        <v>350</v>
      </c>
      <c r="E191" s="20" t="s">
        <v>671</v>
      </c>
      <c r="F191" s="24" t="str">
        <f>HYPERLINK("http://www.userlogos.org/files/logos/Karmody/Boulanger_02.png","http://www.userlogos.org/files/logos/Karmody/Boulanger_02.png")</f>
        <v>http://www.userlogos.org/files/logos/Karmody/Boulanger_02.png</v>
      </c>
      <c r="G191" s="28" t="str">
        <f>HYPERLINK("http://www.boulanger.com/","www.boulanger.com/")</f>
        <v>www.boulanger.com/</v>
      </c>
      <c r="H191" s="2"/>
      <c r="I191" s="2"/>
      <c r="J191" s="2"/>
      <c r="K191" s="2"/>
      <c r="L191" s="2"/>
      <c r="M191" s="2"/>
      <c r="N191" s="2"/>
      <c r="O191" s="2"/>
      <c r="P191" s="2"/>
      <c r="Q191" s="2"/>
      <c r="R191" s="2"/>
      <c r="S191" s="2"/>
      <c r="T191" s="2"/>
      <c r="U191" s="2"/>
      <c r="V191" s="2"/>
      <c r="W191" s="2"/>
      <c r="X191" s="2"/>
      <c r="Y191" s="2"/>
      <c r="Z191" s="2"/>
    </row>
    <row r="192" ht="13.5" customHeight="1" spans="1:26">
      <c r="A192" s="20" t="s">
        <v>728</v>
      </c>
      <c r="B192" s="24" t="str">
        <f>HYPERLINK("http://PRICEMINISTER.COM","PRICEMINISTER.COM")</f>
        <v>PRICEMINISTER.COM</v>
      </c>
      <c r="C192" s="20" t="s">
        <v>730</v>
      </c>
      <c r="D192" s="23">
        <v>150</v>
      </c>
      <c r="E192" s="20" t="s">
        <v>671</v>
      </c>
      <c r="F192" s="24" t="str">
        <f>HYPERLINK("http://upload.wikimedia.org/wikipedia/commons/f/ff/Logo_priceminister.svg","http://upload.wikimedia.org/wikipedia/commons/f/ff/Logo_priceminister.svg")</f>
        <v>http://upload.wikimedia.org/wikipedia/commons/f/ff/Logo_priceminister.svg</v>
      </c>
      <c r="G192" s="28" t="str">
        <f>HYPERLINK("http://www.priceminister.com/","www.priceminister.com/")</f>
        <v>www.priceminister.com/</v>
      </c>
      <c r="H192" s="2"/>
      <c r="I192" s="2"/>
      <c r="J192" s="2"/>
      <c r="K192" s="2"/>
      <c r="L192" s="2"/>
      <c r="M192" s="2"/>
      <c r="N192" s="2"/>
      <c r="O192" s="2"/>
      <c r="P192" s="2"/>
      <c r="Q192" s="2"/>
      <c r="R192" s="2"/>
      <c r="S192" s="2"/>
      <c r="T192" s="2"/>
      <c r="U192" s="2"/>
      <c r="V192" s="2"/>
      <c r="W192" s="2"/>
      <c r="X192" s="2"/>
      <c r="Y192" s="2"/>
      <c r="Z192" s="2"/>
    </row>
    <row r="193" ht="13.5" customHeight="1" spans="1:26">
      <c r="A193" s="20" t="s">
        <v>195</v>
      </c>
      <c r="B193" s="20" t="s">
        <v>739</v>
      </c>
      <c r="C193" s="20" t="s">
        <v>195</v>
      </c>
      <c r="D193" s="20"/>
      <c r="E193" s="20"/>
      <c r="F193" s="24" t="str">
        <f>HYPERLINK("http://www.gaerner.ch/medias/logo.png?context=bWFzdGVyfHJvb3R8Njk4NjZ8aW1hZ2UvcG5nfGhmZi9oNjUvODgyMDU3MDk0NzYxNC5wbmd8LQ","http://www.gaerner.ch/medias/logo.png?context=bWFzdGVyfHJvb3R8Njk4NjZ8aW1hZ2UvcG5nfGhmZi9oNjUvODgyMDU3MDk0NzYxNC5wbmd8LQ")</f>
        <v>http://www.gaerner.ch/medias/logo.png?context=bWFzdGVyfHJvb3R8Njk4NjZ8aW1hZ2UvcG5nfGhmZi9oNjUvODgyMDU3MDk0NzYxNC5wbmd8LQ</v>
      </c>
      <c r="G193" s="28" t="str">
        <f>HYPERLINK("http://www.gaerner.fr/?PC=3EUP&amp;LC=Startseite","http://www.gaerner.fr/?PC=3EUP&amp;LC=Startseite")</f>
        <v>http://www.gaerner.fr/?PC=3EUP&amp;LC=Startseite</v>
      </c>
      <c r="H193" s="2"/>
      <c r="I193" s="2"/>
      <c r="J193" s="2"/>
      <c r="K193" s="2"/>
      <c r="L193" s="2"/>
      <c r="M193" s="2"/>
      <c r="N193" s="2"/>
      <c r="O193" s="2"/>
      <c r="P193" s="2"/>
      <c r="Q193" s="2"/>
      <c r="R193" s="2"/>
      <c r="S193" s="2"/>
      <c r="T193" s="2"/>
      <c r="U193" s="2"/>
      <c r="V193" s="2"/>
      <c r="W193" s="2"/>
      <c r="X193" s="2"/>
      <c r="Y193" s="2"/>
      <c r="Z193" s="2"/>
    </row>
    <row r="194" ht="13.5" customHeight="1"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3.5" customHeight="1" spans="1:26">
      <c r="A195" s="20" t="s">
        <v>742</v>
      </c>
      <c r="B195" s="20" t="s">
        <v>743</v>
      </c>
      <c r="C195" s="20" t="s">
        <v>744</v>
      </c>
      <c r="D195" s="23">
        <v>80</v>
      </c>
      <c r="E195" s="20" t="s">
        <v>671</v>
      </c>
      <c r="F195" s="24" t="str">
        <f>HYPERLINK("http://blog.we-paris.com/wp-content/uploads/wanderlust-home.png","http://blog.we-paris.com/wp-content/uploads/wanderlust-home.png")</f>
        <v>http://blog.we-paris.com/wp-content/uploads/wanderlust-home.png</v>
      </c>
      <c r="G195" s="43" t="str">
        <f>HYPERLINK("http://wanderlustparis.com/","wanderlustparis.com/")</f>
        <v>wanderlustparis.com/</v>
      </c>
      <c r="H195" s="2"/>
      <c r="I195" s="2"/>
      <c r="J195" s="2"/>
      <c r="K195" s="2"/>
      <c r="L195" s="2"/>
      <c r="M195" s="2"/>
      <c r="N195" s="2"/>
      <c r="O195" s="2"/>
      <c r="P195" s="2"/>
      <c r="Q195" s="2"/>
      <c r="R195" s="2"/>
      <c r="S195" s="2"/>
      <c r="T195" s="2"/>
      <c r="U195" s="2"/>
      <c r="V195" s="2"/>
      <c r="W195" s="2"/>
      <c r="X195" s="2"/>
      <c r="Y195" s="2"/>
      <c r="Z195" s="2"/>
    </row>
    <row r="196" ht="13.5" customHeight="1" spans="1:26">
      <c r="A196" s="20" t="s">
        <v>742</v>
      </c>
      <c r="B196" s="20" t="s">
        <v>747</v>
      </c>
      <c r="C196" s="20" t="s">
        <v>748</v>
      </c>
      <c r="D196" s="23">
        <v>20</v>
      </c>
      <c r="E196" s="20" t="s">
        <v>707</v>
      </c>
      <c r="F196" s="24" t="str">
        <f>HYPERLINK("http://www.fondation-godf.org/uploads/partner/logo-orsay.gif","http://www.fondation-godf.org/uploads/partner/logo-orsay.gif")</f>
        <v>http://www.fondation-godf.org/uploads/partner/logo-orsay.gif</v>
      </c>
      <c r="G196" s="28" t="str">
        <f>HYPERLINK("http://www.musee-orsay.fr/","www.musee-orsay.fr/")</f>
        <v>www.musee-orsay.fr/</v>
      </c>
      <c r="H196" s="2"/>
      <c r="I196" s="2"/>
      <c r="J196" s="2"/>
      <c r="K196" s="2"/>
      <c r="L196" s="2"/>
      <c r="M196" s="2"/>
      <c r="N196" s="2"/>
      <c r="O196" s="2"/>
      <c r="P196" s="2"/>
      <c r="Q196" s="2"/>
      <c r="R196" s="2"/>
      <c r="S196" s="2"/>
      <c r="T196" s="2"/>
      <c r="U196" s="2"/>
      <c r="V196" s="2"/>
      <c r="W196" s="2"/>
      <c r="X196" s="2"/>
      <c r="Y196" s="2"/>
      <c r="Z196" s="2"/>
    </row>
    <row r="197" ht="13.5" customHeight="1" spans="1:26">
      <c r="A197" s="20" t="s">
        <v>742</v>
      </c>
      <c r="B197" s="20" t="s">
        <v>750</v>
      </c>
      <c r="C197" s="20" t="s">
        <v>751</v>
      </c>
      <c r="D197" s="23">
        <v>30</v>
      </c>
      <c r="E197" s="20" t="s">
        <v>684</v>
      </c>
      <c r="F197" s="24" t="str">
        <f>HYPERLINK("http://www.lesetesdeladanse.com/wp-content/uploads/2011/03/logo-instit-CMJN-Les-vedettes-de-paris-jpeg.jpg","http://www.lesetesdeladanse.com/wp-content/uploads/2011/03/logo-instit-CMJN-Les-vedettes-de-paris-jpeg.jpg")</f>
        <v>http://www.lesetesdeladanse.com/wp-content/uploads/2011/03/logo-instit-CMJN-Les-vedettes-de-paris-jpeg.jpg</v>
      </c>
      <c r="G197" s="28" t="str">
        <f>HYPERLINK("http://www.vedettesdeparis.fr/","www.vedettesdeparis.fr/")</f>
        <v>www.vedettesdeparis.fr/</v>
      </c>
      <c r="H197" s="2"/>
      <c r="I197" s="2"/>
      <c r="J197" s="2"/>
      <c r="K197" s="2"/>
      <c r="L197" s="2"/>
      <c r="M197" s="2"/>
      <c r="N197" s="2"/>
      <c r="O197" s="2"/>
      <c r="P197" s="2"/>
      <c r="Q197" s="2"/>
      <c r="R197" s="2"/>
      <c r="S197" s="2"/>
      <c r="T197" s="2"/>
      <c r="U197" s="2"/>
      <c r="V197" s="2"/>
      <c r="W197" s="2"/>
      <c r="X197" s="2"/>
      <c r="Y197" s="2"/>
      <c r="Z197" s="2"/>
    </row>
    <row r="198" ht="13.5" customHeight="1" spans="1:26">
      <c r="A198" s="20" t="s">
        <v>753</v>
      </c>
      <c r="B198" s="20" t="s">
        <v>754</v>
      </c>
      <c r="C198" s="20" t="s">
        <v>755</v>
      </c>
      <c r="D198" s="23">
        <v>40</v>
      </c>
      <c r="E198" s="20" t="s">
        <v>671</v>
      </c>
      <c r="F198" s="24" t="str">
        <f>HYPERLINK("http://upload.wikimedia.org/wikipedia/fr/e/e0/Logo_Truffaut.png","http://upload.wikimedia.org/wikipedia/fr/e/e0/Logo_Truffaut.png")</f>
        <v>http://upload.wikimedia.org/wikipedia/fr/e/e0/Logo_Truffaut.png</v>
      </c>
      <c r="G198" s="28" t="str">
        <f>HYPERLINK("http://www.truffaut.com/","http://www.truffaut.com/")</f>
        <v>http://www.truffaut.com/</v>
      </c>
      <c r="H198" s="2"/>
      <c r="I198" s="2"/>
      <c r="J198" s="2"/>
      <c r="K198" s="2"/>
      <c r="L198" s="2"/>
      <c r="M198" s="2"/>
      <c r="N198" s="2"/>
      <c r="O198" s="2"/>
      <c r="P198" s="2"/>
      <c r="Q198" s="2"/>
      <c r="R198" s="2"/>
      <c r="S198" s="2"/>
      <c r="T198" s="2"/>
      <c r="U198" s="2"/>
      <c r="V198" s="2"/>
      <c r="W198" s="2"/>
      <c r="X198" s="2"/>
      <c r="Y198" s="2"/>
      <c r="Z198" s="2"/>
    </row>
    <row r="199" ht="13.5" customHeight="1" spans="1:26">
      <c r="A199" s="20" t="s">
        <v>753</v>
      </c>
      <c r="B199" s="20" t="s">
        <v>758</v>
      </c>
      <c r="C199" s="20" t="s">
        <v>759</v>
      </c>
      <c r="D199" s="23">
        <v>60</v>
      </c>
      <c r="E199" s="20" t="s">
        <v>671</v>
      </c>
      <c r="F199" s="24" t="str">
        <f>HYPERLINK("http://upload.wikimedia.org/wikipedia/commons/4/4b/LOGO_JLD_Blocmarque_Signature_320.png","http://upload.wikimedia.org/wikipedia/commons/4/4b/LOGO_JLD_Blocmarque_Signature_320.png")</f>
        <v>http://upload.wikimedia.org/wikipedia/commons/4/4b/LOGO_JLD_Blocmarque_Signature_320.png</v>
      </c>
      <c r="G199" s="28" t="str">
        <f>HYPERLINK("http://www.jardiland.com/","http://www.jardiland.com/")</f>
        <v>http://www.jardiland.com/</v>
      </c>
      <c r="H199" s="2"/>
      <c r="I199" s="2"/>
      <c r="J199" s="2"/>
      <c r="K199" s="2"/>
      <c r="L199" s="2"/>
      <c r="M199" s="2"/>
      <c r="N199" s="2"/>
      <c r="O199" s="2"/>
      <c r="P199" s="2"/>
      <c r="Q199" s="2"/>
      <c r="R199" s="2"/>
      <c r="S199" s="2"/>
      <c r="T199" s="2"/>
      <c r="U199" s="2"/>
      <c r="V199" s="2"/>
      <c r="W199" s="2"/>
      <c r="X199" s="2"/>
      <c r="Y199" s="2"/>
      <c r="Z199" s="2"/>
    </row>
    <row r="200" ht="13.5" customHeight="1" spans="1:26">
      <c r="A200" s="20" t="s">
        <v>753</v>
      </c>
      <c r="B200" s="20" t="s">
        <v>762</v>
      </c>
      <c r="C200" s="20" t="s">
        <v>763</v>
      </c>
      <c r="D200" s="23">
        <v>50</v>
      </c>
      <c r="E200" s="20" t="s">
        <v>707</v>
      </c>
      <c r="F200" s="24" t="str">
        <f>HYPERLINK("http://www.animalcenter.fr/themes/t/images/logo-footer.png","http://www.animalcenter.fr/themes/t/images/logo-footer.png")</f>
        <v>http://www.animalcenter.fr/themes/t/images/logo-footer.png</v>
      </c>
      <c r="G200" s="28" t="str">
        <f>HYPERLINK("http://www.animalcenter.fr/","http://www.animalcenter.fr/")</f>
        <v>http://www.animalcenter.fr/</v>
      </c>
      <c r="H200" s="2"/>
      <c r="I200" s="2"/>
      <c r="J200" s="2"/>
      <c r="K200" s="2"/>
      <c r="L200" s="2"/>
      <c r="M200" s="2"/>
      <c r="N200" s="2"/>
      <c r="O200" s="2"/>
      <c r="P200" s="2"/>
      <c r="Q200" s="2"/>
      <c r="R200" s="2"/>
      <c r="S200" s="2"/>
      <c r="T200" s="2"/>
      <c r="U200" s="2"/>
      <c r="V200" s="2"/>
      <c r="W200" s="2"/>
      <c r="X200" s="2"/>
      <c r="Y200" s="2"/>
      <c r="Z200" s="2"/>
    </row>
    <row r="201" ht="13.5" customHeight="1" spans="1:26">
      <c r="A201" s="20" t="s">
        <v>753</v>
      </c>
      <c r="B201" s="20" t="s">
        <v>766</v>
      </c>
      <c r="C201" s="20" t="s">
        <v>767</v>
      </c>
      <c r="D201" s="23">
        <v>40</v>
      </c>
      <c r="E201" s="20" t="s">
        <v>671</v>
      </c>
      <c r="F201" s="24" t="str">
        <f>HYPERLINK("http://upload.wikimedia.org/wikipedia/fr/8/81/GammvertLogo.gif","http://upload.wikimedia.org/wikipedia/fr/8/81/GammvertLogo.gif")</f>
        <v>http://upload.wikimedia.org/wikipedia/fr/8/81/GammvertLogo.gif</v>
      </c>
      <c r="G201" s="28" t="str">
        <f>HYPERLINK("http://www.gammvert.fr/","http://www.gammvert.fr/")</f>
        <v>http://www.gammvert.fr/</v>
      </c>
      <c r="H201" s="2"/>
      <c r="I201" s="2"/>
      <c r="J201" s="2"/>
      <c r="K201" s="2"/>
      <c r="L201" s="2"/>
      <c r="M201" s="2"/>
      <c r="N201" s="2"/>
      <c r="O201" s="2"/>
      <c r="P201" s="2"/>
      <c r="Q201" s="2"/>
      <c r="R201" s="2"/>
      <c r="S201" s="2"/>
      <c r="T201" s="2"/>
      <c r="U201" s="2"/>
      <c r="V201" s="2"/>
      <c r="W201" s="2"/>
      <c r="X201" s="2"/>
      <c r="Y201" s="2"/>
      <c r="Z201" s="2"/>
    </row>
    <row r="202" ht="13.5" customHeight="1"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3.5" customHeight="1" spans="1:26">
      <c r="A203" s="20" t="s">
        <v>770</v>
      </c>
      <c r="B203" s="20" t="s">
        <v>8592</v>
      </c>
      <c r="C203" s="20" t="s">
        <v>772</v>
      </c>
      <c r="D203" s="23">
        <v>150</v>
      </c>
      <c r="E203" s="20" t="s">
        <v>707</v>
      </c>
      <c r="F203" s="24" t="str">
        <f>HYPERLINK("http://www.3fontaines.com/var/hammerson/storage/images/media/3-fontaines/images/magasin/visuels/logo/279478-1-fre-FR/logo_logocshop.jpg","http://www.3fontaines.com/var/hammerson/storage/images/media/3-fontaines/images/magasin/visuels/logo/279478-1-fre-FR/logo_logocshop.jpg")</f>
        <v>http://www.3fontaines.com/var/hammerson/storage/images/media/3-fontaines/images/magasin/visuels/logo/279478-1-fre-FR/logo_logocshop.jpg</v>
      </c>
      <c r="G203" s="24" t="str">
        <f>HYPERLINK("http://www.histoiredor.com/fr/histoire-or","http://www.histoiredor.com/fr/histoire-or")</f>
        <v>http://www.histoiredor.com/fr/histoire-or</v>
      </c>
      <c r="H203" s="2"/>
      <c r="I203" s="2"/>
      <c r="J203" s="2"/>
      <c r="K203" s="2"/>
      <c r="L203" s="2"/>
      <c r="M203" s="2"/>
      <c r="N203" s="2"/>
      <c r="O203" s="2"/>
      <c r="P203" s="2"/>
      <c r="Q203" s="2"/>
      <c r="R203" s="2"/>
      <c r="S203" s="2"/>
      <c r="T203" s="2"/>
      <c r="U203" s="2"/>
      <c r="V203" s="2"/>
      <c r="W203" s="2"/>
      <c r="X203" s="2"/>
      <c r="Y203" s="2"/>
      <c r="Z203" s="2"/>
    </row>
    <row r="204" ht="13.5" customHeight="1" spans="1:26">
      <c r="A204" s="41" t="s">
        <v>770</v>
      </c>
      <c r="B204" s="25" t="s">
        <v>775</v>
      </c>
      <c r="C204" s="25" t="s">
        <v>772</v>
      </c>
      <c r="D204" s="42">
        <v>90</v>
      </c>
      <c r="E204" s="26" t="s">
        <v>707</v>
      </c>
      <c r="F204" s="28" t="str">
        <f>HYPERLINK("https://modealip.files.wordpress.com/2011/07/agatha_html_m4a856c22.gif","https://modealip.files.wordpress.com/2011/07/agatha_html_m4a856c22.gif")</f>
        <v>https://modealip.files.wordpress.com/2011/07/agatha_html_m4a856c22.gif</v>
      </c>
      <c r="G204" s="28" t="str">
        <f>HYPERLINK("http://www.agatha.fr/","http://www.agatha.fr/")</f>
        <v>http://www.agatha.fr/</v>
      </c>
      <c r="H204" s="2"/>
      <c r="I204" s="2"/>
      <c r="J204" s="2"/>
      <c r="K204" s="2"/>
      <c r="L204" s="2"/>
      <c r="M204" s="2"/>
      <c r="N204" s="2"/>
      <c r="O204" s="2"/>
      <c r="P204" s="2"/>
      <c r="Q204" s="2"/>
      <c r="R204" s="2"/>
      <c r="S204" s="2"/>
      <c r="T204" s="2"/>
      <c r="U204" s="2"/>
      <c r="V204" s="2"/>
      <c r="W204" s="2"/>
      <c r="X204" s="2"/>
      <c r="Y204" s="2"/>
      <c r="Z204" s="2"/>
    </row>
    <row r="205" ht="13.5" customHeight="1" spans="1:26">
      <c r="A205" s="20" t="s">
        <v>770</v>
      </c>
      <c r="B205" s="25" t="s">
        <v>778</v>
      </c>
      <c r="C205" s="25" t="s">
        <v>779</v>
      </c>
      <c r="D205" s="42">
        <v>5000</v>
      </c>
      <c r="E205" s="20" t="s">
        <v>684</v>
      </c>
      <c r="F205" s="24" t="str">
        <f>HYPERLINK("http://galleriadallas.wpengine.netdna-cdn.com/wp-content/uploads/2012/08/Tiffany__Co_logo_July_2010.jpg","http://galleriadallas.wpengine.netdna-cdn.com/wp-content/uploads/2012/08/Tiffany__Co_logo_July_2010.jpg")</f>
        <v>http://galleriadallas.wpengine.netdna-cdn.com/wp-content/uploads/2012/08/Tiffany__Co_logo_July_2010.jpg</v>
      </c>
      <c r="G205" s="24" t="str">
        <f>HYPERLINK("http://www.tiffany.fr/","http://www.tiffany.fr/")</f>
        <v>http://www.tiffany.fr/</v>
      </c>
      <c r="H205" s="2"/>
      <c r="I205" s="2"/>
      <c r="J205" s="2"/>
      <c r="K205" s="2"/>
      <c r="L205" s="2"/>
      <c r="M205" s="2"/>
      <c r="N205" s="2"/>
      <c r="O205" s="2"/>
      <c r="P205" s="2"/>
      <c r="Q205" s="2"/>
      <c r="R205" s="2"/>
      <c r="S205" s="2"/>
      <c r="T205" s="2"/>
      <c r="U205" s="2"/>
      <c r="V205" s="2"/>
      <c r="W205" s="2"/>
      <c r="X205" s="2"/>
      <c r="Y205" s="2"/>
      <c r="Z205" s="2"/>
    </row>
    <row r="206" ht="13.5" customHeight="1" spans="1:26">
      <c r="A206" s="20" t="s">
        <v>770</v>
      </c>
      <c r="B206" s="25" t="s">
        <v>782</v>
      </c>
      <c r="C206" s="25" t="s">
        <v>783</v>
      </c>
      <c r="D206" s="42">
        <v>250</v>
      </c>
      <c r="E206" s="20" t="s">
        <v>671</v>
      </c>
      <c r="F206" s="24" t="str">
        <f>HYPERLINK("http://www.holiprom.com/wp-content/uploads/2014/10/galeries-lafayette-logo-grands-magasins-clients-customers-holiprom.jpg","http://www.holiprom.com/wp-content/uploads/2014/10/galeries-lafayette-logo-grands-magasins-clients-customers-holiprom.jpg")</f>
        <v>http://www.holiprom.com/wp-content/uploads/2014/10/galeries-lafayette-logo-grands-magasins-clients-customers-holiprom.jpg</v>
      </c>
      <c r="G206" s="24" t="str">
        <f>HYPERLINK("http://www.galerieslafayette.com/","www.galerieslafayette.com/")</f>
        <v>www.galerieslafayette.com/</v>
      </c>
      <c r="H206" s="2"/>
      <c r="I206" s="2"/>
      <c r="J206" s="2"/>
      <c r="K206" s="2"/>
      <c r="L206" s="2"/>
      <c r="M206" s="2"/>
      <c r="N206" s="2"/>
      <c r="O206" s="2"/>
      <c r="P206" s="2"/>
      <c r="Q206" s="2"/>
      <c r="R206" s="2"/>
      <c r="S206" s="2"/>
      <c r="T206" s="2"/>
      <c r="U206" s="2"/>
      <c r="V206" s="2"/>
      <c r="W206" s="2"/>
      <c r="X206" s="2"/>
      <c r="Y206" s="2"/>
      <c r="Z206" s="2"/>
    </row>
    <row r="207" ht="13.5" customHeight="1" spans="1:26">
      <c r="A207" s="20" t="s">
        <v>785</v>
      </c>
      <c r="B207" s="25" t="s">
        <v>786</v>
      </c>
      <c r="C207" s="25" t="s">
        <v>428</v>
      </c>
      <c r="D207" s="42">
        <v>250</v>
      </c>
      <c r="E207" s="20" t="s">
        <v>671</v>
      </c>
      <c r="F207" s="24" t="str">
        <f>HYPERLINK("http://upload.wikimedia.org/wikipedia/commons/d/d4/Leroy_Merlin.svg","http://upload.wikimedia.org/wikipedia/commons/d/d4/Leroy_Merlin.svg")</f>
        <v>http://upload.wikimedia.org/wikipedia/commons/d/d4/Leroy_Merlin.svg</v>
      </c>
      <c r="G207" s="24" t="str">
        <f>HYPERLINK("http://www.leroymerlin.fr/","www.leroymerlin.fr/")</f>
        <v>www.leroymerlin.fr/</v>
      </c>
      <c r="H207" s="2"/>
      <c r="I207" s="2"/>
      <c r="J207" s="2"/>
      <c r="K207" s="2"/>
      <c r="L207" s="2"/>
      <c r="M207" s="2"/>
      <c r="N207" s="2"/>
      <c r="O207" s="2"/>
      <c r="P207" s="2"/>
      <c r="Q207" s="2"/>
      <c r="R207" s="2"/>
      <c r="S207" s="2"/>
      <c r="T207" s="2"/>
      <c r="U207" s="2"/>
      <c r="V207" s="2"/>
      <c r="W207" s="2"/>
      <c r="X207" s="2"/>
      <c r="Y207" s="2"/>
      <c r="Z207" s="2"/>
    </row>
    <row r="208" ht="13.5" customHeight="1" spans="1:26">
      <c r="A208" s="20" t="s">
        <v>236</v>
      </c>
      <c r="B208" s="25" t="s">
        <v>788</v>
      </c>
      <c r="C208" s="25" t="s">
        <v>236</v>
      </c>
      <c r="D208" s="26"/>
      <c r="E208" s="20"/>
      <c r="F208" s="24" t="str">
        <f>HYPERLINK("http://www.leberkeley.fr/wp-content/uploads/2015/10/logo-berkeley2.png","http://www.leberkeley.fr/wp-content/uploads/2015/10/logo-berkeley2.png")</f>
        <v>http://www.leberkeley.fr/wp-content/uploads/2015/10/logo-berkeley2.png</v>
      </c>
      <c r="G208" s="24" t="str">
        <f>HYPERLINK("http://www.leberkeley.fr","www.leberkeley.fr")</f>
        <v>www.leberkeley.fr</v>
      </c>
      <c r="H208" s="2"/>
      <c r="I208" s="2"/>
      <c r="J208" s="2"/>
      <c r="K208" s="2"/>
      <c r="L208" s="2"/>
      <c r="M208" s="2"/>
      <c r="N208" s="2"/>
      <c r="O208" s="2"/>
      <c r="P208" s="2"/>
      <c r="Q208" s="2"/>
      <c r="R208" s="2"/>
      <c r="S208" s="2"/>
      <c r="T208" s="2"/>
      <c r="U208" s="2"/>
      <c r="V208" s="2"/>
      <c r="W208" s="2"/>
      <c r="X208" s="2"/>
      <c r="Y208" s="2"/>
      <c r="Z208" s="2"/>
    </row>
    <row r="209" ht="13.5" customHeight="1" spans="1:26">
      <c r="A209" s="20" t="s">
        <v>791</v>
      </c>
      <c r="B209" s="20" t="s">
        <v>792</v>
      </c>
      <c r="C209" s="20" t="s">
        <v>309</v>
      </c>
      <c r="D209" s="20"/>
      <c r="E209" s="20"/>
      <c r="F209" s="24" t="str">
        <f>HYPERLINK("http://www.hod-boutique.com/img/hod-boutique-logo-1457367896.jpg","http://www.hod-boutique.com/img/hod-boutique-logo-1457367896.jpg")</f>
        <v>http://www.hod-boutique.com/img/hod-boutique-logo-1457367896.jpg</v>
      </c>
      <c r="G209" s="24" t="str">
        <f>HYPERLINK("http://www.hod-boutique.com/","http://www.hod-boutique.com/")</f>
        <v>http://www.hod-boutique.com/</v>
      </c>
      <c r="H209" s="2"/>
      <c r="I209" s="2"/>
      <c r="J209" s="2"/>
      <c r="K209" s="2"/>
      <c r="L209" s="2"/>
      <c r="M209" s="2"/>
      <c r="N209" s="2"/>
      <c r="O209" s="2"/>
      <c r="P209" s="2"/>
      <c r="Q209" s="2"/>
      <c r="R209" s="2"/>
      <c r="S209" s="2"/>
      <c r="T209" s="2"/>
      <c r="U209" s="2"/>
      <c r="V209" s="2"/>
      <c r="W209" s="2"/>
      <c r="X209" s="2"/>
      <c r="Y209" s="2"/>
      <c r="Z209" s="2"/>
    </row>
    <row r="210" ht="13.5" customHeight="1" spans="1:26">
      <c r="A210" s="20" t="s">
        <v>795</v>
      </c>
      <c r="B210" s="20" t="s">
        <v>796</v>
      </c>
      <c r="C210" s="20" t="s">
        <v>319</v>
      </c>
      <c r="D210" s="2"/>
      <c r="E210" s="2"/>
      <c r="F210" s="24" t="str">
        <f>HYPERLINK("http://cdn.babyccinokids.com/shop/images/babyccinokids_shop_logo.png","http://cdn.babyccinokids.com/shop/images/babyccinokids_shop_logo.png")</f>
        <v>http://cdn.babyccinokids.com/shop/images/babyccinokids_shop_logo.png</v>
      </c>
      <c r="G210" s="24" t="str">
        <f>HYPERLINK("http://babyccinokids.com/paris/","http://babyccinokids.com/paris/")</f>
        <v>http://babyccinokids.com/paris/</v>
      </c>
      <c r="H210" s="2"/>
      <c r="I210" s="2"/>
      <c r="J210" s="2"/>
      <c r="K210" s="2"/>
      <c r="L210" s="2"/>
      <c r="M210" s="2"/>
      <c r="N210" s="2"/>
      <c r="O210" s="2"/>
      <c r="P210" s="2"/>
      <c r="Q210" s="2"/>
      <c r="R210" s="2"/>
      <c r="S210" s="2"/>
      <c r="T210" s="2"/>
      <c r="U210" s="2"/>
      <c r="V210" s="2"/>
      <c r="W210" s="2"/>
      <c r="X210" s="2"/>
      <c r="Y210" s="2"/>
      <c r="Z210" s="2"/>
    </row>
    <row r="211" ht="13.5" customHeight="1" spans="1:26">
      <c r="A211" s="20" t="s">
        <v>799</v>
      </c>
      <c r="B211" s="20" t="s">
        <v>800</v>
      </c>
      <c r="C211" s="20" t="s">
        <v>450</v>
      </c>
      <c r="D211" s="2"/>
      <c r="E211" s="2"/>
      <c r="F211" s="24" t="str">
        <f>HYPERLINK("http://www.maralex-kids.com/img/logo.jpg?1463472955","http://www.maralex-kids.com/img/logo.jpg?1463472955")</f>
        <v>http://www.maralex-kids.com/img/logo.jpg?1463472955</v>
      </c>
      <c r="G211" s="24" t="str">
        <f>HYPERLINK("http://www.maralex-kids.com/fr/","http://www.maralex-kids.com/fr/")</f>
        <v>http://www.maralex-kids.com/fr/</v>
      </c>
      <c r="H211" s="2"/>
      <c r="I211" s="2"/>
      <c r="J211" s="2"/>
      <c r="K211" s="2"/>
      <c r="L211" s="2"/>
      <c r="M211" s="2"/>
      <c r="N211" s="2"/>
      <c r="O211" s="2"/>
      <c r="P211" s="2"/>
      <c r="Q211" s="2"/>
      <c r="R211" s="2"/>
      <c r="S211" s="2"/>
      <c r="T211" s="2"/>
      <c r="U211" s="2"/>
      <c r="V211" s="2"/>
      <c r="W211" s="2"/>
      <c r="X211" s="2"/>
      <c r="Y211" s="2"/>
      <c r="Z211" s="2"/>
    </row>
    <row r="212" ht="13.5" customHeight="1" spans="1:26">
      <c r="A212" s="20" t="s">
        <v>799</v>
      </c>
      <c r="B212" s="20" t="s">
        <v>803</v>
      </c>
      <c r="C212" s="20" t="s">
        <v>450</v>
      </c>
      <c r="D212" s="2"/>
      <c r="E212" s="2"/>
      <c r="F212" s="24" t="str">
        <f>HYPERLINK("http://i1217.photobucket.com/albums/dd383/maptote_llc/BontonLogo1.png","http://i1217.photobucket.com/albums/dd383/maptote_llc/BontonLogo1.png")</f>
        <v>http://i1217.photobucket.com/albums/dd383/maptote_llc/BontonLogo1.png</v>
      </c>
      <c r="G212" s="24" t="str">
        <f>HYPERLINK("http://www.bonton.fr/fr/","http://www.bonton.fr/fr/")</f>
        <v>http://www.bonton.fr/fr/</v>
      </c>
      <c r="H212" s="2"/>
      <c r="I212" s="2"/>
      <c r="J212" s="2"/>
      <c r="K212" s="2"/>
      <c r="L212" s="2"/>
      <c r="M212" s="2"/>
      <c r="N212" s="2"/>
      <c r="O212" s="2"/>
      <c r="P212" s="2"/>
      <c r="Q212" s="2"/>
      <c r="R212" s="2"/>
      <c r="S212" s="2"/>
      <c r="T212" s="2"/>
      <c r="U212" s="2"/>
      <c r="V212" s="2"/>
      <c r="W212" s="2"/>
      <c r="X212" s="2"/>
      <c r="Y212" s="2"/>
      <c r="Z212" s="2"/>
    </row>
    <row r="213" ht="13.5" customHeight="1" spans="1:26">
      <c r="A213" s="20" t="s">
        <v>806</v>
      </c>
      <c r="B213" s="20" t="s">
        <v>807</v>
      </c>
      <c r="C213" s="20" t="s">
        <v>808</v>
      </c>
      <c r="D213" s="2"/>
      <c r="E213" s="2"/>
      <c r="F213" s="24" t="str">
        <f>HYPERLINK("http://eshop.e-dehillerin.fr/template/images/graphisme_site/img_header/header_logo.jpg","http://eshop.e-dehillerin.fr/template/images/graphisme_site/img_header/header_logo.jpg")</f>
        <v>http://eshop.e-dehillerin.fr/template/images/graphisme_site/img_header/header_logo.jpg</v>
      </c>
      <c r="G213" s="24" t="str">
        <f>HYPERLINK("http://eshop.e-dehillerin.fr/","http://eshop.e-dehillerin.fr/")</f>
        <v>http://eshop.e-dehillerin.fr/</v>
      </c>
      <c r="H213" s="2"/>
      <c r="I213" s="2"/>
      <c r="J213" s="2"/>
      <c r="K213" s="2"/>
      <c r="L213" s="2"/>
      <c r="M213" s="2"/>
      <c r="N213" s="2"/>
      <c r="O213" s="2"/>
      <c r="P213" s="2"/>
      <c r="Q213" s="2"/>
      <c r="R213" s="2"/>
      <c r="S213" s="2"/>
      <c r="T213" s="2"/>
      <c r="U213" s="2"/>
      <c r="V213" s="2"/>
      <c r="W213" s="2"/>
      <c r="X213" s="2"/>
      <c r="Y213" s="2"/>
      <c r="Z213" s="2"/>
    </row>
    <row r="214" ht="13.5" customHeight="1" spans="1:26">
      <c r="A214" s="20" t="s">
        <v>811</v>
      </c>
      <c r="B214" s="20" t="s">
        <v>812</v>
      </c>
      <c r="C214" s="20" t="s">
        <v>476</v>
      </c>
      <c r="D214" s="2"/>
      <c r="E214" s="2"/>
      <c r="F214" s="24" t="str">
        <f>HYPERLINK("http://www.shopiles.fr/upload/cache/modules/partenaires/decathlon1_w500_h150_r6_q90_bcF9FDFE.jpg","http://www.shopiles.fr/upload/cache/modules/partenaires/decathlon1_w500_h150_r6_q90_bcF9FDFE.jpg")</f>
        <v>http://www.shopiles.fr/upload/cache/modules/partenaires/decathlon1_w500_h150_r6_q90_bcF9FDFE.jpg</v>
      </c>
      <c r="G214" s="24" t="str">
        <f>HYPERLINK("http://www.decathlon.fr/home.html","http://www.decathlon.fr/home.html")</f>
        <v>http://www.decathlon.fr/home.html</v>
      </c>
      <c r="H214" s="2"/>
      <c r="I214" s="2"/>
      <c r="J214" s="2"/>
      <c r="K214" s="2"/>
      <c r="L214" s="2"/>
      <c r="M214" s="2"/>
      <c r="N214" s="2"/>
      <c r="O214" s="2"/>
      <c r="P214" s="2"/>
      <c r="Q214" s="2"/>
      <c r="R214" s="2"/>
      <c r="S214" s="2"/>
      <c r="T214" s="2"/>
      <c r="U214" s="2"/>
      <c r="V214" s="2"/>
      <c r="W214" s="2"/>
      <c r="X214" s="2"/>
      <c r="Y214" s="2"/>
      <c r="Z214" s="2"/>
    </row>
    <row r="215" ht="13.5" customHeight="1" spans="1:26">
      <c r="A215" s="20" t="s">
        <v>811</v>
      </c>
      <c r="B215" s="20" t="s">
        <v>815</v>
      </c>
      <c r="C215" s="20" t="s">
        <v>476</v>
      </c>
      <c r="D215" s="2"/>
      <c r="E215" s="2"/>
      <c r="F215" s="24" t="str">
        <f>HYPERLINK("http://www.fitnessqatar.me/wp-content/uploads/2011/06/Go-Sport-logo.jpg","http://www.fitnessqatar.me/wp-content/uploads/2011/06/Go-Sport-logo.jpg")</f>
        <v>http://www.fitnessqatar.me/wp-content/uploads/2011/06/Go-Sport-logo.jpg</v>
      </c>
      <c r="G215" s="24" t="str">
        <f>HYPERLINK("http://www.go-sport.com/","http://www.go-sport.com/")</f>
        <v>http://www.go-sport.com/</v>
      </c>
      <c r="H215" s="2"/>
      <c r="I215" s="2"/>
      <c r="J215" s="2"/>
      <c r="K215" s="2"/>
      <c r="L215" s="2"/>
      <c r="M215" s="2"/>
      <c r="N215" s="2"/>
      <c r="O215" s="2"/>
      <c r="P215" s="2"/>
      <c r="Q215" s="2"/>
      <c r="R215" s="2"/>
      <c r="S215" s="2"/>
      <c r="T215" s="2"/>
      <c r="U215" s="2"/>
      <c r="V215" s="2"/>
      <c r="W215" s="2"/>
      <c r="X215" s="2"/>
      <c r="Y215" s="2"/>
      <c r="Z215" s="2"/>
    </row>
    <row r="216" ht="13.5" customHeight="1" spans="1:26">
      <c r="A216" s="20" t="s">
        <v>818</v>
      </c>
      <c r="B216" s="20" t="s">
        <v>819</v>
      </c>
      <c r="C216" s="20" t="s">
        <v>820</v>
      </c>
      <c r="D216" s="20"/>
      <c r="E216" s="20"/>
      <c r="F216" s="24" t="str">
        <f>HYPERLINK("https://sephanhmculc.files.wordpress.com/2015/04/sandro_logo.png","https://sephanhmculc.files.wordpress.com/2015/04/sandro_logo.png")</f>
        <v>https://sephanhmculc.files.wordpress.com/2015/04/sandro_logo.png</v>
      </c>
      <c r="G216" s="24" t="str">
        <f>HYPERLINK("http://fr.sandro-paris.com/","http://fr.sandro-paris.com/")</f>
        <v>http://fr.sandro-paris.com/</v>
      </c>
      <c r="H216" s="2"/>
      <c r="I216" s="2"/>
      <c r="J216" s="2"/>
      <c r="K216" s="2"/>
      <c r="L216" s="2"/>
      <c r="M216" s="2"/>
      <c r="N216" s="2"/>
      <c r="O216" s="2"/>
      <c r="P216" s="2"/>
      <c r="Q216" s="2"/>
      <c r="R216" s="2"/>
      <c r="S216" s="2"/>
      <c r="T216" s="2"/>
      <c r="U216" s="2"/>
      <c r="V216" s="2"/>
      <c r="W216" s="2"/>
      <c r="X216" s="2"/>
      <c r="Y216" s="2"/>
      <c r="Z216" s="2"/>
    </row>
    <row r="217" ht="13.5" customHeight="1" spans="1:26">
      <c r="A217" s="20" t="s">
        <v>823</v>
      </c>
      <c r="B217" s="20" t="s">
        <v>824</v>
      </c>
      <c r="C217" s="20" t="s">
        <v>515</v>
      </c>
      <c r="D217" s="20"/>
      <c r="E217" s="20"/>
      <c r="F217" s="24" t="str">
        <f>HYPERLINK("http://agence.orange.fr/templates/orange/template-responsive/versions/2465/images/logo-print.png","http://agence.orange.fr/templates/orange/template-responsive/versions/2465/images/logo-print.png")</f>
        <v>http://agence.orange.fr/templates/orange/template-responsive/versions/2465/images/logo-print.png</v>
      </c>
      <c r="G217" s="24" t="str">
        <f>HYPERLINK("http://agence.orange.fr/?gclid=CMT7j9T0hc0CFawy0wodBSUC_w","http://agence.orange.fr/?gclid=CMT7j9T0hc0CFawy0wodBSUC_w")</f>
        <v>http://agence.orange.fr/?gclid=CMT7j9T0hc0CFawy0wodBSUC_w</v>
      </c>
      <c r="H217" s="2"/>
      <c r="I217" s="2"/>
      <c r="J217" s="2"/>
      <c r="K217" s="2"/>
      <c r="L217" s="2"/>
      <c r="M217" s="2"/>
      <c r="N217" s="2"/>
      <c r="O217" s="2"/>
      <c r="P217" s="2"/>
      <c r="Q217" s="2"/>
      <c r="R217" s="2"/>
      <c r="S217" s="2"/>
      <c r="T217" s="2"/>
      <c r="U217" s="2"/>
      <c r="V217" s="2"/>
      <c r="W217" s="2"/>
      <c r="X217" s="2"/>
      <c r="Y217" s="2"/>
      <c r="Z217" s="2"/>
    </row>
    <row r="218" ht="13.5" customHeight="1" spans="1:26">
      <c r="A218" s="20" t="s">
        <v>825</v>
      </c>
      <c r="B218" s="20" t="s">
        <v>826</v>
      </c>
      <c r="C218" s="20" t="s">
        <v>827</v>
      </c>
      <c r="D218" s="23">
        <v>120</v>
      </c>
      <c r="E218" s="20" t="s">
        <v>684</v>
      </c>
      <c r="F218" s="24" t="str">
        <f>HYPERLINK("http://upload.wikimedia.org/wikipedia/fr/thumb/a/af/Logo_SNCF.svg/1280px-Logo_SNCF.svg.png","http://upload.wikimedia.org/wikipedia/fr/thumb/a/af/Logo_SNCF.svg/1280px-Logo_SNCF.svg.png")</f>
        <v>http://upload.wikimedia.org/wikipedia/fr/thumb/a/af/Logo_SNCF.svg/1280px-Logo_SNCF.svg.png</v>
      </c>
      <c r="G218" s="24" t="str">
        <f>HYPERLINK("http://www.sncf.com/fr/","www.sncf.com/fr/")</f>
        <v>www.sncf.com/fr/</v>
      </c>
      <c r="H218" s="2"/>
      <c r="I218" s="2"/>
      <c r="J218" s="2"/>
      <c r="K218" s="2"/>
      <c r="L218" s="2"/>
      <c r="M218" s="2"/>
      <c r="N218" s="2"/>
      <c r="O218" s="2"/>
      <c r="P218" s="2"/>
      <c r="Q218" s="2"/>
      <c r="R218" s="2"/>
      <c r="S218" s="2"/>
      <c r="T218" s="2"/>
      <c r="U218" s="2"/>
      <c r="V218" s="2"/>
      <c r="W218" s="2"/>
      <c r="X218" s="2"/>
      <c r="Y218" s="2"/>
      <c r="Z218" s="2"/>
    </row>
    <row r="219" ht="13.5" customHeight="1" spans="1:26">
      <c r="A219" s="20" t="s">
        <v>825</v>
      </c>
      <c r="B219" s="20" t="s">
        <v>829</v>
      </c>
      <c r="C219" s="20" t="s">
        <v>830</v>
      </c>
      <c r="D219" s="23">
        <v>80</v>
      </c>
      <c r="E219" s="20" t="s">
        <v>671</v>
      </c>
      <c r="F219" s="24" t="str">
        <f>HYPERLINK("http://upload.wikimedia.org/wikipedia/fr/thumb/0/01/RATP.svg/193px-RATP.svg.png","http://upload.wikimedia.org/wikipedia/fr/thumb/0/01/RATP.svg/193px-RATP.svg.png")</f>
        <v>http://upload.wikimedia.org/wikipedia/fr/thumb/0/01/RATP.svg/193px-RATP.svg.png</v>
      </c>
      <c r="G219" s="24" t="str">
        <f>HYPERLINK("http://www.ratp.fr/","www.ratp.fr/")</f>
        <v>www.ratp.fr/</v>
      </c>
      <c r="H219" s="2"/>
      <c r="I219" s="2"/>
      <c r="J219" s="2"/>
      <c r="K219" s="2"/>
      <c r="L219" s="2"/>
      <c r="M219" s="2"/>
      <c r="N219" s="2"/>
      <c r="O219" s="2"/>
      <c r="P219" s="2"/>
      <c r="Q219" s="2"/>
      <c r="R219" s="2"/>
      <c r="S219" s="2"/>
      <c r="T219" s="2"/>
      <c r="U219" s="2"/>
      <c r="V219" s="2"/>
      <c r="W219" s="2"/>
      <c r="X219" s="2"/>
      <c r="Y219" s="2"/>
      <c r="Z219" s="2"/>
    </row>
    <row r="220" ht="13.5" customHeight="1" spans="1:26">
      <c r="A220" s="20" t="s">
        <v>825</v>
      </c>
      <c r="B220" s="20" t="s">
        <v>832</v>
      </c>
      <c r="C220" s="20" t="s">
        <v>833</v>
      </c>
      <c r="D220" s="23">
        <v>40</v>
      </c>
      <c r="E220" s="20" t="s">
        <v>671</v>
      </c>
      <c r="F220" s="24" t="str">
        <f>HYPERLINK("http://upload.wikimedia.org/wikipedia/fr/c/ca/BlaBlaCar.png","http://upload.wikimedia.org/wikipedia/fr/c/ca/BlaBlaCar.png")</f>
        <v>http://upload.wikimedia.org/wikipedia/fr/c/ca/BlaBlaCar.png</v>
      </c>
      <c r="G220" s="24" t="str">
        <f>HYPERLINK("https://www.covoiturage.fr/","https://www.covoiturage.fr/")</f>
        <v>https://www.covoiturage.fr/</v>
      </c>
      <c r="H220" s="2"/>
      <c r="I220" s="2"/>
      <c r="J220" s="2"/>
      <c r="K220" s="2"/>
      <c r="L220" s="2"/>
      <c r="M220" s="2"/>
      <c r="N220" s="2"/>
      <c r="O220" s="2"/>
      <c r="P220" s="2"/>
      <c r="Q220" s="2"/>
      <c r="R220" s="2"/>
      <c r="S220" s="2"/>
      <c r="T220" s="2"/>
      <c r="U220" s="2"/>
      <c r="V220" s="2"/>
      <c r="W220" s="2"/>
      <c r="X220" s="2"/>
      <c r="Y220" s="2"/>
      <c r="Z220" s="2"/>
    </row>
    <row r="221" ht="13.5" customHeight="1" spans="1:26">
      <c r="A221" s="20" t="s">
        <v>836</v>
      </c>
      <c r="B221" s="20" t="s">
        <v>837</v>
      </c>
      <c r="C221" s="20" t="s">
        <v>548</v>
      </c>
      <c r="D221" s="20"/>
      <c r="E221" s="20"/>
      <c r="F221" s="24" t="str">
        <f>HYPERLINK("https://particuliers.engie.fr/content/dam/images/iconographiques/services-dolceVita/logos/logo-engie_370x240.png","https://particuliers.engie.fr/content/dam/images/iconographiques/services-dolceVita/logos/logo-engie_370x240.png")</f>
        <v>https://particuliers.engie.fr/content/dam/images/iconographiques/services-dolceVita/logos/logo-engie_370x240.png</v>
      </c>
      <c r="G221" s="24" t="str">
        <f>HYPERLINK("https://particuliers.engie.fr/","https://particuliers.engie.fr/")</f>
        <v>https://particuliers.engie.fr/</v>
      </c>
      <c r="H221" s="2"/>
      <c r="I221" s="2"/>
      <c r="J221" s="2"/>
      <c r="K221" s="2"/>
      <c r="L221" s="2"/>
      <c r="M221" s="2"/>
      <c r="N221" s="2"/>
      <c r="O221" s="2"/>
      <c r="P221" s="2"/>
      <c r="Q221" s="2"/>
      <c r="R221" s="2"/>
      <c r="S221" s="2"/>
      <c r="T221" s="2"/>
      <c r="U221" s="2"/>
      <c r="V221" s="2"/>
      <c r="W221" s="2"/>
      <c r="X221" s="2"/>
      <c r="Y221" s="2"/>
      <c r="Z221" s="2"/>
    </row>
    <row r="222" ht="13.5" customHeight="1" spans="1:26">
      <c r="A222" s="20" t="s">
        <v>836</v>
      </c>
      <c r="B222" s="20" t="s">
        <v>509</v>
      </c>
      <c r="C222" s="20" t="s">
        <v>510</v>
      </c>
      <c r="D222" s="20"/>
      <c r="E222" s="20"/>
      <c r="F222" s="24" t="str">
        <f>HYPERLINK("https://ak-api-mc.bouyguestelecom.fr/img/logo-bouygues-telecom.svg","https://ak-api-mc.bouyguestelecom.fr/img/logo-bouygues-telecom.svg")</f>
        <v>https://ak-api-mc.bouyguestelecom.fr/img/logo-bouygues-telecom.svg</v>
      </c>
      <c r="G222" s="24" t="str">
        <f>HYPERLINK("https://www.bouyguestelecom.fr/visiteurs_etrangers/index.htm","https://www.bouyguestelecom.fr/visiteurs_etrangers/index.htm")</f>
        <v>https://www.bouyguestelecom.fr/visiteurs_etrangers/index.htm</v>
      </c>
      <c r="H222" s="2"/>
      <c r="I222" s="2"/>
      <c r="J222" s="2"/>
      <c r="K222" s="2"/>
      <c r="L222" s="2"/>
      <c r="M222" s="2"/>
      <c r="N222" s="2"/>
      <c r="O222" s="2"/>
      <c r="P222" s="2"/>
      <c r="Q222" s="2"/>
      <c r="R222" s="2"/>
      <c r="S222" s="2"/>
      <c r="T222" s="2"/>
      <c r="U222" s="2"/>
      <c r="V222" s="2"/>
      <c r="W222" s="2"/>
      <c r="X222" s="2"/>
      <c r="Y222" s="2"/>
      <c r="Z222" s="2"/>
    </row>
    <row r="223" ht="13.5" customHeight="1" spans="1:26">
      <c r="A223" s="20" t="s">
        <v>836</v>
      </c>
      <c r="B223" s="20" t="s">
        <v>538</v>
      </c>
      <c r="C223" s="20" t="s">
        <v>560</v>
      </c>
      <c r="D223" s="20"/>
      <c r="E223" s="20"/>
      <c r="F223" s="24" t="str">
        <f>HYPERLINK("http://groupe.direct-energie.com/fileadmin/Commun/Logos/logo-direct-energie.gif","http://groupe.direct-energie.com/fileadmin/Commun/Logos/logo-direct-energie.gif")</f>
        <v>http://groupe.direct-energie.com/fileadmin/Commun/Logos/logo-direct-energie.gif</v>
      </c>
      <c r="G223" s="24" t="str">
        <f>HYPERLINK("http://www.direct-energie.com/","http://www.direct-energie.com/")</f>
        <v>http://www.direct-energie.com/</v>
      </c>
      <c r="H223" s="2"/>
      <c r="I223" s="2"/>
      <c r="J223" s="2"/>
      <c r="K223" s="2"/>
      <c r="L223" s="2"/>
      <c r="M223" s="2"/>
      <c r="N223" s="2"/>
      <c r="O223" s="2"/>
      <c r="P223" s="2"/>
      <c r="Q223" s="2"/>
      <c r="R223" s="2"/>
      <c r="S223" s="2"/>
      <c r="T223" s="2"/>
      <c r="U223" s="2"/>
      <c r="V223" s="2"/>
      <c r="W223" s="2"/>
      <c r="X223" s="2"/>
      <c r="Y223" s="2"/>
      <c r="Z223" s="2"/>
    </row>
    <row r="224" ht="13.5" customHeight="1" spans="1:26">
      <c r="A224" s="20" t="s">
        <v>840</v>
      </c>
      <c r="B224" s="20" t="s">
        <v>841</v>
      </c>
      <c r="C224" s="20" t="s">
        <v>842</v>
      </c>
      <c r="D224" s="23">
        <v>650</v>
      </c>
      <c r="E224" s="20" t="s">
        <v>684</v>
      </c>
      <c r="F224" s="24" t="str">
        <f>HYPERLINK("http://upload.wikimedia.org/wikipedia/en/0/0c/Momondo_A-S_logo.svg","http://upload.wikimedia.org/wikipedia/en/0/0c/Momondo_A-S_logo.svg")</f>
        <v>http://upload.wikimedia.org/wikipedia/en/0/0c/Momondo_A-S_logo.svg</v>
      </c>
      <c r="G224" s="24" t="str">
        <f>HYPERLINK("http://www.momondo.fr/","www.momondo.fr/")</f>
        <v>www.momondo.fr/</v>
      </c>
      <c r="H224" s="2"/>
      <c r="I224" s="2"/>
      <c r="J224" s="2"/>
      <c r="K224" s="2"/>
      <c r="L224" s="2"/>
      <c r="M224" s="2"/>
      <c r="N224" s="2"/>
      <c r="O224" s="2"/>
      <c r="P224" s="2"/>
      <c r="Q224" s="2"/>
      <c r="R224" s="2"/>
      <c r="S224" s="2"/>
      <c r="T224" s="2"/>
      <c r="U224" s="2"/>
      <c r="V224" s="2"/>
      <c r="W224" s="2"/>
      <c r="X224" s="2"/>
      <c r="Y224" s="2"/>
      <c r="Z224" s="2"/>
    </row>
    <row r="225" ht="13.5" customHeight="1" spans="1:26">
      <c r="A225" s="20" t="s">
        <v>840</v>
      </c>
      <c r="B225" s="24" t="str">
        <f>HYPERLINK("http://BOOKING.COM","BOOKING.COM")</f>
        <v>BOOKING.COM</v>
      </c>
      <c r="C225" s="20" t="s">
        <v>845</v>
      </c>
      <c r="D225" s="23">
        <v>300</v>
      </c>
      <c r="E225" s="20" t="s">
        <v>684</v>
      </c>
      <c r="F225" s="24" t="str">
        <f>HYPERLINK("http://upload.wikimedia.org/wikipedia/en/1/12/Booking.com_logo_blue.jpg","http://upload.wikimedia.org/wikipedia/en/1/12/Booking.com_logo_blue.jpg")</f>
        <v>http://upload.wikimedia.org/wikipedia/en/1/12/Booking.com_logo_blue.jpg</v>
      </c>
      <c r="G225" s="24" t="str">
        <f>HYPERLINK("http://www.booking.com/","www.booking.com/")</f>
        <v>www.booking.com/</v>
      </c>
      <c r="H225" s="2"/>
      <c r="I225" s="2"/>
      <c r="J225" s="2"/>
      <c r="K225" s="2"/>
      <c r="L225" s="2"/>
      <c r="M225" s="2"/>
      <c r="N225" s="2"/>
      <c r="O225" s="2"/>
      <c r="P225" s="2"/>
      <c r="Q225" s="2"/>
      <c r="R225" s="2"/>
      <c r="S225" s="2"/>
      <c r="T225" s="2"/>
      <c r="U225" s="2"/>
      <c r="V225" s="2"/>
      <c r="W225" s="2"/>
      <c r="X225" s="2"/>
      <c r="Y225" s="2"/>
      <c r="Z225" s="2"/>
    </row>
    <row r="226" ht="13.5" customHeight="1" spans="1:26">
      <c r="A226" s="20" t="s">
        <v>840</v>
      </c>
      <c r="B226" s="20" t="s">
        <v>847</v>
      </c>
      <c r="C226" s="20" t="s">
        <v>848</v>
      </c>
      <c r="D226" s="23">
        <v>1200</v>
      </c>
      <c r="E226" s="20" t="s">
        <v>684</v>
      </c>
      <c r="F226" s="24" t="str">
        <f>HYPERLINK("http://upload.wikimedia.org/wikipedia/fr/f/f0/Clubmed.png","http://upload.wikimedia.org/wikipedia/fr/f/f0/Clubmed.png")</f>
        <v>http://upload.wikimedia.org/wikipedia/fr/f/f0/Clubmed.png</v>
      </c>
      <c r="G226" s="24" t="str">
        <f>HYPERLINK("http://www.clubmed.fr/","www.clubmed.fr/")</f>
        <v>www.clubmed.fr/</v>
      </c>
      <c r="H226" s="2"/>
      <c r="I226" s="2"/>
      <c r="J226" s="2"/>
      <c r="K226" s="2"/>
      <c r="L226" s="2"/>
      <c r="M226" s="2"/>
      <c r="N226" s="2"/>
      <c r="O226" s="2"/>
      <c r="P226" s="2"/>
      <c r="Q226" s="2"/>
      <c r="R226" s="2"/>
      <c r="S226" s="2"/>
      <c r="T226" s="2"/>
      <c r="U226" s="2"/>
      <c r="V226" s="2"/>
      <c r="W226" s="2"/>
      <c r="X226" s="2"/>
      <c r="Y226" s="2"/>
      <c r="Z226" s="2"/>
    </row>
    <row r="227" ht="13.5" customHeight="1" spans="1:26">
      <c r="A227" s="20" t="s">
        <v>840</v>
      </c>
      <c r="B227" s="20" t="s">
        <v>850</v>
      </c>
      <c r="C227" s="20" t="s">
        <v>851</v>
      </c>
      <c r="D227" s="23">
        <v>1000</v>
      </c>
      <c r="E227" s="20" t="s">
        <v>707</v>
      </c>
      <c r="F227" s="24" t="str">
        <f>HYPERLINK("http://upload.wikimedia.org/wikipedia/fr/9/91/Logo-pv-groupe.jpg","http://upload.wikimedia.org/wikipedia/fr/9/91/Logo-pv-groupe.jpg")</f>
        <v>http://upload.wikimedia.org/wikipedia/fr/9/91/Logo-pv-groupe.jpg</v>
      </c>
      <c r="G227" s="24" t="str">
        <f>HYPERLINK("http://www.pierreetvacances.com/","www.pierreetvacances.com/")</f>
        <v>www.pierreetvacances.com/</v>
      </c>
      <c r="H227" s="2"/>
      <c r="I227" s="2"/>
      <c r="J227" s="2"/>
      <c r="K227" s="2"/>
      <c r="L227" s="2"/>
      <c r="M227" s="2"/>
      <c r="N227" s="2"/>
      <c r="O227" s="2"/>
      <c r="P227" s="2"/>
      <c r="Q227" s="2"/>
      <c r="R227" s="2"/>
      <c r="S227" s="2"/>
      <c r="T227" s="2"/>
      <c r="U227" s="2"/>
      <c r="V227" s="2"/>
      <c r="W227" s="2"/>
      <c r="X227" s="2"/>
      <c r="Y227" s="2"/>
      <c r="Z227" s="2"/>
    </row>
    <row r="228" ht="13.5" customHeight="1" spans="1:26">
      <c r="A228" s="20" t="s">
        <v>853</v>
      </c>
      <c r="B228" s="20" t="s">
        <v>8593</v>
      </c>
      <c r="C228" s="20" t="s">
        <v>855</v>
      </c>
      <c r="D228" s="23">
        <v>40</v>
      </c>
      <c r="E228" s="20" t="s">
        <v>671</v>
      </c>
      <c r="F228" s="24" t="str">
        <f>HYPERLINK("http://www.franciza.ro/UserContent/Fabio_Salsa_Logo_02.jpg","http://www.franciza.ro/UserContent/Fabio_Salsa_Logo_02.jpg")</f>
        <v>http://www.franciza.ro/UserContent/Fabio_Salsa_Logo_02.jpg</v>
      </c>
      <c r="G228" s="24" t="str">
        <f>HYPERLINK("http://www.fabiosalsa.com/","http://www.fabiosalsa.com/")</f>
        <v>http://www.fabiosalsa.com/</v>
      </c>
      <c r="H228" s="2"/>
      <c r="I228" s="2"/>
      <c r="J228" s="2"/>
      <c r="K228" s="2"/>
      <c r="L228" s="2"/>
      <c r="M228" s="2"/>
      <c r="N228" s="2"/>
      <c r="O228" s="2"/>
      <c r="P228" s="2"/>
      <c r="Q228" s="2"/>
      <c r="R228" s="2"/>
      <c r="S228" s="2"/>
      <c r="T228" s="2"/>
      <c r="U228" s="2"/>
      <c r="V228" s="2"/>
      <c r="W228" s="2"/>
      <c r="X228" s="2"/>
      <c r="Y228" s="2"/>
      <c r="Z228" s="2"/>
    </row>
    <row r="229" ht="13.5" customHeight="1" spans="1:26">
      <c r="A229" s="20" t="s">
        <v>853</v>
      </c>
      <c r="B229" s="20" t="s">
        <v>858</v>
      </c>
      <c r="C229" s="20" t="s">
        <v>855</v>
      </c>
      <c r="D229" s="23">
        <v>40</v>
      </c>
      <c r="E229" s="20" t="s">
        <v>671</v>
      </c>
      <c r="F229" s="24" t="str">
        <f>HYPERLINK("http://www.franckprovost.com/content/themes/franckprovost/img/logo_franck_provost_paris_black.png","http://www.franckprovost.com/content/themes/franckprovost/img/logo_franck_provost_paris_black.png")</f>
        <v>http://www.franckprovost.com/content/themes/franckprovost/img/logo_franck_provost_paris_black.png</v>
      </c>
      <c r="G229" s="24" t="str">
        <f>HYPERLINK("http://www.franckprovost.com/","http://www.franckprovost.com/")</f>
        <v>http://www.franckprovost.com/</v>
      </c>
      <c r="H229" s="2"/>
      <c r="I229" s="2"/>
      <c r="J229" s="2"/>
      <c r="K229" s="2"/>
      <c r="L229" s="2"/>
      <c r="M229" s="2"/>
      <c r="N229" s="2"/>
      <c r="O229" s="2"/>
      <c r="P229" s="2"/>
      <c r="Q229" s="2"/>
      <c r="R229" s="2"/>
      <c r="S229" s="2"/>
      <c r="T229" s="2"/>
      <c r="U229" s="2"/>
      <c r="V229" s="2"/>
      <c r="W229" s="2"/>
      <c r="X229" s="2"/>
      <c r="Y229" s="2"/>
      <c r="Z229" s="2"/>
    </row>
    <row r="230" ht="13.5" customHeight="1" spans="1:26">
      <c r="A230" s="20" t="s">
        <v>853</v>
      </c>
      <c r="B230" s="20" t="s">
        <v>861</v>
      </c>
      <c r="C230" s="20" t="s">
        <v>855</v>
      </c>
      <c r="D230" s="23">
        <v>40</v>
      </c>
      <c r="E230" s="20" t="s">
        <v>671</v>
      </c>
      <c r="F230" s="24" t="str">
        <f>HYPERLINK("http://www.logopub.net/data/thumbnails/11/Jacques_Dessange_logo.jpg","http://www.logopub.net/data/thumbnails/11/Jacques_Dessange_logo.jpg")</f>
        <v>http://www.logopub.net/data/thumbnails/11/Jacques_Dessange_logo.jpg</v>
      </c>
      <c r="G230" s="24" t="str">
        <f>HYPERLINK("http://www.dessange.com/index-fr.html","http://www.dessange.com/index-fr.html")</f>
        <v>http://www.dessange.com/index-fr.html</v>
      </c>
      <c r="H230" s="2"/>
      <c r="I230" s="2"/>
      <c r="J230" s="2"/>
      <c r="K230" s="2"/>
      <c r="L230" s="2"/>
      <c r="M230" s="2"/>
      <c r="N230" s="2"/>
      <c r="O230" s="2"/>
      <c r="P230" s="2"/>
      <c r="Q230" s="2"/>
      <c r="R230" s="2"/>
      <c r="S230" s="2"/>
      <c r="T230" s="2"/>
      <c r="U230" s="2"/>
      <c r="V230" s="2"/>
      <c r="W230" s="2"/>
      <c r="X230" s="2"/>
      <c r="Y230" s="2"/>
      <c r="Z230" s="2"/>
    </row>
    <row r="231" ht="13.5" customHeight="1" spans="1:26">
      <c r="A231" s="20" t="s">
        <v>853</v>
      </c>
      <c r="B231" s="20" t="s">
        <v>864</v>
      </c>
      <c r="C231" s="20" t="s">
        <v>855</v>
      </c>
      <c r="D231" s="23">
        <v>40</v>
      </c>
      <c r="E231" s="20" t="s">
        <v>671</v>
      </c>
      <c r="F231" s="24" t="str">
        <f>HYPERLINK("http://www.logotheque.fr/78616-2/logo+Jean+Louis+David.jpg","http://www.logotheque.fr/78616-2/logo+Jean+Louis+David.jpg")</f>
        <v>http://www.logotheque.fr/78616-2/logo+Jean+Louis+David.jpg</v>
      </c>
      <c r="G231" s="24" t="str">
        <f>HYPERLINK("http://www.jeanlouisdavid.com/","http://www.jeanlouisdavid.com/")</f>
        <v>http://www.jeanlouisdavid.com/</v>
      </c>
      <c r="H231" s="2"/>
      <c r="I231" s="2"/>
      <c r="J231" s="2"/>
      <c r="K231" s="2"/>
      <c r="L231" s="2"/>
      <c r="M231" s="2"/>
      <c r="N231" s="2"/>
      <c r="O231" s="2"/>
      <c r="P231" s="2"/>
      <c r="Q231" s="2"/>
      <c r="R231" s="2"/>
      <c r="S231" s="2"/>
      <c r="T231" s="2"/>
      <c r="U231" s="2"/>
      <c r="V231" s="2"/>
      <c r="W231" s="2"/>
      <c r="X231" s="2"/>
      <c r="Y231" s="2"/>
      <c r="Z231" s="2"/>
    </row>
    <row r="232" ht="13.5" customHeight="1" spans="1:26">
      <c r="A232" s="20" t="s">
        <v>867</v>
      </c>
      <c r="B232" s="20" t="s">
        <v>868</v>
      </c>
      <c r="C232" s="20" t="s">
        <v>869</v>
      </c>
      <c r="D232" s="23">
        <v>350</v>
      </c>
      <c r="E232" s="20" t="s">
        <v>707</v>
      </c>
      <c r="F232" s="24" t="str">
        <f>HYPERLINK("http://upload.wikimedia.org/wikipedia/fr/9/92/Citroen_2009.svg","http://upload.wikimedia.org/wikipedia/fr/9/92/Citroen_2009.svg")</f>
        <v>http://upload.wikimedia.org/wikipedia/fr/9/92/Citroen_2009.svg</v>
      </c>
      <c r="G232" s="24" t="str">
        <f>HYPERLINK("http://www.reseau.citroen.fr/","www.reseau.citroen.fr/")</f>
        <v>www.reseau.citroen.fr/</v>
      </c>
      <c r="H232" s="2"/>
      <c r="I232" s="2"/>
      <c r="J232" s="2"/>
      <c r="K232" s="2"/>
      <c r="L232" s="2"/>
      <c r="M232" s="2"/>
      <c r="N232" s="2"/>
      <c r="O232" s="2"/>
      <c r="P232" s="2"/>
      <c r="Q232" s="2"/>
      <c r="R232" s="2"/>
      <c r="S232" s="2"/>
      <c r="T232" s="2"/>
      <c r="U232" s="2"/>
      <c r="V232" s="2"/>
      <c r="W232" s="2"/>
      <c r="X232" s="2"/>
      <c r="Y232" s="2"/>
      <c r="Z232" s="2"/>
    </row>
    <row r="233" ht="13.5" customHeight="1" spans="1:26">
      <c r="A233" s="20" t="s">
        <v>871</v>
      </c>
      <c r="B233" s="20" t="s">
        <v>872</v>
      </c>
      <c r="C233" s="20" t="s">
        <v>873</v>
      </c>
      <c r="D233" s="23">
        <v>80</v>
      </c>
      <c r="E233" s="20" t="s">
        <v>671</v>
      </c>
      <c r="F233" s="24" t="str">
        <f>HYPERLINK("http://upload.wikimedia.org/wikipedia/commons/5/53/H&amp;M-Logo.svg","http://upload.wikimedia.org/wikipedia/commons/5/53/H&amp;M-Logo.svg")</f>
        <v>http://upload.wikimedia.org/wikipedia/commons/5/53/H&amp;M-Logo.svg</v>
      </c>
      <c r="G233" s="24" t="str">
        <f>HYPERLINK("http://www.hm.com/","www.hm.com/")</f>
        <v>www.hm.com/</v>
      </c>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1000"/>
  <sheetViews>
    <sheetView showGridLines="0" workbookViewId="0">
      <pane xSplit="1" ySplit="1" topLeftCell="B2" activePane="bottomRight" state="frozen"/>
      <selection/>
      <selection pane="topRight"/>
      <selection pane="bottomLeft"/>
      <selection pane="bottomRight" activeCell="C2" sqref="C2"/>
    </sheetView>
  </sheetViews>
  <sheetFormatPr defaultColWidth="12.6607142857143" defaultRowHeight="15" customHeight="1"/>
  <cols>
    <col min="1" max="1" width="29.8303571428571" customWidth="1"/>
    <col min="2" max="2" width="24" customWidth="1"/>
    <col min="3" max="3" width="20.1607142857143" customWidth="1"/>
    <col min="4" max="4" width="21" customWidth="1"/>
    <col min="5" max="5" width="37.3303571428571" customWidth="1"/>
    <col min="6" max="6" width="64.5" customWidth="1"/>
    <col min="7" max="7" width="35.6607142857143" customWidth="1"/>
    <col min="8" max="17" width="8.83035714285714" customWidth="1"/>
    <col min="18" max="26" width="11.1607142857143" customWidth="1"/>
  </cols>
  <sheetData>
    <row r="1" ht="14.25" customHeight="1" spans="1:26">
      <c r="A1" s="1" t="s">
        <v>0</v>
      </c>
      <c r="B1" s="2"/>
      <c r="C1" s="2"/>
      <c r="D1" s="2"/>
      <c r="E1" s="2"/>
      <c r="F1" s="2"/>
      <c r="G1" s="2"/>
      <c r="H1" s="2"/>
      <c r="I1" s="2"/>
      <c r="J1" s="2"/>
      <c r="K1" s="2"/>
      <c r="L1" s="2"/>
      <c r="M1" s="2"/>
      <c r="N1" s="2"/>
      <c r="O1" s="2"/>
      <c r="P1" s="2"/>
      <c r="Q1" s="2"/>
      <c r="R1" s="2"/>
      <c r="S1" s="2"/>
      <c r="T1" s="2"/>
      <c r="U1" s="2"/>
      <c r="V1" s="2"/>
      <c r="W1" s="2"/>
      <c r="X1" s="2"/>
      <c r="Y1" s="2"/>
      <c r="Z1" s="2"/>
    </row>
    <row r="2" ht="14.25" customHeight="1" spans="1:26">
      <c r="A2" s="1" t="s">
        <v>1243</v>
      </c>
      <c r="B2" s="2"/>
      <c r="C2" s="2"/>
      <c r="D2" s="2" t="s">
        <v>2</v>
      </c>
      <c r="E2" s="2"/>
      <c r="F2" s="2"/>
      <c r="G2" s="2"/>
      <c r="H2" s="2"/>
      <c r="I2" s="2"/>
      <c r="J2" s="2"/>
      <c r="K2" s="2"/>
      <c r="L2" s="2"/>
      <c r="M2" s="2"/>
      <c r="N2" s="2"/>
      <c r="O2" s="2"/>
      <c r="P2" s="2"/>
      <c r="Q2" s="2"/>
      <c r="R2" s="2"/>
      <c r="S2" s="2"/>
      <c r="T2" s="2"/>
      <c r="U2" s="2"/>
      <c r="V2" s="2"/>
      <c r="W2" s="2"/>
      <c r="X2" s="2"/>
      <c r="Y2" s="2"/>
      <c r="Z2" s="2"/>
    </row>
    <row r="3" customHeight="1" spans="1:26">
      <c r="A3" s="3" t="s">
        <v>3</v>
      </c>
      <c r="B3" s="4" t="s">
        <v>4</v>
      </c>
      <c r="C3" s="5" t="s">
        <v>5</v>
      </c>
      <c r="D3" s="4" t="s">
        <v>6</v>
      </c>
      <c r="E3" s="4" t="s">
        <v>7</v>
      </c>
      <c r="F3" s="4" t="s">
        <v>8</v>
      </c>
      <c r="G3" s="4" t="s">
        <v>9</v>
      </c>
      <c r="H3" s="2"/>
      <c r="I3" s="2"/>
      <c r="J3" s="2"/>
      <c r="K3" s="2"/>
      <c r="L3" s="2"/>
      <c r="M3" s="2"/>
      <c r="N3" s="2"/>
      <c r="O3" s="2"/>
      <c r="P3" s="2"/>
      <c r="Q3" s="2"/>
      <c r="R3" s="2"/>
      <c r="S3" s="2"/>
      <c r="T3" s="2"/>
      <c r="U3" s="2"/>
      <c r="V3" s="2"/>
      <c r="W3" s="2"/>
      <c r="X3" s="2"/>
      <c r="Y3" s="2"/>
      <c r="Z3" s="2"/>
    </row>
    <row r="4" customHeight="1" spans="1:26">
      <c r="A4" s="6" t="s">
        <v>10</v>
      </c>
      <c r="B4" s="2" t="s">
        <v>1456</v>
      </c>
      <c r="C4" s="2" t="s">
        <v>12</v>
      </c>
      <c r="D4" s="2"/>
      <c r="E4" s="2"/>
      <c r="F4" s="2" t="s">
        <v>6198</v>
      </c>
      <c r="G4" s="2" t="s">
        <v>6199</v>
      </c>
      <c r="H4" s="2"/>
      <c r="I4" s="2"/>
      <c r="J4" s="2"/>
      <c r="K4" s="2"/>
      <c r="L4" s="2"/>
      <c r="M4" s="2"/>
      <c r="N4" s="2"/>
      <c r="O4" s="2"/>
      <c r="P4" s="2"/>
      <c r="Q4" s="2"/>
      <c r="R4" s="2"/>
      <c r="S4" s="2"/>
      <c r="T4" s="2"/>
      <c r="U4" s="2"/>
      <c r="V4" s="2"/>
      <c r="W4" s="2"/>
      <c r="X4" s="2"/>
      <c r="Y4" s="2"/>
      <c r="Z4" s="2"/>
    </row>
    <row r="5" customHeight="1" spans="1:26">
      <c r="A5" s="7" t="s">
        <v>15</v>
      </c>
      <c r="B5" s="2" t="s">
        <v>6200</v>
      </c>
      <c r="C5" s="2" t="s">
        <v>12</v>
      </c>
      <c r="D5" s="2"/>
      <c r="E5" s="2"/>
      <c r="F5" s="9" t="str">
        <f>HYPERLINK("http://i.forbesimg.com/media/lists/companies/marks-spencer_416x416.jpg","http://airlines-airports.com/wp-content/uploads/2016/07/Delta-Air-Lines-logo.jpg")</f>
        <v>http://airlines-airports.com/wp-content/uploads/2016/07/Delta-Air-Lines-logo.jpg</v>
      </c>
      <c r="G5" s="9" t="str">
        <f>HYPERLINK("http://www.marksandspencer.com/","http://www.delta.com/")</f>
        <v>http://www.delta.com/</v>
      </c>
      <c r="H5" s="2"/>
      <c r="I5" s="2"/>
      <c r="J5" s="2"/>
      <c r="K5" s="2"/>
      <c r="L5" s="2"/>
      <c r="M5" s="2"/>
      <c r="N5" s="2"/>
      <c r="O5" s="2"/>
      <c r="P5" s="2"/>
      <c r="Q5" s="2"/>
      <c r="R5" s="2"/>
      <c r="S5" s="2"/>
      <c r="T5" s="2"/>
      <c r="U5" s="2"/>
      <c r="V5" s="2"/>
      <c r="W5" s="2"/>
      <c r="X5" s="2"/>
      <c r="Y5" s="2"/>
      <c r="Z5" s="2"/>
    </row>
    <row r="6" ht="14.25" customHeight="1" spans="1:26">
      <c r="A6" s="2" t="s">
        <v>18</v>
      </c>
      <c r="B6" s="2" t="s">
        <v>8594</v>
      </c>
      <c r="C6" s="2" t="s">
        <v>20</v>
      </c>
      <c r="D6" s="8">
        <v>340</v>
      </c>
      <c r="E6" s="2" t="s">
        <v>21</v>
      </c>
      <c r="F6" s="2" t="s">
        <v>8595</v>
      </c>
      <c r="G6" s="2" t="s">
        <v>8596</v>
      </c>
      <c r="H6" s="2"/>
      <c r="I6" s="2"/>
      <c r="J6" s="2"/>
      <c r="K6" s="2"/>
      <c r="L6" s="2"/>
      <c r="M6" s="2"/>
      <c r="N6" s="2"/>
      <c r="O6" s="2"/>
      <c r="P6" s="2"/>
      <c r="Q6" s="2"/>
      <c r="R6" s="2"/>
      <c r="S6" s="2"/>
      <c r="T6" s="2"/>
      <c r="U6" s="2"/>
      <c r="V6" s="2"/>
      <c r="W6" s="2"/>
      <c r="X6" s="2"/>
      <c r="Y6" s="2"/>
      <c r="Z6" s="2"/>
    </row>
    <row r="7" ht="14.25" customHeight="1" spans="1:26">
      <c r="A7" s="6" t="s">
        <v>24</v>
      </c>
      <c r="B7" s="2" t="s">
        <v>8597</v>
      </c>
      <c r="C7" s="2" t="s">
        <v>6207</v>
      </c>
      <c r="D7" s="8">
        <v>85</v>
      </c>
      <c r="E7" s="2" t="s">
        <v>21</v>
      </c>
      <c r="F7" s="2" t="s">
        <v>8598</v>
      </c>
      <c r="G7" s="2" t="s">
        <v>8599</v>
      </c>
      <c r="H7" s="2"/>
      <c r="I7" s="2"/>
      <c r="J7" s="2"/>
      <c r="K7" s="2"/>
      <c r="L7" s="2"/>
      <c r="M7" s="2"/>
      <c r="N7" s="2"/>
      <c r="O7" s="2"/>
      <c r="P7" s="2"/>
      <c r="Q7" s="2"/>
      <c r="R7" s="2"/>
      <c r="S7" s="2"/>
      <c r="T7" s="2"/>
      <c r="U7" s="2"/>
      <c r="V7" s="2"/>
      <c r="W7" s="2"/>
      <c r="X7" s="2"/>
      <c r="Y7" s="2"/>
      <c r="Z7" s="2"/>
    </row>
    <row r="8" ht="14.25" customHeight="1" spans="1:26">
      <c r="A8" s="6" t="s">
        <v>29</v>
      </c>
      <c r="B8" s="2" t="s">
        <v>8600</v>
      </c>
      <c r="C8" s="2" t="s">
        <v>31</v>
      </c>
      <c r="D8" s="2">
        <v>30</v>
      </c>
      <c r="E8" s="2" t="s">
        <v>32</v>
      </c>
      <c r="F8" s="2" t="s">
        <v>8601</v>
      </c>
      <c r="G8" s="2" t="s">
        <v>8602</v>
      </c>
      <c r="H8" s="2"/>
      <c r="I8" s="2"/>
      <c r="J8" s="2"/>
      <c r="K8" s="2"/>
      <c r="L8" s="2"/>
      <c r="M8" s="2"/>
      <c r="N8" s="2"/>
      <c r="O8" s="2"/>
      <c r="P8" s="2"/>
      <c r="Q8" s="2"/>
      <c r="R8" s="2"/>
      <c r="S8" s="2"/>
      <c r="T8" s="2"/>
      <c r="U8" s="2"/>
      <c r="V8" s="2"/>
      <c r="W8" s="2"/>
      <c r="X8" s="2"/>
      <c r="Y8" s="2"/>
      <c r="Z8" s="2"/>
    </row>
    <row r="9" ht="14.25" customHeight="1" spans="1:26">
      <c r="A9" s="6" t="s">
        <v>35</v>
      </c>
      <c r="B9" s="2" t="s">
        <v>8603</v>
      </c>
      <c r="C9" s="2" t="s">
        <v>31</v>
      </c>
      <c r="D9" s="2">
        <v>30</v>
      </c>
      <c r="E9" s="2" t="s">
        <v>37</v>
      </c>
      <c r="F9" s="2" t="s">
        <v>8604</v>
      </c>
      <c r="G9" s="9" t="str">
        <f>HYPERLINK("http://www.ebay.de/","http://amoryamargony.com/")</f>
        <v>http://amoryamargony.com/</v>
      </c>
      <c r="H9" s="2"/>
      <c r="I9" s="2"/>
      <c r="J9" s="2"/>
      <c r="K9" s="2"/>
      <c r="L9" s="2"/>
      <c r="M9" s="2"/>
      <c r="N9" s="2"/>
      <c r="O9" s="2"/>
      <c r="P9" s="2"/>
      <c r="Q9" s="2"/>
      <c r="R9" s="2"/>
      <c r="S9" s="2"/>
      <c r="T9" s="2"/>
      <c r="U9" s="2"/>
      <c r="V9" s="2"/>
      <c r="W9" s="2"/>
      <c r="X9" s="2"/>
      <c r="Y9" s="2"/>
      <c r="Z9" s="2"/>
    </row>
    <row r="10" ht="14.25" customHeight="1" spans="1:26">
      <c r="A10" s="6" t="s">
        <v>40</v>
      </c>
      <c r="B10" s="2" t="s">
        <v>6216</v>
      </c>
      <c r="C10" s="2" t="s">
        <v>4167</v>
      </c>
      <c r="D10" s="2">
        <v>106</v>
      </c>
      <c r="E10" s="2" t="s">
        <v>21</v>
      </c>
      <c r="F10" s="2" t="s">
        <v>6217</v>
      </c>
      <c r="G10" s="9" t="str">
        <f>HYPERLINK("http://www.amazon.de/","http://www.booking.com/index.html?aid=811935")</f>
        <v>http://www.booking.com/index.html?aid=811935</v>
      </c>
      <c r="H10" s="2"/>
      <c r="I10" s="2"/>
      <c r="J10" s="2"/>
      <c r="K10" s="2"/>
      <c r="L10" s="2"/>
      <c r="M10" s="2"/>
      <c r="N10" s="2"/>
      <c r="O10" s="2"/>
      <c r="P10" s="2"/>
      <c r="Q10" s="2"/>
      <c r="R10" s="2"/>
      <c r="S10" s="2"/>
      <c r="T10" s="2"/>
      <c r="U10" s="2"/>
      <c r="V10" s="2"/>
      <c r="W10" s="2"/>
      <c r="X10" s="2"/>
      <c r="Y10" s="2"/>
      <c r="Z10" s="2"/>
    </row>
    <row r="11" ht="14.25" customHeight="1" spans="1:26">
      <c r="A11" s="6" t="s">
        <v>44</v>
      </c>
      <c r="B11" s="2" t="s">
        <v>6219</v>
      </c>
      <c r="C11" s="2" t="s">
        <v>46</v>
      </c>
      <c r="D11" s="2"/>
      <c r="E11" s="2"/>
      <c r="F11" s="2" t="s">
        <v>6220</v>
      </c>
      <c r="G11" s="2" t="s">
        <v>6221</v>
      </c>
      <c r="H11" s="2"/>
      <c r="I11" s="2"/>
      <c r="J11" s="2"/>
      <c r="K11" s="2"/>
      <c r="L11" s="2"/>
      <c r="M11" s="2"/>
      <c r="N11" s="2"/>
      <c r="O11" s="2"/>
      <c r="P11" s="2"/>
      <c r="Q11" s="2"/>
      <c r="R11" s="2"/>
      <c r="S11" s="2"/>
      <c r="T11" s="2"/>
      <c r="U11" s="2"/>
      <c r="V11" s="2"/>
      <c r="W11" s="2"/>
      <c r="X11" s="2"/>
      <c r="Y11" s="2"/>
      <c r="Z11" s="2"/>
    </row>
    <row r="12" ht="14.25" customHeight="1" spans="1:26">
      <c r="A12" s="2" t="s">
        <v>49</v>
      </c>
      <c r="B12" s="2" t="s">
        <v>6222</v>
      </c>
      <c r="C12" s="2" t="s">
        <v>4744</v>
      </c>
      <c r="D12" s="2"/>
      <c r="E12" s="2"/>
      <c r="F12" s="2" t="s">
        <v>6223</v>
      </c>
      <c r="G12" s="2" t="s">
        <v>6224</v>
      </c>
      <c r="H12" s="2"/>
      <c r="I12" s="2"/>
      <c r="J12" s="2"/>
      <c r="K12" s="2"/>
      <c r="L12" s="2"/>
      <c r="M12" s="2"/>
      <c r="N12" s="2"/>
      <c r="O12" s="2"/>
      <c r="P12" s="2"/>
      <c r="Q12" s="2"/>
      <c r="R12" s="2"/>
      <c r="S12" s="2"/>
      <c r="T12" s="2"/>
      <c r="U12" s="2"/>
      <c r="V12" s="2"/>
      <c r="W12" s="2"/>
      <c r="X12" s="2"/>
      <c r="Y12" s="2"/>
      <c r="Z12" s="2"/>
    </row>
    <row r="13" ht="14.25" customHeight="1" spans="1:26">
      <c r="A13" s="6" t="s">
        <v>54</v>
      </c>
      <c r="B13" s="2" t="s">
        <v>6225</v>
      </c>
      <c r="C13" s="2" t="s">
        <v>2579</v>
      </c>
      <c r="D13" s="2"/>
      <c r="E13" s="2"/>
      <c r="F13" s="2" t="s">
        <v>6226</v>
      </c>
      <c r="G13" s="2" t="s">
        <v>6227</v>
      </c>
      <c r="H13" s="2"/>
      <c r="I13" s="2"/>
      <c r="J13" s="2"/>
      <c r="K13" s="2"/>
      <c r="L13" s="2"/>
      <c r="M13" s="2"/>
      <c r="N13" s="2"/>
      <c r="O13" s="2"/>
      <c r="P13" s="2"/>
      <c r="Q13" s="2"/>
      <c r="R13" s="2"/>
      <c r="S13" s="2"/>
      <c r="T13" s="2"/>
      <c r="U13" s="2"/>
      <c r="V13" s="2"/>
      <c r="W13" s="2"/>
      <c r="X13" s="2"/>
      <c r="Y13" s="2"/>
      <c r="Z13" s="2"/>
    </row>
    <row r="14" ht="14.25" customHeight="1" spans="1:26">
      <c r="A14" s="6" t="s">
        <v>59</v>
      </c>
      <c r="B14" s="2" t="s">
        <v>6228</v>
      </c>
      <c r="C14" s="2" t="s">
        <v>61</v>
      </c>
      <c r="D14" s="2">
        <v>13</v>
      </c>
      <c r="E14" s="2" t="s">
        <v>37</v>
      </c>
      <c r="F14" s="2" t="s">
        <v>6229</v>
      </c>
      <c r="G14" s="2" t="s">
        <v>8605</v>
      </c>
      <c r="H14" s="2"/>
      <c r="I14" s="2"/>
      <c r="J14" s="2"/>
      <c r="K14" s="2"/>
      <c r="L14" s="2"/>
      <c r="M14" s="2"/>
      <c r="N14" s="2"/>
      <c r="O14" s="2"/>
      <c r="P14" s="2"/>
      <c r="Q14" s="2"/>
      <c r="R14" s="2"/>
      <c r="S14" s="2"/>
      <c r="T14" s="2"/>
      <c r="U14" s="2"/>
      <c r="V14" s="2"/>
      <c r="W14" s="2"/>
      <c r="X14" s="2"/>
      <c r="Y14" s="2"/>
      <c r="Z14" s="2"/>
    </row>
    <row r="15" ht="14.25" customHeight="1" spans="1:26">
      <c r="A15" s="6" t="s">
        <v>64</v>
      </c>
      <c r="B15" s="2" t="s">
        <v>2097</v>
      </c>
      <c r="C15" s="2" t="s">
        <v>66</v>
      </c>
      <c r="D15" s="2">
        <v>13</v>
      </c>
      <c r="E15" s="2" t="s">
        <v>32</v>
      </c>
      <c r="F15" s="2" t="s">
        <v>6231</v>
      </c>
      <c r="G15" s="2" t="s">
        <v>6232</v>
      </c>
      <c r="H15" s="2"/>
      <c r="I15" s="2"/>
      <c r="J15" s="2"/>
      <c r="K15" s="2"/>
      <c r="L15" s="2"/>
      <c r="M15" s="2"/>
      <c r="N15" s="2"/>
      <c r="O15" s="2"/>
      <c r="P15" s="2"/>
      <c r="Q15" s="2"/>
      <c r="R15" s="2"/>
      <c r="S15" s="2"/>
      <c r="T15" s="2"/>
      <c r="U15" s="2"/>
      <c r="V15" s="2"/>
      <c r="W15" s="2"/>
      <c r="X15" s="2"/>
      <c r="Y15" s="2"/>
      <c r="Z15" s="2"/>
    </row>
    <row r="16" ht="14.25" customHeight="1" spans="1:26">
      <c r="A16" s="6" t="s">
        <v>69</v>
      </c>
      <c r="B16" s="2" t="s">
        <v>6233</v>
      </c>
      <c r="C16" s="2" t="s">
        <v>66</v>
      </c>
      <c r="D16" s="2">
        <v>12</v>
      </c>
      <c r="E16" s="2" t="s">
        <v>71</v>
      </c>
      <c r="F16" s="2" t="s">
        <v>6234</v>
      </c>
      <c r="G16" s="2" t="s">
        <v>6235</v>
      </c>
      <c r="H16" s="2"/>
      <c r="I16" s="2"/>
      <c r="J16" s="2"/>
      <c r="K16" s="2"/>
      <c r="L16" s="2"/>
      <c r="M16" s="2"/>
      <c r="N16" s="2"/>
      <c r="O16" s="2"/>
      <c r="P16" s="2"/>
      <c r="Q16" s="2"/>
      <c r="R16" s="2"/>
      <c r="S16" s="2"/>
      <c r="T16" s="2"/>
      <c r="U16" s="2"/>
      <c r="V16" s="2"/>
      <c r="W16" s="2"/>
      <c r="X16" s="2"/>
      <c r="Y16" s="2"/>
      <c r="Z16" s="2"/>
    </row>
    <row r="17" ht="14.25" customHeight="1" spans="1:26">
      <c r="A17" s="6" t="s">
        <v>74</v>
      </c>
      <c r="B17" s="2" t="s">
        <v>6236</v>
      </c>
      <c r="C17" s="2" t="s">
        <v>76</v>
      </c>
      <c r="D17" s="2"/>
      <c r="E17" s="2"/>
      <c r="F17" s="2" t="s">
        <v>6237</v>
      </c>
      <c r="G17" s="2" t="s">
        <v>6238</v>
      </c>
      <c r="H17" s="2"/>
      <c r="I17" s="2"/>
      <c r="J17" s="2"/>
      <c r="K17" s="2"/>
      <c r="L17" s="2"/>
      <c r="M17" s="2"/>
      <c r="N17" s="2"/>
      <c r="O17" s="2"/>
      <c r="P17" s="2"/>
      <c r="Q17" s="2"/>
      <c r="R17" s="2"/>
      <c r="S17" s="2"/>
      <c r="T17" s="2"/>
      <c r="U17" s="2"/>
      <c r="V17" s="2"/>
      <c r="W17" s="2"/>
      <c r="X17" s="2"/>
      <c r="Y17" s="2"/>
      <c r="Z17" s="2"/>
    </row>
    <row r="18" ht="14.25" customHeight="1" spans="1:26">
      <c r="A18" s="6" t="s">
        <v>79</v>
      </c>
      <c r="B18" s="2" t="s">
        <v>8606</v>
      </c>
      <c r="C18" s="2" t="s">
        <v>81</v>
      </c>
      <c r="D18" s="2">
        <v>30</v>
      </c>
      <c r="E18" s="2" t="s">
        <v>37</v>
      </c>
      <c r="F18" s="2" t="s">
        <v>8607</v>
      </c>
      <c r="G18" s="2" t="s">
        <v>8608</v>
      </c>
      <c r="H18" s="2"/>
      <c r="I18" s="2"/>
      <c r="J18" s="2"/>
      <c r="K18" s="2"/>
      <c r="L18" s="2"/>
      <c r="M18" s="2"/>
      <c r="N18" s="2"/>
      <c r="O18" s="2"/>
      <c r="P18" s="2"/>
      <c r="Q18" s="2"/>
      <c r="R18" s="2"/>
      <c r="S18" s="2"/>
      <c r="T18" s="2"/>
      <c r="U18" s="2"/>
      <c r="V18" s="2"/>
      <c r="W18" s="2"/>
      <c r="X18" s="2"/>
      <c r="Y18" s="2"/>
      <c r="Z18" s="2"/>
    </row>
    <row r="19" ht="14.25" customHeight="1" spans="1:26">
      <c r="A19" s="6" t="s">
        <v>84</v>
      </c>
      <c r="B19" s="2" t="s">
        <v>8609</v>
      </c>
      <c r="C19" s="2" t="s">
        <v>86</v>
      </c>
      <c r="D19" s="8">
        <v>134</v>
      </c>
      <c r="E19" s="2" t="s">
        <v>21</v>
      </c>
      <c r="F19" s="2" t="s">
        <v>8610</v>
      </c>
      <c r="G19" s="9" t="str">
        <f>HYPERLINK("http://www.thebodyshop.de/","http://www.nysmilespecialist.com/")</f>
        <v>http://www.nysmilespecialist.com/</v>
      </c>
      <c r="H19" s="2"/>
      <c r="I19" s="2"/>
      <c r="J19" s="2"/>
      <c r="K19" s="2"/>
      <c r="L19" s="2"/>
      <c r="M19" s="2"/>
      <c r="N19" s="2"/>
      <c r="O19" s="2"/>
      <c r="P19" s="2"/>
      <c r="Q19" s="2"/>
      <c r="R19" s="2"/>
      <c r="S19" s="2"/>
      <c r="T19" s="2"/>
      <c r="U19" s="2"/>
      <c r="V19" s="2"/>
      <c r="W19" s="2"/>
      <c r="X19" s="2"/>
      <c r="Y19" s="2"/>
      <c r="Z19" s="2"/>
    </row>
    <row r="20" ht="14.25" customHeight="1" spans="1:26">
      <c r="A20" s="6" t="s">
        <v>89</v>
      </c>
      <c r="B20" s="2" t="s">
        <v>8611</v>
      </c>
      <c r="C20" s="2" t="s">
        <v>91</v>
      </c>
      <c r="D20" s="2"/>
      <c r="E20" s="2"/>
      <c r="F20" s="2" t="s">
        <v>8612</v>
      </c>
      <c r="G20" s="9" t="str">
        <f>HYPERLINK("http://www.maccosmetics.de/","http://www.bhsusa.com/")</f>
        <v>http://www.bhsusa.com/</v>
      </c>
      <c r="H20" s="2"/>
      <c r="I20" s="2"/>
      <c r="J20" s="2"/>
      <c r="K20" s="2"/>
      <c r="L20" s="2"/>
      <c r="M20" s="2"/>
      <c r="N20" s="2"/>
      <c r="O20" s="2"/>
      <c r="P20" s="2"/>
      <c r="Q20" s="2"/>
      <c r="R20" s="2"/>
      <c r="S20" s="2"/>
      <c r="T20" s="2"/>
      <c r="U20" s="2"/>
      <c r="V20" s="2"/>
      <c r="W20" s="2"/>
      <c r="X20" s="2"/>
      <c r="Y20" s="2"/>
      <c r="Z20" s="2"/>
    </row>
    <row r="21" ht="14.25" customHeight="1" spans="1:26">
      <c r="A21" s="6" t="s">
        <v>94</v>
      </c>
      <c r="B21" s="2" t="s">
        <v>6248</v>
      </c>
      <c r="C21" s="2" t="s">
        <v>925</v>
      </c>
      <c r="D21" s="2">
        <v>60</v>
      </c>
      <c r="E21" s="2" t="s">
        <v>71</v>
      </c>
      <c r="F21" s="2" t="s">
        <v>6249</v>
      </c>
      <c r="G21" s="2" t="s">
        <v>6250</v>
      </c>
      <c r="H21" s="2"/>
      <c r="I21" s="2"/>
      <c r="J21" s="2"/>
      <c r="K21" s="2"/>
      <c r="L21" s="2"/>
      <c r="M21" s="2"/>
      <c r="N21" s="2"/>
      <c r="O21" s="2"/>
      <c r="P21" s="2"/>
      <c r="Q21" s="2"/>
      <c r="R21" s="2"/>
      <c r="S21" s="2"/>
      <c r="T21" s="2"/>
      <c r="U21" s="2"/>
      <c r="V21" s="2"/>
      <c r="W21" s="2"/>
      <c r="X21" s="2"/>
      <c r="Y21" s="2"/>
      <c r="Z21" s="2"/>
    </row>
    <row r="22" ht="14.25" customHeight="1" spans="1:26">
      <c r="A22" s="6" t="s">
        <v>99</v>
      </c>
      <c r="B22" s="2" t="s">
        <v>6251</v>
      </c>
      <c r="C22" s="2" t="s">
        <v>925</v>
      </c>
      <c r="D22" s="2">
        <v>70</v>
      </c>
      <c r="E22" s="2" t="s">
        <v>32</v>
      </c>
      <c r="F22" s="2" t="s">
        <v>6252</v>
      </c>
      <c r="G22" s="2" t="s">
        <v>6253</v>
      </c>
      <c r="H22" s="2"/>
      <c r="I22" s="2"/>
      <c r="J22" s="2"/>
      <c r="K22" s="2"/>
      <c r="L22" s="2"/>
      <c r="M22" s="2"/>
      <c r="N22" s="2"/>
      <c r="O22" s="2"/>
      <c r="P22" s="2"/>
      <c r="Q22" s="2"/>
      <c r="R22" s="2"/>
      <c r="S22" s="2"/>
      <c r="T22" s="2"/>
      <c r="U22" s="2"/>
      <c r="V22" s="2"/>
      <c r="W22" s="2"/>
      <c r="X22" s="2"/>
      <c r="Y22" s="2"/>
      <c r="Z22" s="2"/>
    </row>
    <row r="23" ht="14.25" customHeight="1" spans="1:26">
      <c r="A23" s="6" t="s">
        <v>102</v>
      </c>
      <c r="B23" s="2" t="s">
        <v>6254</v>
      </c>
      <c r="C23" s="2" t="s">
        <v>108</v>
      </c>
      <c r="D23" s="2">
        <v>123</v>
      </c>
      <c r="E23" s="2" t="s">
        <v>21</v>
      </c>
      <c r="F23" s="2" t="s">
        <v>6255</v>
      </c>
      <c r="G23" s="2" t="s">
        <v>6256</v>
      </c>
      <c r="H23" s="2"/>
      <c r="I23" s="2"/>
      <c r="J23" s="2"/>
      <c r="K23" s="2"/>
      <c r="L23" s="2"/>
      <c r="M23" s="2"/>
      <c r="N23" s="2"/>
      <c r="O23" s="2"/>
      <c r="P23" s="2"/>
      <c r="Q23" s="2"/>
      <c r="R23" s="2"/>
      <c r="S23" s="2"/>
      <c r="T23" s="2"/>
      <c r="U23" s="2"/>
      <c r="V23" s="2"/>
      <c r="W23" s="2"/>
      <c r="X23" s="2"/>
      <c r="Y23" s="2"/>
      <c r="Z23" s="2"/>
    </row>
    <row r="24" ht="14.25" customHeight="1" spans="1:26">
      <c r="A24" s="6" t="s">
        <v>107</v>
      </c>
      <c r="B24" s="2" t="s">
        <v>6257</v>
      </c>
      <c r="C24" s="2" t="s">
        <v>104</v>
      </c>
      <c r="D24" s="2"/>
      <c r="E24" s="2"/>
      <c r="F24" s="2" t="s">
        <v>6258</v>
      </c>
      <c r="G24" s="2" t="s">
        <v>6259</v>
      </c>
      <c r="H24" s="2"/>
      <c r="I24" s="2"/>
      <c r="J24" s="2"/>
      <c r="K24" s="2"/>
      <c r="L24" s="2"/>
      <c r="M24" s="2"/>
      <c r="N24" s="2"/>
      <c r="O24" s="2"/>
      <c r="P24" s="2"/>
      <c r="Q24" s="2"/>
      <c r="R24" s="2"/>
      <c r="S24" s="2"/>
      <c r="T24" s="2"/>
      <c r="U24" s="2"/>
      <c r="V24" s="2"/>
      <c r="W24" s="2"/>
      <c r="X24" s="2"/>
      <c r="Y24" s="2"/>
      <c r="Z24" s="2"/>
    </row>
    <row r="25" ht="14.25" customHeight="1" spans="1:26">
      <c r="A25" s="6" t="s">
        <v>110</v>
      </c>
      <c r="B25" s="2" t="s">
        <v>6260</v>
      </c>
      <c r="C25" s="2" t="s">
        <v>112</v>
      </c>
      <c r="D25" s="2"/>
      <c r="E25" s="2"/>
      <c r="F25" s="2" t="s">
        <v>6261</v>
      </c>
      <c r="G25" s="2" t="s">
        <v>6262</v>
      </c>
      <c r="H25" s="2"/>
      <c r="I25" s="2"/>
      <c r="J25" s="2"/>
      <c r="K25" s="2"/>
      <c r="L25" s="2"/>
      <c r="M25" s="2"/>
      <c r="N25" s="2"/>
      <c r="O25" s="2"/>
      <c r="P25" s="2"/>
      <c r="Q25" s="2"/>
      <c r="R25" s="2"/>
      <c r="S25" s="2"/>
      <c r="T25" s="2"/>
      <c r="U25" s="2"/>
      <c r="V25" s="2"/>
      <c r="W25" s="2"/>
      <c r="X25" s="2"/>
      <c r="Y25" s="2"/>
      <c r="Z25" s="2"/>
    </row>
    <row r="26" ht="14.25" customHeight="1" spans="1:26">
      <c r="A26" s="2" t="s">
        <v>115</v>
      </c>
      <c r="B26" s="2" t="s">
        <v>8613</v>
      </c>
      <c r="C26" s="2" t="s">
        <v>117</v>
      </c>
      <c r="D26" s="2">
        <v>90</v>
      </c>
      <c r="E26" s="2" t="s">
        <v>32</v>
      </c>
      <c r="F26" s="2" t="s">
        <v>8614</v>
      </c>
      <c r="G26" s="2" t="s">
        <v>8615</v>
      </c>
      <c r="H26" s="2"/>
      <c r="I26" s="2"/>
      <c r="J26" s="2"/>
      <c r="K26" s="2"/>
      <c r="L26" s="2"/>
      <c r="M26" s="2"/>
      <c r="N26" s="2"/>
      <c r="O26" s="2"/>
      <c r="P26" s="2"/>
      <c r="Q26" s="2"/>
      <c r="R26" s="2"/>
      <c r="S26" s="2"/>
      <c r="T26" s="2"/>
      <c r="U26" s="2"/>
      <c r="V26" s="2"/>
      <c r="W26" s="2"/>
      <c r="X26" s="2"/>
      <c r="Y26" s="2"/>
      <c r="Z26" s="2"/>
    </row>
    <row r="27" ht="14.25" customHeight="1" spans="1:26">
      <c r="A27" s="6" t="s">
        <v>120</v>
      </c>
      <c r="B27" s="2" t="s">
        <v>8616</v>
      </c>
      <c r="C27" s="2" t="s">
        <v>117</v>
      </c>
      <c r="D27" s="2">
        <v>60</v>
      </c>
      <c r="E27" s="2" t="s">
        <v>37</v>
      </c>
      <c r="F27" s="2" t="s">
        <v>8617</v>
      </c>
      <c r="G27" s="9" t="str">
        <f>HYPERLINK("http://www.euronics.de/","https://www.kroger.com/")</f>
        <v>https://www.kroger.com/</v>
      </c>
      <c r="H27" s="2"/>
      <c r="I27" s="2"/>
      <c r="J27" s="2"/>
      <c r="K27" s="2"/>
      <c r="L27" s="2"/>
      <c r="M27" s="2"/>
      <c r="N27" s="2"/>
      <c r="O27" s="2"/>
      <c r="P27" s="2"/>
      <c r="Q27" s="2"/>
      <c r="R27" s="2"/>
      <c r="S27" s="2"/>
      <c r="T27" s="2"/>
      <c r="U27" s="2"/>
      <c r="V27" s="2"/>
      <c r="W27" s="2"/>
      <c r="X27" s="2"/>
      <c r="Y27" s="2"/>
      <c r="Z27" s="2"/>
    </row>
    <row r="28" ht="14.25" customHeight="1" spans="1:26">
      <c r="A28" s="6" t="s">
        <v>123</v>
      </c>
      <c r="B28" s="2" t="s">
        <v>8618</v>
      </c>
      <c r="C28" s="2" t="s">
        <v>117</v>
      </c>
      <c r="D28" s="2">
        <v>80</v>
      </c>
      <c r="E28" s="2" t="s">
        <v>245</v>
      </c>
      <c r="F28" s="2" t="s">
        <v>8619</v>
      </c>
      <c r="G28" s="2" t="s">
        <v>8620</v>
      </c>
      <c r="H28" s="2"/>
      <c r="I28" s="2"/>
      <c r="J28" s="2"/>
      <c r="K28" s="2"/>
      <c r="L28" s="2"/>
      <c r="M28" s="2"/>
      <c r="N28" s="2"/>
      <c r="O28" s="2"/>
      <c r="P28" s="2"/>
      <c r="Q28" s="2"/>
      <c r="R28" s="2"/>
      <c r="S28" s="2"/>
      <c r="T28" s="2"/>
      <c r="U28" s="2"/>
      <c r="V28" s="2"/>
      <c r="W28" s="2"/>
      <c r="X28" s="2"/>
      <c r="Y28" s="2"/>
      <c r="Z28" s="2"/>
    </row>
    <row r="29" ht="14.25" customHeight="1" spans="1:26">
      <c r="A29" s="6" t="s">
        <v>127</v>
      </c>
      <c r="B29" s="2" t="s">
        <v>8621</v>
      </c>
      <c r="C29" s="2" t="s">
        <v>117</v>
      </c>
      <c r="D29" s="2">
        <v>50</v>
      </c>
      <c r="E29" s="2" t="s">
        <v>37</v>
      </c>
      <c r="F29" s="2" t="s">
        <v>8622</v>
      </c>
      <c r="G29" s="2" t="s">
        <v>8623</v>
      </c>
      <c r="H29" s="2"/>
      <c r="I29" s="2"/>
      <c r="J29" s="2"/>
      <c r="K29" s="2"/>
      <c r="L29" s="2"/>
      <c r="M29" s="2"/>
      <c r="N29" s="2"/>
      <c r="O29" s="2"/>
      <c r="P29" s="2"/>
      <c r="Q29" s="2"/>
      <c r="R29" s="2"/>
      <c r="S29" s="2"/>
      <c r="T29" s="2"/>
      <c r="U29" s="2"/>
      <c r="V29" s="2"/>
      <c r="W29" s="2"/>
      <c r="X29" s="2"/>
      <c r="Y29" s="2"/>
      <c r="Z29" s="2"/>
    </row>
    <row r="30" ht="14.25" customHeight="1" spans="1:26">
      <c r="A30" s="6" t="s">
        <v>131</v>
      </c>
      <c r="B30" s="2" t="s">
        <v>8624</v>
      </c>
      <c r="C30" s="2" t="s">
        <v>117</v>
      </c>
      <c r="D30" s="2">
        <v>50</v>
      </c>
      <c r="E30" s="2" t="s">
        <v>32</v>
      </c>
      <c r="F30" s="2" t="s">
        <v>8625</v>
      </c>
      <c r="G30" s="2" t="s">
        <v>8626</v>
      </c>
      <c r="H30" s="2"/>
      <c r="I30" s="2"/>
      <c r="J30" s="2"/>
      <c r="K30" s="2"/>
      <c r="L30" s="2"/>
      <c r="M30" s="2"/>
      <c r="N30" s="2"/>
      <c r="O30" s="2"/>
      <c r="P30" s="2"/>
      <c r="Q30" s="2"/>
      <c r="R30" s="2"/>
      <c r="S30" s="2"/>
      <c r="T30" s="2"/>
      <c r="U30" s="2"/>
      <c r="V30" s="2"/>
      <c r="W30" s="2"/>
      <c r="X30" s="2"/>
      <c r="Y30" s="2"/>
      <c r="Z30" s="2"/>
    </row>
    <row r="31" ht="14.25" customHeight="1" spans="1:26">
      <c r="A31" s="6" t="s">
        <v>135</v>
      </c>
      <c r="B31" s="2" t="s">
        <v>8627</v>
      </c>
      <c r="C31" s="2" t="s">
        <v>117</v>
      </c>
      <c r="D31" s="2">
        <v>30</v>
      </c>
      <c r="E31" s="2" t="s">
        <v>32</v>
      </c>
      <c r="F31" s="2" t="s">
        <v>8628</v>
      </c>
      <c r="G31" s="2" t="s">
        <v>8629</v>
      </c>
      <c r="H31" s="2"/>
      <c r="I31" s="2"/>
      <c r="J31" s="2"/>
      <c r="K31" s="2"/>
      <c r="L31" s="2"/>
      <c r="M31" s="2"/>
      <c r="N31" s="2"/>
      <c r="O31" s="2"/>
      <c r="P31" s="2"/>
      <c r="Q31" s="2"/>
      <c r="R31" s="2"/>
      <c r="S31" s="2"/>
      <c r="T31" s="2"/>
      <c r="U31" s="2"/>
      <c r="V31" s="2"/>
      <c r="W31" s="2"/>
      <c r="X31" s="2"/>
      <c r="Y31" s="2"/>
      <c r="Z31" s="2"/>
    </row>
    <row r="32" ht="14.25" customHeight="1" spans="1:26">
      <c r="A32" s="6" t="s">
        <v>139</v>
      </c>
      <c r="B32" s="2" t="s">
        <v>8630</v>
      </c>
      <c r="C32" s="2" t="s">
        <v>141</v>
      </c>
      <c r="D32" s="8">
        <v>55</v>
      </c>
      <c r="E32" s="2" t="s">
        <v>37</v>
      </c>
      <c r="F32" s="2" t="s">
        <v>8631</v>
      </c>
      <c r="G32" s="2" t="s">
        <v>8632</v>
      </c>
      <c r="H32" s="2"/>
      <c r="I32" s="2"/>
      <c r="J32" s="2"/>
      <c r="K32" s="2"/>
      <c r="L32" s="2"/>
      <c r="M32" s="2"/>
      <c r="N32" s="2"/>
      <c r="O32" s="2"/>
      <c r="P32" s="2"/>
      <c r="Q32" s="2"/>
      <c r="R32" s="2"/>
      <c r="S32" s="2"/>
      <c r="T32" s="2"/>
      <c r="U32" s="2"/>
      <c r="V32" s="2"/>
      <c r="W32" s="2"/>
      <c r="X32" s="2"/>
      <c r="Y32" s="2"/>
      <c r="Z32" s="2"/>
    </row>
    <row r="33" ht="14.25" customHeight="1" spans="1:26">
      <c r="A33" s="6" t="s">
        <v>144</v>
      </c>
      <c r="B33" s="2" t="s">
        <v>6284</v>
      </c>
      <c r="C33" s="2" t="s">
        <v>146</v>
      </c>
      <c r="D33" s="2"/>
      <c r="E33" s="2"/>
      <c r="F33" s="2" t="s">
        <v>6285</v>
      </c>
      <c r="G33" s="2" t="s">
        <v>6286</v>
      </c>
      <c r="H33" s="2"/>
      <c r="I33" s="2"/>
      <c r="J33" s="2"/>
      <c r="K33" s="2"/>
      <c r="L33" s="2"/>
      <c r="M33" s="2"/>
      <c r="N33" s="2"/>
      <c r="O33" s="2"/>
      <c r="P33" s="2"/>
      <c r="Q33" s="2"/>
      <c r="R33" s="2"/>
      <c r="S33" s="2"/>
      <c r="T33" s="2"/>
      <c r="U33" s="2"/>
      <c r="V33" s="2"/>
      <c r="W33" s="2"/>
      <c r="X33" s="2"/>
      <c r="Y33" s="2"/>
      <c r="Z33" s="2"/>
    </row>
    <row r="34" ht="14.25" customHeight="1" spans="1:26">
      <c r="A34" s="6" t="s">
        <v>149</v>
      </c>
      <c r="B34" s="2" t="s">
        <v>6287</v>
      </c>
      <c r="C34" s="2" t="s">
        <v>151</v>
      </c>
      <c r="D34" s="2"/>
      <c r="E34" s="2"/>
      <c r="F34" s="2" t="s">
        <v>6288</v>
      </c>
      <c r="G34" s="2" t="s">
        <v>6289</v>
      </c>
      <c r="H34" s="2"/>
      <c r="I34" s="2"/>
      <c r="J34" s="2"/>
      <c r="K34" s="2"/>
      <c r="L34" s="2"/>
      <c r="M34" s="2"/>
      <c r="N34" s="2"/>
      <c r="O34" s="2"/>
      <c r="P34" s="2"/>
      <c r="Q34" s="2"/>
      <c r="R34" s="2"/>
      <c r="S34" s="2"/>
      <c r="T34" s="2"/>
      <c r="U34" s="2"/>
      <c r="V34" s="2"/>
      <c r="W34" s="2"/>
      <c r="X34" s="2"/>
      <c r="Y34" s="2"/>
      <c r="Z34" s="2"/>
    </row>
    <row r="35" ht="14.25" customHeight="1" spans="1:26">
      <c r="A35" s="6" t="s">
        <v>154</v>
      </c>
      <c r="B35" s="2" t="s">
        <v>6290</v>
      </c>
      <c r="C35" s="2" t="s">
        <v>156</v>
      </c>
      <c r="D35" s="2">
        <v>30</v>
      </c>
      <c r="E35" s="2" t="s">
        <v>37</v>
      </c>
      <c r="F35" s="2" t="s">
        <v>6291</v>
      </c>
      <c r="G35" s="2" t="s">
        <v>6292</v>
      </c>
      <c r="H35" s="2"/>
      <c r="I35" s="2"/>
      <c r="J35" s="2"/>
      <c r="K35" s="2"/>
      <c r="L35" s="2"/>
      <c r="M35" s="2"/>
      <c r="N35" s="2"/>
      <c r="O35" s="2"/>
      <c r="P35" s="2"/>
      <c r="Q35" s="2"/>
      <c r="R35" s="2"/>
      <c r="S35" s="2"/>
      <c r="T35" s="2"/>
      <c r="U35" s="2"/>
      <c r="V35" s="2"/>
      <c r="W35" s="2"/>
      <c r="X35" s="2"/>
      <c r="Y35" s="2"/>
      <c r="Z35" s="2"/>
    </row>
    <row r="36" ht="14.25" customHeight="1" spans="1:26">
      <c r="A36" s="6" t="s">
        <v>159</v>
      </c>
      <c r="B36" s="2" t="s">
        <v>6293</v>
      </c>
      <c r="C36" s="2" t="s">
        <v>161</v>
      </c>
      <c r="D36" s="2"/>
      <c r="E36" s="2"/>
      <c r="F36" s="2" t="s">
        <v>6294</v>
      </c>
      <c r="G36" s="2" t="s">
        <v>6295</v>
      </c>
      <c r="H36" s="2"/>
      <c r="I36" s="2"/>
      <c r="J36" s="2"/>
      <c r="K36" s="2"/>
      <c r="L36" s="2"/>
      <c r="M36" s="2"/>
      <c r="N36" s="2"/>
      <c r="O36" s="2"/>
      <c r="P36" s="2"/>
      <c r="Q36" s="2"/>
      <c r="R36" s="2"/>
      <c r="S36" s="2"/>
      <c r="T36" s="2"/>
      <c r="U36" s="2"/>
      <c r="V36" s="2"/>
      <c r="W36" s="2"/>
      <c r="X36" s="2"/>
      <c r="Y36" s="2"/>
      <c r="Z36" s="2"/>
    </row>
    <row r="37" ht="14.25" customHeight="1" spans="1:26">
      <c r="A37" s="6" t="s">
        <v>164</v>
      </c>
      <c r="B37" s="2" t="s">
        <v>6296</v>
      </c>
      <c r="C37" s="2" t="s">
        <v>166</v>
      </c>
      <c r="D37" s="2"/>
      <c r="E37" s="2"/>
      <c r="F37" s="2" t="s">
        <v>6297</v>
      </c>
      <c r="G37" s="2" t="s">
        <v>6298</v>
      </c>
      <c r="H37" s="2"/>
      <c r="I37" s="2"/>
      <c r="J37" s="2"/>
      <c r="K37" s="2"/>
      <c r="L37" s="2"/>
      <c r="M37" s="2"/>
      <c r="N37" s="2"/>
      <c r="O37" s="2"/>
      <c r="P37" s="2"/>
      <c r="Q37" s="2"/>
      <c r="R37" s="2"/>
      <c r="S37" s="2"/>
      <c r="T37" s="2"/>
      <c r="U37" s="2"/>
      <c r="V37" s="2"/>
      <c r="W37" s="2"/>
      <c r="X37" s="2"/>
      <c r="Y37" s="2"/>
      <c r="Z37" s="2"/>
    </row>
    <row r="38" ht="14.25" customHeight="1" spans="1:26">
      <c r="A38" s="6" t="s">
        <v>169</v>
      </c>
      <c r="B38" s="2" t="s">
        <v>6299</v>
      </c>
      <c r="C38" s="2" t="s">
        <v>171</v>
      </c>
      <c r="D38" s="2">
        <v>46</v>
      </c>
      <c r="E38" s="2" t="s">
        <v>37</v>
      </c>
      <c r="F38" s="2" t="s">
        <v>6300</v>
      </c>
      <c r="G38" s="2" t="s">
        <v>6301</v>
      </c>
      <c r="H38" s="2"/>
      <c r="I38" s="2"/>
      <c r="J38" s="2"/>
      <c r="K38" s="2"/>
      <c r="L38" s="2"/>
      <c r="M38" s="2"/>
      <c r="N38" s="2"/>
      <c r="O38" s="2"/>
      <c r="P38" s="2"/>
      <c r="Q38" s="2"/>
      <c r="R38" s="2"/>
      <c r="S38" s="2"/>
      <c r="T38" s="2"/>
      <c r="U38" s="2"/>
      <c r="V38" s="2"/>
      <c r="W38" s="2"/>
      <c r="X38" s="2"/>
      <c r="Y38" s="2"/>
      <c r="Z38" s="2"/>
    </row>
    <row r="39" ht="14.25" customHeight="1" spans="1:26">
      <c r="A39" s="6" t="s">
        <v>174</v>
      </c>
      <c r="B39" s="2" t="s">
        <v>6302</v>
      </c>
      <c r="C39" s="2" t="s">
        <v>171</v>
      </c>
      <c r="D39" s="2">
        <v>30</v>
      </c>
      <c r="E39" s="2" t="s">
        <v>37</v>
      </c>
      <c r="F39" s="2" t="s">
        <v>6303</v>
      </c>
      <c r="G39" s="2" t="s">
        <v>6304</v>
      </c>
      <c r="H39" s="2"/>
      <c r="I39" s="2"/>
      <c r="J39" s="2"/>
      <c r="K39" s="2"/>
      <c r="L39" s="2"/>
      <c r="M39" s="2"/>
      <c r="N39" s="2"/>
      <c r="O39" s="2"/>
      <c r="P39" s="2"/>
      <c r="Q39" s="2"/>
      <c r="R39" s="2"/>
      <c r="S39" s="2"/>
      <c r="T39" s="2"/>
      <c r="U39" s="2"/>
      <c r="V39" s="2"/>
      <c r="W39" s="2"/>
      <c r="X39" s="2"/>
      <c r="Y39" s="2"/>
      <c r="Z39" s="2"/>
    </row>
    <row r="40" ht="14.25" customHeight="1" spans="1:26">
      <c r="A40" s="6" t="s">
        <v>178</v>
      </c>
      <c r="B40" s="2" t="s">
        <v>8633</v>
      </c>
      <c r="C40" s="2" t="s">
        <v>180</v>
      </c>
      <c r="D40" s="2">
        <v>45</v>
      </c>
      <c r="E40" s="2" t="s">
        <v>37</v>
      </c>
      <c r="F40" s="2" t="s">
        <v>8634</v>
      </c>
      <c r="G40" s="2" t="s">
        <v>8635</v>
      </c>
      <c r="H40" s="2"/>
      <c r="I40" s="2"/>
      <c r="J40" s="2"/>
      <c r="K40" s="2"/>
      <c r="L40" s="2"/>
      <c r="M40" s="2"/>
      <c r="N40" s="2"/>
      <c r="O40" s="2"/>
      <c r="P40" s="2"/>
      <c r="Q40" s="2"/>
      <c r="R40" s="2"/>
      <c r="S40" s="2"/>
      <c r="T40" s="2"/>
      <c r="U40" s="2"/>
      <c r="V40" s="2"/>
      <c r="W40" s="2"/>
      <c r="X40" s="2"/>
      <c r="Y40" s="2"/>
      <c r="Z40" s="2"/>
    </row>
    <row r="41" ht="14.25" customHeight="1" spans="1:26">
      <c r="A41" s="6" t="s">
        <v>183</v>
      </c>
      <c r="B41" s="2" t="s">
        <v>6307</v>
      </c>
      <c r="C41" s="2" t="s">
        <v>185</v>
      </c>
      <c r="D41" s="2">
        <v>7</v>
      </c>
      <c r="E41" s="2" t="s">
        <v>37</v>
      </c>
      <c r="F41" s="2" t="s">
        <v>6308</v>
      </c>
      <c r="G41" s="2" t="s">
        <v>6309</v>
      </c>
      <c r="H41" s="2"/>
      <c r="I41" s="2"/>
      <c r="J41" s="2"/>
      <c r="K41" s="2"/>
      <c r="L41" s="2"/>
      <c r="M41" s="2"/>
      <c r="N41" s="2"/>
      <c r="O41" s="2"/>
      <c r="P41" s="2"/>
      <c r="Q41" s="2"/>
      <c r="R41" s="2"/>
      <c r="S41" s="2"/>
      <c r="T41" s="2"/>
      <c r="U41" s="2"/>
      <c r="V41" s="2"/>
      <c r="W41" s="2"/>
      <c r="X41" s="2"/>
      <c r="Y41" s="2"/>
      <c r="Z41" s="2"/>
    </row>
    <row r="42" ht="14.25" customHeight="1" spans="1:26">
      <c r="A42" s="6" t="s">
        <v>188</v>
      </c>
      <c r="B42" s="2" t="s">
        <v>8636</v>
      </c>
      <c r="C42" s="2" t="s">
        <v>190</v>
      </c>
      <c r="D42" s="2">
        <v>650</v>
      </c>
      <c r="E42" s="2" t="s">
        <v>37</v>
      </c>
      <c r="F42" s="2" t="s">
        <v>8637</v>
      </c>
      <c r="G42" s="2" t="s">
        <v>8638</v>
      </c>
      <c r="H42" s="2"/>
      <c r="I42" s="2"/>
      <c r="J42" s="2"/>
      <c r="K42" s="2"/>
      <c r="L42" s="2"/>
      <c r="M42" s="2"/>
      <c r="N42" s="2"/>
      <c r="O42" s="2"/>
      <c r="P42" s="2"/>
      <c r="Q42" s="2"/>
      <c r="R42" s="2"/>
      <c r="S42" s="2"/>
      <c r="T42" s="2"/>
      <c r="U42" s="2"/>
      <c r="V42" s="2"/>
      <c r="W42" s="2"/>
      <c r="X42" s="2"/>
      <c r="Y42" s="2"/>
      <c r="Z42" s="2"/>
    </row>
    <row r="43" ht="14.25" customHeight="1" spans="1:26">
      <c r="A43" s="6" t="s">
        <v>193</v>
      </c>
      <c r="B43" s="2" t="s">
        <v>6313</v>
      </c>
      <c r="C43" s="2" t="s">
        <v>195</v>
      </c>
      <c r="D43" s="2"/>
      <c r="E43" s="2"/>
      <c r="F43" s="2" t="s">
        <v>6314</v>
      </c>
      <c r="G43" s="2" t="s">
        <v>6315</v>
      </c>
      <c r="H43" s="2"/>
      <c r="I43" s="2"/>
      <c r="J43" s="2"/>
      <c r="K43" s="2"/>
      <c r="L43" s="2"/>
      <c r="M43" s="2"/>
      <c r="N43" s="2"/>
      <c r="O43" s="2"/>
      <c r="P43" s="2"/>
      <c r="Q43" s="2"/>
      <c r="R43" s="2"/>
      <c r="S43" s="2"/>
      <c r="T43" s="2"/>
      <c r="U43" s="2"/>
      <c r="V43" s="2"/>
      <c r="W43" s="2"/>
      <c r="X43" s="2"/>
      <c r="Y43" s="2"/>
      <c r="Z43" s="2"/>
    </row>
    <row r="44" ht="14.25" customHeight="1" spans="1:26">
      <c r="A44" s="6" t="s">
        <v>198</v>
      </c>
      <c r="B44" s="2" t="s">
        <v>8639</v>
      </c>
      <c r="C44" s="2" t="s">
        <v>200</v>
      </c>
      <c r="D44" s="2">
        <v>30</v>
      </c>
      <c r="E44" s="2" t="s">
        <v>21</v>
      </c>
      <c r="F44" s="2" t="s">
        <v>8640</v>
      </c>
      <c r="G44" s="2" t="s">
        <v>8641</v>
      </c>
      <c r="H44" s="2"/>
      <c r="I44" s="2"/>
      <c r="J44" s="2"/>
      <c r="K44" s="2"/>
      <c r="L44" s="2"/>
      <c r="M44" s="2"/>
      <c r="N44" s="2"/>
      <c r="O44" s="2"/>
      <c r="P44" s="2"/>
      <c r="Q44" s="2"/>
      <c r="R44" s="2"/>
      <c r="S44" s="2"/>
      <c r="T44" s="2"/>
      <c r="U44" s="2"/>
      <c r="V44" s="2"/>
      <c r="W44" s="2"/>
      <c r="X44" s="2"/>
      <c r="Y44" s="2"/>
      <c r="Z44" s="2"/>
    </row>
    <row r="45" ht="14.25" customHeight="1" spans="1:26">
      <c r="A45" s="6" t="s">
        <v>203</v>
      </c>
      <c r="B45" s="2" t="s">
        <v>8642</v>
      </c>
      <c r="C45" s="2" t="s">
        <v>200</v>
      </c>
      <c r="D45" s="8">
        <v>80</v>
      </c>
      <c r="E45" s="2" t="s">
        <v>21</v>
      </c>
      <c r="F45" s="2" t="s">
        <v>8643</v>
      </c>
      <c r="G45" s="2" t="s">
        <v>8644</v>
      </c>
      <c r="H45" s="2"/>
      <c r="I45" s="2"/>
      <c r="J45" s="2"/>
      <c r="K45" s="2"/>
      <c r="L45" s="2"/>
      <c r="M45" s="2"/>
      <c r="N45" s="2"/>
      <c r="O45" s="2"/>
      <c r="P45" s="2"/>
      <c r="Q45" s="2"/>
      <c r="R45" s="2"/>
      <c r="S45" s="2"/>
      <c r="T45" s="2"/>
      <c r="U45" s="2"/>
      <c r="V45" s="2"/>
      <c r="W45" s="2"/>
      <c r="X45" s="2"/>
      <c r="Y45" s="2"/>
      <c r="Z45" s="2"/>
    </row>
    <row r="46" ht="14.25" customHeight="1" spans="1:26">
      <c r="A46" s="6" t="s">
        <v>207</v>
      </c>
      <c r="B46" s="2" t="s">
        <v>8645</v>
      </c>
      <c r="C46" s="2" t="s">
        <v>209</v>
      </c>
      <c r="D46" s="2">
        <v>5</v>
      </c>
      <c r="E46" s="2" t="s">
        <v>37</v>
      </c>
      <c r="F46" s="2" t="s">
        <v>8646</v>
      </c>
      <c r="G46" s="2" t="s">
        <v>8647</v>
      </c>
      <c r="H46" s="2"/>
      <c r="I46" s="2"/>
      <c r="J46" s="2"/>
      <c r="K46" s="2"/>
      <c r="L46" s="2"/>
      <c r="M46" s="2"/>
      <c r="N46" s="2"/>
      <c r="O46" s="2"/>
      <c r="P46" s="2"/>
      <c r="Q46" s="2"/>
      <c r="R46" s="2"/>
      <c r="S46" s="2"/>
      <c r="T46" s="2"/>
      <c r="U46" s="2"/>
      <c r="V46" s="2"/>
      <c r="W46" s="2"/>
      <c r="X46" s="2"/>
      <c r="Y46" s="2"/>
      <c r="Z46" s="2"/>
    </row>
    <row r="47" ht="14.25" customHeight="1" spans="1:26">
      <c r="A47" s="6" t="s">
        <v>212</v>
      </c>
      <c r="B47" s="9" t="str">
        <f>HYPERLINK("http://www.xn--weissbr-bxa.de/","Pfizer")</f>
        <v>Pfizer</v>
      </c>
      <c r="C47" s="2" t="s">
        <v>214</v>
      </c>
      <c r="D47" s="8">
        <v>20</v>
      </c>
      <c r="E47" s="2" t="s">
        <v>37</v>
      </c>
      <c r="F47" s="2" t="s">
        <v>6326</v>
      </c>
      <c r="G47" s="2" t="s">
        <v>6327</v>
      </c>
      <c r="H47" s="2"/>
      <c r="I47" s="2"/>
      <c r="J47" s="2"/>
      <c r="K47" s="2"/>
      <c r="L47" s="2"/>
      <c r="M47" s="2"/>
      <c r="N47" s="2"/>
      <c r="O47" s="2"/>
      <c r="P47" s="2"/>
      <c r="Q47" s="2"/>
      <c r="R47" s="2"/>
      <c r="S47" s="2"/>
      <c r="T47" s="2"/>
      <c r="U47" s="2"/>
      <c r="V47" s="2"/>
      <c r="W47" s="2"/>
      <c r="X47" s="2"/>
      <c r="Y47" s="2"/>
      <c r="Z47" s="2"/>
    </row>
    <row r="48" ht="14.25" customHeight="1" spans="1:26">
      <c r="A48" s="6" t="s">
        <v>217</v>
      </c>
      <c r="B48" s="2" t="s">
        <v>6328</v>
      </c>
      <c r="C48" s="2" t="s">
        <v>219</v>
      </c>
      <c r="D48" s="2"/>
      <c r="E48" s="2"/>
      <c r="F48" s="2" t="s">
        <v>6329</v>
      </c>
      <c r="G48" s="2" t="s">
        <v>6330</v>
      </c>
      <c r="H48" s="2"/>
      <c r="I48" s="2"/>
      <c r="J48" s="2"/>
      <c r="K48" s="2"/>
      <c r="L48" s="2"/>
      <c r="M48" s="2"/>
      <c r="N48" s="2"/>
      <c r="O48" s="2"/>
      <c r="P48" s="2"/>
      <c r="Q48" s="2"/>
      <c r="R48" s="2"/>
      <c r="S48" s="2"/>
      <c r="T48" s="2"/>
      <c r="U48" s="2"/>
      <c r="V48" s="2"/>
      <c r="W48" s="2"/>
      <c r="X48" s="2"/>
      <c r="Y48" s="2"/>
      <c r="Z48" s="2"/>
    </row>
    <row r="49" ht="14.25" customHeight="1" spans="1:26">
      <c r="A49" s="6" t="s">
        <v>222</v>
      </c>
      <c r="B49" s="2" t="s">
        <v>8648</v>
      </c>
      <c r="C49" s="2" t="s">
        <v>224</v>
      </c>
      <c r="D49" s="8">
        <v>96</v>
      </c>
      <c r="E49" s="2" t="s">
        <v>21</v>
      </c>
      <c r="F49" s="2" t="s">
        <v>8649</v>
      </c>
      <c r="G49" s="2" t="s">
        <v>8650</v>
      </c>
      <c r="H49" s="2"/>
      <c r="I49" s="2"/>
      <c r="J49" s="2"/>
      <c r="K49" s="2"/>
      <c r="L49" s="2"/>
      <c r="M49" s="2"/>
      <c r="N49" s="2"/>
      <c r="O49" s="2"/>
      <c r="P49" s="2"/>
      <c r="Q49" s="2"/>
      <c r="R49" s="2"/>
      <c r="S49" s="2"/>
      <c r="T49" s="2"/>
      <c r="U49" s="2"/>
      <c r="V49" s="2"/>
      <c r="W49" s="2"/>
      <c r="X49" s="2"/>
      <c r="Y49" s="2"/>
      <c r="Z49" s="2"/>
    </row>
    <row r="50" ht="14.25" customHeight="1" spans="1:26">
      <c r="A50" s="6" t="s">
        <v>227</v>
      </c>
      <c r="B50" s="2" t="s">
        <v>8651</v>
      </c>
      <c r="C50" s="2" t="s">
        <v>229</v>
      </c>
      <c r="D50" s="8">
        <v>66</v>
      </c>
      <c r="E50" s="2" t="s">
        <v>21</v>
      </c>
      <c r="F50" s="2" t="s">
        <v>8652</v>
      </c>
      <c r="G50" s="2" t="s">
        <v>8653</v>
      </c>
      <c r="H50" s="2"/>
      <c r="I50" s="2"/>
      <c r="J50" s="2"/>
      <c r="K50" s="2"/>
      <c r="L50" s="2"/>
      <c r="M50" s="2"/>
      <c r="N50" s="2"/>
      <c r="O50" s="2"/>
      <c r="P50" s="2"/>
      <c r="Q50" s="2"/>
      <c r="R50" s="2"/>
      <c r="S50" s="2"/>
      <c r="T50" s="2"/>
      <c r="U50" s="2"/>
      <c r="V50" s="2"/>
      <c r="W50" s="2"/>
      <c r="X50" s="2"/>
      <c r="Y50" s="2"/>
      <c r="Z50" s="2"/>
    </row>
    <row r="51" ht="14.25" customHeight="1" spans="1:26">
      <c r="A51" s="6" t="s">
        <v>231</v>
      </c>
      <c r="B51" s="2" t="s">
        <v>8654</v>
      </c>
      <c r="C51" s="2" t="s">
        <v>224</v>
      </c>
      <c r="D51" s="8">
        <v>156</v>
      </c>
      <c r="E51" s="2" t="s">
        <v>21</v>
      </c>
      <c r="F51" s="2" t="s">
        <v>8655</v>
      </c>
      <c r="G51" s="2" t="s">
        <v>8656</v>
      </c>
      <c r="H51" s="2"/>
      <c r="I51" s="2"/>
      <c r="J51" s="2"/>
      <c r="K51" s="2"/>
      <c r="L51" s="2"/>
      <c r="M51" s="2"/>
      <c r="N51" s="2"/>
      <c r="O51" s="2"/>
      <c r="P51" s="2"/>
      <c r="Q51" s="2"/>
      <c r="R51" s="2"/>
      <c r="S51" s="2"/>
      <c r="T51" s="2"/>
      <c r="U51" s="2"/>
      <c r="V51" s="2"/>
      <c r="W51" s="2"/>
      <c r="X51" s="2"/>
      <c r="Y51" s="2"/>
      <c r="Z51" s="2"/>
    </row>
    <row r="52" ht="14.25" customHeight="1" spans="1:26">
      <c r="A52" s="6" t="s">
        <v>234</v>
      </c>
      <c r="B52" s="2" t="s">
        <v>8657</v>
      </c>
      <c r="C52" s="2" t="s">
        <v>236</v>
      </c>
      <c r="D52" s="2">
        <v>30</v>
      </c>
      <c r="E52" s="2" t="s">
        <v>37</v>
      </c>
      <c r="F52" s="2" t="s">
        <v>8658</v>
      </c>
      <c r="G52" s="2" t="s">
        <v>8659</v>
      </c>
      <c r="H52" s="2"/>
      <c r="I52" s="2"/>
      <c r="J52" s="2"/>
      <c r="K52" s="2"/>
      <c r="L52" s="2"/>
      <c r="M52" s="2"/>
      <c r="N52" s="2"/>
      <c r="O52" s="2"/>
      <c r="P52" s="2"/>
      <c r="Q52" s="2"/>
      <c r="R52" s="2"/>
      <c r="S52" s="2"/>
      <c r="T52" s="2"/>
      <c r="U52" s="2"/>
      <c r="V52" s="2"/>
      <c r="W52" s="2"/>
      <c r="X52" s="2"/>
      <c r="Y52" s="2"/>
      <c r="Z52" s="2"/>
    </row>
    <row r="53" ht="14.25" customHeight="1" spans="1:26">
      <c r="A53" s="6" t="s">
        <v>239</v>
      </c>
      <c r="B53" s="2" t="s">
        <v>8660</v>
      </c>
      <c r="C53" s="2" t="s">
        <v>236</v>
      </c>
      <c r="D53" s="8">
        <v>230</v>
      </c>
      <c r="E53" s="2" t="s">
        <v>21</v>
      </c>
      <c r="F53" s="2" t="s">
        <v>8661</v>
      </c>
      <c r="G53" s="2" t="s">
        <v>8662</v>
      </c>
      <c r="H53" s="2"/>
      <c r="I53" s="2"/>
      <c r="J53" s="2"/>
      <c r="K53" s="2"/>
      <c r="L53" s="2"/>
      <c r="M53" s="2"/>
      <c r="N53" s="2"/>
      <c r="O53" s="2"/>
      <c r="P53" s="2"/>
      <c r="Q53" s="2"/>
      <c r="R53" s="2"/>
      <c r="S53" s="2"/>
      <c r="T53" s="2"/>
      <c r="U53" s="2"/>
      <c r="V53" s="2"/>
      <c r="W53" s="2"/>
      <c r="X53" s="2"/>
      <c r="Y53" s="2"/>
      <c r="Z53" s="2"/>
    </row>
    <row r="54" ht="14.25" customHeight="1" spans="1:26">
      <c r="A54" s="6" t="s">
        <v>243</v>
      </c>
      <c r="B54" s="2" t="s">
        <v>8663</v>
      </c>
      <c r="C54" s="2" t="s">
        <v>236</v>
      </c>
      <c r="D54" s="8">
        <v>100</v>
      </c>
      <c r="E54" s="2" t="s">
        <v>245</v>
      </c>
      <c r="F54" s="2" t="s">
        <v>8664</v>
      </c>
      <c r="G54" s="2" t="s">
        <v>8665</v>
      </c>
      <c r="H54" s="2"/>
      <c r="I54" s="2"/>
      <c r="J54" s="2"/>
      <c r="K54" s="2"/>
      <c r="L54" s="2"/>
      <c r="M54" s="2"/>
      <c r="N54" s="2"/>
      <c r="O54" s="2"/>
      <c r="P54" s="2"/>
      <c r="Q54" s="2"/>
      <c r="R54" s="2"/>
      <c r="S54" s="2"/>
      <c r="T54" s="2"/>
      <c r="U54" s="2"/>
      <c r="V54" s="2"/>
      <c r="W54" s="2"/>
      <c r="X54" s="2"/>
      <c r="Y54" s="2"/>
      <c r="Z54" s="2"/>
    </row>
    <row r="55" ht="14.25" customHeight="1" spans="1:26">
      <c r="A55" s="6" t="s">
        <v>248</v>
      </c>
      <c r="B55" s="2" t="s">
        <v>8666</v>
      </c>
      <c r="C55" s="2" t="s">
        <v>236</v>
      </c>
      <c r="D55" s="8">
        <v>100</v>
      </c>
      <c r="E55" s="2" t="s">
        <v>245</v>
      </c>
      <c r="F55" s="2" t="s">
        <v>8667</v>
      </c>
      <c r="G55" s="2" t="s">
        <v>8668</v>
      </c>
      <c r="H55" s="2"/>
      <c r="I55" s="2"/>
      <c r="J55" s="2"/>
      <c r="K55" s="2"/>
      <c r="L55" s="2"/>
      <c r="M55" s="2"/>
      <c r="N55" s="2"/>
      <c r="O55" s="2"/>
      <c r="P55" s="2"/>
      <c r="Q55" s="2"/>
      <c r="R55" s="2"/>
      <c r="S55" s="2"/>
      <c r="T55" s="2"/>
      <c r="U55" s="2"/>
      <c r="V55" s="2"/>
      <c r="W55" s="2"/>
      <c r="X55" s="2"/>
      <c r="Y55" s="2"/>
      <c r="Z55" s="2"/>
    </row>
    <row r="56" ht="14.25" customHeight="1" spans="1:26">
      <c r="A56" s="6" t="s">
        <v>252</v>
      </c>
      <c r="B56" s="2" t="s">
        <v>8669</v>
      </c>
      <c r="C56" s="2" t="s">
        <v>236</v>
      </c>
      <c r="D56" s="2">
        <v>35</v>
      </c>
      <c r="E56" s="2" t="s">
        <v>37</v>
      </c>
      <c r="F56" s="2" t="s">
        <v>8670</v>
      </c>
      <c r="G56" s="2" t="s">
        <v>8671</v>
      </c>
      <c r="H56" s="2"/>
      <c r="I56" s="2"/>
      <c r="J56" s="2"/>
      <c r="K56" s="2"/>
      <c r="L56" s="2"/>
      <c r="M56" s="2"/>
      <c r="N56" s="2"/>
      <c r="O56" s="2"/>
      <c r="P56" s="2"/>
      <c r="Q56" s="2"/>
      <c r="R56" s="2"/>
      <c r="S56" s="2"/>
      <c r="T56" s="2"/>
      <c r="U56" s="2"/>
      <c r="V56" s="2"/>
      <c r="W56" s="2"/>
      <c r="X56" s="2"/>
      <c r="Y56" s="2"/>
      <c r="Z56" s="2"/>
    </row>
    <row r="57" ht="14.25" customHeight="1" spans="1:26">
      <c r="A57" s="6" t="s">
        <v>256</v>
      </c>
      <c r="B57" s="2" t="s">
        <v>8672</v>
      </c>
      <c r="C57" s="2" t="s">
        <v>236</v>
      </c>
      <c r="D57" s="2">
        <v>40</v>
      </c>
      <c r="E57" s="2" t="s">
        <v>37</v>
      </c>
      <c r="F57" s="2" t="s">
        <v>8673</v>
      </c>
      <c r="G57" s="2" t="s">
        <v>8674</v>
      </c>
      <c r="H57" s="2"/>
      <c r="I57" s="2"/>
      <c r="J57" s="2"/>
      <c r="K57" s="2"/>
      <c r="L57" s="2"/>
      <c r="M57" s="2"/>
      <c r="N57" s="2"/>
      <c r="O57" s="2"/>
      <c r="P57" s="2"/>
      <c r="Q57" s="2"/>
      <c r="R57" s="2"/>
      <c r="S57" s="2"/>
      <c r="T57" s="2"/>
      <c r="U57" s="2"/>
      <c r="V57" s="2"/>
      <c r="W57" s="2"/>
      <c r="X57" s="2"/>
      <c r="Y57" s="2"/>
      <c r="Z57" s="2"/>
    </row>
    <row r="58" ht="14.25" customHeight="1" spans="1:26">
      <c r="A58" s="6" t="s">
        <v>260</v>
      </c>
      <c r="B58" s="2" t="s">
        <v>8675</v>
      </c>
      <c r="C58" s="2" t="s">
        <v>236</v>
      </c>
      <c r="D58" s="2">
        <v>8</v>
      </c>
      <c r="E58" s="2" t="s">
        <v>262</v>
      </c>
      <c r="F58" s="2" t="s">
        <v>8676</v>
      </c>
      <c r="G58" s="2" t="s">
        <v>8677</v>
      </c>
      <c r="H58" s="2"/>
      <c r="I58" s="2"/>
      <c r="J58" s="2"/>
      <c r="K58" s="2"/>
      <c r="L58" s="2"/>
      <c r="M58" s="2"/>
      <c r="N58" s="2"/>
      <c r="O58" s="2"/>
      <c r="P58" s="2"/>
      <c r="Q58" s="2"/>
      <c r="R58" s="2"/>
      <c r="S58" s="2"/>
      <c r="T58" s="2"/>
      <c r="U58" s="2"/>
      <c r="V58" s="2"/>
      <c r="W58" s="2"/>
      <c r="X58" s="2"/>
      <c r="Y58" s="2"/>
      <c r="Z58" s="2"/>
    </row>
    <row r="59" ht="14.25" customHeight="1" spans="1:26">
      <c r="A59" s="6" t="s">
        <v>265</v>
      </c>
      <c r="B59" s="2" t="s">
        <v>8678</v>
      </c>
      <c r="C59" s="2" t="s">
        <v>236</v>
      </c>
      <c r="D59" s="2">
        <v>30</v>
      </c>
      <c r="E59" s="2" t="s">
        <v>37</v>
      </c>
      <c r="F59" s="2" t="s">
        <v>8679</v>
      </c>
      <c r="G59" s="2" t="s">
        <v>8680</v>
      </c>
      <c r="H59" s="2"/>
      <c r="I59" s="2"/>
      <c r="J59" s="2"/>
      <c r="K59" s="2"/>
      <c r="L59" s="2"/>
      <c r="M59" s="2"/>
      <c r="N59" s="2"/>
      <c r="O59" s="2"/>
      <c r="P59" s="2"/>
      <c r="Q59" s="2"/>
      <c r="R59" s="2"/>
      <c r="S59" s="2"/>
      <c r="T59" s="2"/>
      <c r="U59" s="2"/>
      <c r="V59" s="2"/>
      <c r="W59" s="2"/>
      <c r="X59" s="2"/>
      <c r="Y59" s="2"/>
      <c r="Z59" s="2"/>
    </row>
    <row r="60" ht="14.25" customHeight="1" spans="1:26">
      <c r="A60" s="6" t="s">
        <v>269</v>
      </c>
      <c r="B60" s="2" t="s">
        <v>8681</v>
      </c>
      <c r="C60" s="2" t="s">
        <v>236</v>
      </c>
      <c r="D60" s="2">
        <v>35</v>
      </c>
      <c r="E60" s="2" t="s">
        <v>37</v>
      </c>
      <c r="F60" s="2" t="s">
        <v>8682</v>
      </c>
      <c r="G60" s="2" t="s">
        <v>8683</v>
      </c>
      <c r="H60" s="2"/>
      <c r="I60" s="2"/>
      <c r="J60" s="2"/>
      <c r="K60" s="2"/>
      <c r="L60" s="2"/>
      <c r="M60" s="2"/>
      <c r="N60" s="2"/>
      <c r="O60" s="2"/>
      <c r="P60" s="2"/>
      <c r="Q60" s="2"/>
      <c r="R60" s="2"/>
      <c r="S60" s="2"/>
      <c r="T60" s="2"/>
      <c r="U60" s="2"/>
      <c r="V60" s="2"/>
      <c r="W60" s="2"/>
      <c r="X60" s="2"/>
      <c r="Y60" s="2"/>
      <c r="Z60" s="2"/>
    </row>
    <row r="61" ht="14.25" customHeight="1" spans="1:26">
      <c r="A61" s="6" t="s">
        <v>273</v>
      </c>
      <c r="B61" s="2" t="s">
        <v>8684</v>
      </c>
      <c r="C61" s="2" t="s">
        <v>236</v>
      </c>
      <c r="D61" s="2">
        <v>30</v>
      </c>
      <c r="E61" s="2" t="s">
        <v>32</v>
      </c>
      <c r="F61" s="2" t="s">
        <v>8685</v>
      </c>
      <c r="G61" s="2" t="s">
        <v>8686</v>
      </c>
      <c r="H61" s="2"/>
      <c r="I61" s="2"/>
      <c r="J61" s="2"/>
      <c r="K61" s="2"/>
      <c r="L61" s="2"/>
      <c r="M61" s="2"/>
      <c r="N61" s="2"/>
      <c r="O61" s="2"/>
      <c r="P61" s="2"/>
      <c r="Q61" s="2"/>
      <c r="R61" s="2"/>
      <c r="S61" s="2"/>
      <c r="T61" s="2"/>
      <c r="U61" s="2"/>
      <c r="V61" s="2"/>
      <c r="W61" s="2"/>
      <c r="X61" s="2"/>
      <c r="Y61" s="2"/>
      <c r="Z61" s="2"/>
    </row>
    <row r="62" ht="14.25" customHeight="1" spans="1:26">
      <c r="A62" s="6" t="s">
        <v>277</v>
      </c>
      <c r="B62" s="2" t="s">
        <v>8687</v>
      </c>
      <c r="C62" s="2" t="s">
        <v>236</v>
      </c>
      <c r="D62" s="2">
        <v>37</v>
      </c>
      <c r="E62" s="2" t="s">
        <v>37</v>
      </c>
      <c r="F62" s="2" t="s">
        <v>8688</v>
      </c>
      <c r="G62" s="2" t="s">
        <v>8689</v>
      </c>
      <c r="H62" s="2"/>
      <c r="I62" s="2"/>
      <c r="J62" s="2"/>
      <c r="K62" s="2"/>
      <c r="L62" s="2"/>
      <c r="M62" s="2"/>
      <c r="N62" s="2"/>
      <c r="O62" s="2"/>
      <c r="P62" s="2"/>
      <c r="Q62" s="2"/>
      <c r="R62" s="2"/>
      <c r="S62" s="2"/>
      <c r="T62" s="2"/>
      <c r="U62" s="2"/>
      <c r="V62" s="2"/>
      <c r="W62" s="2"/>
      <c r="X62" s="2"/>
      <c r="Y62" s="2"/>
      <c r="Z62" s="2"/>
    </row>
    <row r="63" ht="14.25" customHeight="1" spans="1:26">
      <c r="A63" s="6" t="s">
        <v>281</v>
      </c>
      <c r="B63" s="2" t="s">
        <v>8690</v>
      </c>
      <c r="C63" s="2" t="s">
        <v>236</v>
      </c>
      <c r="D63" s="2">
        <v>40</v>
      </c>
      <c r="E63" s="2" t="s">
        <v>37</v>
      </c>
      <c r="F63" s="2" t="s">
        <v>8691</v>
      </c>
      <c r="G63" s="2" t="s">
        <v>8692</v>
      </c>
      <c r="H63" s="2"/>
      <c r="I63" s="2"/>
      <c r="J63" s="2"/>
      <c r="K63" s="2"/>
      <c r="L63" s="2"/>
      <c r="M63" s="2"/>
      <c r="N63" s="2"/>
      <c r="O63" s="2"/>
      <c r="P63" s="2"/>
      <c r="Q63" s="2"/>
      <c r="R63" s="2"/>
      <c r="S63" s="2"/>
      <c r="T63" s="2"/>
      <c r="U63" s="2"/>
      <c r="V63" s="2"/>
      <c r="W63" s="2"/>
      <c r="X63" s="2"/>
      <c r="Y63" s="2"/>
      <c r="Z63" s="2"/>
    </row>
    <row r="64" ht="14.25" customHeight="1" spans="1:26">
      <c r="A64" s="6" t="s">
        <v>285</v>
      </c>
      <c r="B64" s="2" t="s">
        <v>8693</v>
      </c>
      <c r="C64" s="2" t="s">
        <v>286</v>
      </c>
      <c r="D64" s="8">
        <v>35</v>
      </c>
      <c r="E64" s="2" t="s">
        <v>37</v>
      </c>
      <c r="F64" s="2" t="s">
        <v>8694</v>
      </c>
      <c r="G64" s="2" t="s">
        <v>8695</v>
      </c>
      <c r="H64" s="2"/>
      <c r="I64" s="2"/>
      <c r="J64" s="2"/>
      <c r="K64" s="2"/>
      <c r="L64" s="2"/>
      <c r="M64" s="2"/>
      <c r="N64" s="2"/>
      <c r="O64" s="2"/>
      <c r="P64" s="2"/>
      <c r="Q64" s="2"/>
      <c r="R64" s="2"/>
      <c r="S64" s="2"/>
      <c r="T64" s="2"/>
      <c r="U64" s="2"/>
      <c r="V64" s="2"/>
      <c r="W64" s="2"/>
      <c r="X64" s="2"/>
      <c r="Y64" s="2"/>
      <c r="Z64" s="2"/>
    </row>
    <row r="65" ht="14.25" customHeight="1" spans="1:26">
      <c r="A65" s="6" t="s">
        <v>288</v>
      </c>
      <c r="B65" s="2" t="s">
        <v>6379</v>
      </c>
      <c r="C65" s="2" t="s">
        <v>290</v>
      </c>
      <c r="D65" s="2">
        <v>300</v>
      </c>
      <c r="E65" s="2" t="s">
        <v>37</v>
      </c>
      <c r="F65" s="2" t="s">
        <v>6380</v>
      </c>
      <c r="G65" s="2" t="s">
        <v>6381</v>
      </c>
      <c r="H65" s="2"/>
      <c r="I65" s="2"/>
      <c r="J65" s="2"/>
      <c r="K65" s="2"/>
      <c r="L65" s="2"/>
      <c r="M65" s="2"/>
      <c r="N65" s="2"/>
      <c r="O65" s="2"/>
      <c r="P65" s="2"/>
      <c r="Q65" s="2"/>
      <c r="R65" s="2"/>
      <c r="S65" s="2"/>
      <c r="T65" s="2"/>
      <c r="U65" s="2"/>
      <c r="V65" s="2"/>
      <c r="W65" s="2"/>
      <c r="X65" s="2"/>
      <c r="Y65" s="2"/>
      <c r="Z65" s="2"/>
    </row>
    <row r="66" ht="14.25" customHeight="1" spans="1:26">
      <c r="A66" s="6" t="s">
        <v>293</v>
      </c>
      <c r="B66" s="2" t="s">
        <v>6382</v>
      </c>
      <c r="C66" s="2" t="s">
        <v>290</v>
      </c>
      <c r="D66" s="2">
        <v>35</v>
      </c>
      <c r="E66" s="2" t="s">
        <v>37</v>
      </c>
      <c r="F66" s="2" t="s">
        <v>6383</v>
      </c>
      <c r="G66" s="2" t="s">
        <v>6384</v>
      </c>
      <c r="H66" s="2"/>
      <c r="I66" s="2"/>
      <c r="J66" s="2"/>
      <c r="K66" s="2"/>
      <c r="L66" s="2"/>
      <c r="M66" s="2"/>
      <c r="N66" s="2"/>
      <c r="O66" s="2"/>
      <c r="P66" s="2"/>
      <c r="Q66" s="2"/>
      <c r="R66" s="2"/>
      <c r="S66" s="2"/>
      <c r="T66" s="2"/>
      <c r="U66" s="2"/>
      <c r="V66" s="2"/>
      <c r="W66" s="2"/>
      <c r="X66" s="2"/>
      <c r="Y66" s="2"/>
      <c r="Z66" s="2"/>
    </row>
    <row r="67" ht="14.25" customHeight="1" spans="1:26">
      <c r="A67" s="6" t="s">
        <v>297</v>
      </c>
      <c r="B67" s="2" t="s">
        <v>8696</v>
      </c>
      <c r="C67" s="2" t="s">
        <v>1807</v>
      </c>
      <c r="D67" s="8">
        <v>1000</v>
      </c>
      <c r="E67" s="2" t="s">
        <v>37</v>
      </c>
      <c r="F67" s="2" t="s">
        <v>8697</v>
      </c>
      <c r="G67" s="2" t="s">
        <v>8698</v>
      </c>
      <c r="H67" s="2"/>
      <c r="I67" s="2"/>
      <c r="J67" s="2"/>
      <c r="K67" s="2"/>
      <c r="L67" s="2"/>
      <c r="M67" s="2"/>
      <c r="N67" s="2"/>
      <c r="O67" s="2"/>
      <c r="P67" s="2"/>
      <c r="Q67" s="2"/>
      <c r="R67" s="2"/>
      <c r="S67" s="2"/>
      <c r="T67" s="2"/>
      <c r="U67" s="2"/>
      <c r="V67" s="2"/>
      <c r="W67" s="2"/>
      <c r="X67" s="2"/>
      <c r="Y67" s="2"/>
      <c r="Z67" s="2"/>
    </row>
    <row r="68" ht="14.25" customHeight="1" spans="1:26">
      <c r="A68" s="6" t="s">
        <v>302</v>
      </c>
      <c r="B68" s="2" t="s">
        <v>6388</v>
      </c>
      <c r="C68" s="2" t="s">
        <v>304</v>
      </c>
      <c r="D68" s="2"/>
      <c r="E68" s="2"/>
      <c r="F68" s="2" t="s">
        <v>6389</v>
      </c>
      <c r="G68" s="2" t="s">
        <v>6390</v>
      </c>
      <c r="H68" s="2"/>
      <c r="I68" s="2"/>
      <c r="J68" s="2"/>
      <c r="K68" s="2"/>
      <c r="L68" s="2"/>
      <c r="M68" s="2"/>
      <c r="N68" s="2"/>
      <c r="O68" s="2"/>
      <c r="P68" s="2"/>
      <c r="Q68" s="2"/>
      <c r="R68" s="2"/>
      <c r="S68" s="2"/>
      <c r="T68" s="2"/>
      <c r="U68" s="2"/>
      <c r="V68" s="2"/>
      <c r="W68" s="2"/>
      <c r="X68" s="2"/>
      <c r="Y68" s="2"/>
      <c r="Z68" s="2"/>
    </row>
    <row r="69" ht="14.25" customHeight="1" spans="1:26">
      <c r="A69" s="6" t="s">
        <v>307</v>
      </c>
      <c r="B69" s="9" t="str">
        <f>HYPERLINK("http://partners.webmasterplan.com/click.asp?ref=586499&amp;site=5247&amp;type=text&amp;tnb=4","American Eagle Outfitters")</f>
        <v>American Eagle Outfitters</v>
      </c>
      <c r="C69" s="2" t="s">
        <v>309</v>
      </c>
      <c r="D69" s="8">
        <v>45</v>
      </c>
      <c r="E69" s="2" t="s">
        <v>310</v>
      </c>
      <c r="F69" s="2" t="s">
        <v>6392</v>
      </c>
      <c r="G69" s="2" t="s">
        <v>6393</v>
      </c>
      <c r="H69" s="2"/>
      <c r="I69" s="2"/>
      <c r="J69" s="2"/>
      <c r="K69" s="2"/>
      <c r="L69" s="2"/>
      <c r="M69" s="2"/>
      <c r="N69" s="2"/>
      <c r="O69" s="2"/>
      <c r="P69" s="2"/>
      <c r="Q69" s="2"/>
      <c r="R69" s="2"/>
      <c r="S69" s="2"/>
      <c r="T69" s="2"/>
      <c r="U69" s="2"/>
      <c r="V69" s="2"/>
      <c r="W69" s="2"/>
      <c r="X69" s="2"/>
      <c r="Y69" s="2"/>
      <c r="Z69" s="2"/>
    </row>
    <row r="70" ht="14.25" customHeight="1" spans="1:26">
      <c r="A70" s="6" t="s">
        <v>317</v>
      </c>
      <c r="B70" s="2" t="s">
        <v>6394</v>
      </c>
      <c r="C70" s="2" t="s">
        <v>319</v>
      </c>
      <c r="D70" s="2">
        <v>400</v>
      </c>
      <c r="E70" s="2" t="s">
        <v>245</v>
      </c>
      <c r="F70" s="2" t="s">
        <v>6395</v>
      </c>
      <c r="G70" s="2" t="s">
        <v>6396</v>
      </c>
      <c r="H70" s="2"/>
      <c r="I70" s="2"/>
      <c r="J70" s="2"/>
      <c r="K70" s="2"/>
      <c r="L70" s="2"/>
      <c r="M70" s="2"/>
      <c r="N70" s="2"/>
      <c r="O70" s="2"/>
      <c r="P70" s="2"/>
      <c r="Q70" s="2"/>
      <c r="R70" s="2"/>
      <c r="S70" s="2"/>
      <c r="T70" s="2"/>
      <c r="U70" s="2"/>
      <c r="V70" s="2"/>
      <c r="W70" s="2"/>
      <c r="X70" s="2"/>
      <c r="Y70" s="2"/>
      <c r="Z70" s="2"/>
    </row>
    <row r="71" ht="14.25" customHeight="1" spans="1:26">
      <c r="A71" s="6" t="s">
        <v>321</v>
      </c>
      <c r="B71" s="2" t="s">
        <v>6397</v>
      </c>
      <c r="C71" s="2" t="s">
        <v>315</v>
      </c>
      <c r="D71" s="2">
        <v>13</v>
      </c>
      <c r="E71" s="2" t="s">
        <v>262</v>
      </c>
      <c r="F71" s="2" t="s">
        <v>6398</v>
      </c>
      <c r="G71" s="2" t="s">
        <v>6399</v>
      </c>
      <c r="H71" s="2"/>
      <c r="I71" s="2"/>
      <c r="J71" s="2"/>
      <c r="K71" s="2"/>
      <c r="L71" s="2"/>
      <c r="M71" s="2"/>
      <c r="N71" s="2"/>
      <c r="O71" s="2"/>
      <c r="P71" s="2"/>
      <c r="Q71" s="2"/>
      <c r="R71" s="2"/>
      <c r="S71" s="2"/>
      <c r="T71" s="2"/>
      <c r="U71" s="2"/>
      <c r="V71" s="2"/>
      <c r="W71" s="2"/>
      <c r="X71" s="2"/>
      <c r="Y71" s="2"/>
      <c r="Z71" s="2"/>
    </row>
    <row r="72" ht="14.25" customHeight="1" spans="1:26">
      <c r="A72" s="6" t="s">
        <v>325</v>
      </c>
      <c r="B72" s="2" t="s">
        <v>6400</v>
      </c>
      <c r="C72" s="2" t="s">
        <v>327</v>
      </c>
      <c r="D72" s="8">
        <v>25</v>
      </c>
      <c r="E72" s="2" t="s">
        <v>310</v>
      </c>
      <c r="F72" s="2" t="s">
        <v>6401</v>
      </c>
      <c r="G72" s="2" t="s">
        <v>6402</v>
      </c>
      <c r="H72" s="2"/>
      <c r="I72" s="2"/>
      <c r="J72" s="2"/>
      <c r="K72" s="2"/>
      <c r="L72" s="2"/>
      <c r="M72" s="2"/>
      <c r="N72" s="2"/>
      <c r="O72" s="2"/>
      <c r="P72" s="2"/>
      <c r="Q72" s="2"/>
      <c r="R72" s="2"/>
      <c r="S72" s="2"/>
      <c r="T72" s="2"/>
      <c r="U72" s="2"/>
      <c r="V72" s="2"/>
      <c r="W72" s="2"/>
      <c r="X72" s="2"/>
      <c r="Y72" s="2"/>
      <c r="Z72" s="2"/>
    </row>
    <row r="73" ht="14.25" customHeight="1" spans="1:26">
      <c r="A73" s="6" t="s">
        <v>330</v>
      </c>
      <c r="B73" s="2" t="s">
        <v>6403</v>
      </c>
      <c r="C73" s="2" t="s">
        <v>315</v>
      </c>
      <c r="D73" s="2">
        <v>50</v>
      </c>
      <c r="E73" s="2" t="s">
        <v>37</v>
      </c>
      <c r="F73" s="2" t="s">
        <v>6404</v>
      </c>
      <c r="G73" s="2" t="s">
        <v>6405</v>
      </c>
      <c r="H73" s="2"/>
      <c r="I73" s="2"/>
      <c r="J73" s="2"/>
      <c r="K73" s="2"/>
      <c r="L73" s="2"/>
      <c r="M73" s="2"/>
      <c r="N73" s="2"/>
      <c r="O73" s="2"/>
      <c r="P73" s="2"/>
      <c r="Q73" s="2"/>
      <c r="R73" s="2"/>
      <c r="S73" s="2"/>
      <c r="T73" s="2"/>
      <c r="U73" s="2"/>
      <c r="V73" s="2"/>
      <c r="W73" s="2"/>
      <c r="X73" s="2"/>
      <c r="Y73" s="2"/>
      <c r="Z73" s="2"/>
    </row>
    <row r="74" ht="14.25" customHeight="1" spans="1:26">
      <c r="A74" s="6" t="s">
        <v>334</v>
      </c>
      <c r="B74" s="2" t="s">
        <v>6406</v>
      </c>
      <c r="C74" s="2" t="s">
        <v>315</v>
      </c>
      <c r="D74" s="2">
        <v>50</v>
      </c>
      <c r="E74" s="2" t="s">
        <v>37</v>
      </c>
      <c r="F74" s="2" t="s">
        <v>6407</v>
      </c>
      <c r="G74" s="2" t="s">
        <v>6408</v>
      </c>
      <c r="H74" s="2"/>
      <c r="I74" s="2"/>
      <c r="J74" s="2"/>
      <c r="K74" s="2"/>
      <c r="L74" s="2"/>
      <c r="M74" s="2"/>
      <c r="N74" s="2"/>
      <c r="O74" s="2"/>
      <c r="P74" s="2"/>
      <c r="Q74" s="2"/>
      <c r="R74" s="2"/>
      <c r="S74" s="2"/>
      <c r="T74" s="2"/>
      <c r="U74" s="2"/>
      <c r="V74" s="2"/>
      <c r="W74" s="2"/>
      <c r="X74" s="2"/>
      <c r="Y74" s="2"/>
      <c r="Z74" s="2"/>
    </row>
    <row r="75" ht="14.25" customHeight="1" spans="1:26">
      <c r="A75" s="6" t="s">
        <v>338</v>
      </c>
      <c r="B75" s="2" t="s">
        <v>6409</v>
      </c>
      <c r="C75" s="2" t="s">
        <v>315</v>
      </c>
      <c r="D75" s="2">
        <v>125</v>
      </c>
      <c r="E75" s="2" t="s">
        <v>262</v>
      </c>
      <c r="F75" s="2" t="s">
        <v>6410</v>
      </c>
      <c r="G75" s="2" t="s">
        <v>6411</v>
      </c>
      <c r="H75" s="2"/>
      <c r="I75" s="2"/>
      <c r="J75" s="2"/>
      <c r="K75" s="2"/>
      <c r="L75" s="2"/>
      <c r="M75" s="2"/>
      <c r="N75" s="2"/>
      <c r="O75" s="2"/>
      <c r="P75" s="2"/>
      <c r="Q75" s="2"/>
      <c r="R75" s="2"/>
      <c r="S75" s="2"/>
      <c r="T75" s="2"/>
      <c r="U75" s="2"/>
      <c r="V75" s="2"/>
      <c r="W75" s="2"/>
      <c r="X75" s="2"/>
      <c r="Y75" s="2"/>
      <c r="Z75" s="2"/>
    </row>
    <row r="76" ht="18" customHeight="1" spans="1:26">
      <c r="A76" s="6" t="s">
        <v>342</v>
      </c>
      <c r="B76" s="2" t="s">
        <v>6412</v>
      </c>
      <c r="C76" s="2" t="s">
        <v>315</v>
      </c>
      <c r="D76" s="2">
        <v>126</v>
      </c>
      <c r="E76" s="2" t="s">
        <v>262</v>
      </c>
      <c r="F76" s="2" t="s">
        <v>6413</v>
      </c>
      <c r="G76" s="2" t="s">
        <v>6414</v>
      </c>
      <c r="H76" s="2"/>
      <c r="I76" s="2"/>
      <c r="J76" s="2"/>
      <c r="K76" s="2"/>
      <c r="L76" s="2"/>
      <c r="M76" s="2"/>
      <c r="N76" s="2"/>
      <c r="O76" s="2"/>
      <c r="P76" s="2"/>
      <c r="Q76" s="2"/>
      <c r="R76" s="2"/>
      <c r="S76" s="2"/>
      <c r="T76" s="2"/>
      <c r="U76" s="2"/>
      <c r="V76" s="2"/>
      <c r="W76" s="2"/>
      <c r="X76" s="2"/>
      <c r="Y76" s="2"/>
      <c r="Z76" s="2"/>
    </row>
    <row r="77" ht="14.25" customHeight="1" spans="1:26">
      <c r="A77" s="6" t="s">
        <v>346</v>
      </c>
      <c r="B77" s="2" t="s">
        <v>6415</v>
      </c>
      <c r="C77" s="2" t="s">
        <v>315</v>
      </c>
      <c r="D77" s="2">
        <v>127</v>
      </c>
      <c r="E77" s="2" t="s">
        <v>262</v>
      </c>
      <c r="F77" s="2" t="s">
        <v>6416</v>
      </c>
      <c r="G77" s="2" t="s">
        <v>6417</v>
      </c>
      <c r="H77" s="2"/>
      <c r="I77" s="2"/>
      <c r="J77" s="2"/>
      <c r="K77" s="2"/>
      <c r="L77" s="2"/>
      <c r="M77" s="2"/>
      <c r="N77" s="2"/>
      <c r="O77" s="2"/>
      <c r="P77" s="2"/>
      <c r="Q77" s="2"/>
      <c r="R77" s="2"/>
      <c r="S77" s="2"/>
      <c r="T77" s="2"/>
      <c r="U77" s="2"/>
      <c r="V77" s="2"/>
      <c r="W77" s="2"/>
      <c r="X77" s="2"/>
      <c r="Y77" s="2"/>
      <c r="Z77" s="2"/>
    </row>
    <row r="78" ht="14.25" customHeight="1" spans="1:26">
      <c r="A78" s="6" t="s">
        <v>350</v>
      </c>
      <c r="B78" s="2" t="s">
        <v>2379</v>
      </c>
      <c r="C78" s="2" t="s">
        <v>315</v>
      </c>
      <c r="D78" s="2">
        <v>128</v>
      </c>
      <c r="E78" s="2" t="s">
        <v>262</v>
      </c>
      <c r="F78" s="2" t="s">
        <v>6418</v>
      </c>
      <c r="G78" s="2" t="s">
        <v>6419</v>
      </c>
      <c r="H78" s="2"/>
      <c r="I78" s="2"/>
      <c r="J78" s="2"/>
      <c r="K78" s="2"/>
      <c r="L78" s="2"/>
      <c r="M78" s="2"/>
      <c r="N78" s="2"/>
      <c r="O78" s="2"/>
      <c r="P78" s="2"/>
      <c r="Q78" s="2"/>
      <c r="R78" s="2"/>
      <c r="S78" s="2"/>
      <c r="T78" s="2"/>
      <c r="U78" s="2"/>
      <c r="V78" s="2"/>
      <c r="W78" s="2"/>
      <c r="X78" s="2"/>
      <c r="Y78" s="2"/>
      <c r="Z78" s="2"/>
    </row>
    <row r="79" ht="14.25" customHeight="1" spans="1:26">
      <c r="A79" s="6" t="s">
        <v>354</v>
      </c>
      <c r="B79" s="2" t="s">
        <v>6420</v>
      </c>
      <c r="C79" s="2" t="s">
        <v>315</v>
      </c>
      <c r="D79" s="2">
        <v>129</v>
      </c>
      <c r="E79" s="2" t="s">
        <v>262</v>
      </c>
      <c r="F79" s="2" t="s">
        <v>6421</v>
      </c>
      <c r="G79" s="2" t="s">
        <v>6422</v>
      </c>
      <c r="H79" s="2"/>
      <c r="I79" s="2"/>
      <c r="J79" s="2"/>
      <c r="K79" s="2"/>
      <c r="L79" s="2"/>
      <c r="M79" s="2"/>
      <c r="N79" s="2"/>
      <c r="O79" s="2"/>
      <c r="P79" s="2"/>
      <c r="Q79" s="2"/>
      <c r="R79" s="2"/>
      <c r="S79" s="2"/>
      <c r="T79" s="2"/>
      <c r="U79" s="2"/>
      <c r="V79" s="2"/>
      <c r="W79" s="2"/>
      <c r="X79" s="2"/>
      <c r="Y79" s="2"/>
      <c r="Z79" s="2"/>
    </row>
    <row r="80" ht="14.25" customHeight="1" spans="1:26">
      <c r="A80" s="6" t="s">
        <v>359</v>
      </c>
      <c r="B80" s="2" t="s">
        <v>6423</v>
      </c>
      <c r="C80" s="2" t="s">
        <v>315</v>
      </c>
      <c r="D80" s="2">
        <v>130</v>
      </c>
      <c r="E80" s="2" t="s">
        <v>262</v>
      </c>
      <c r="F80" s="2" t="s">
        <v>6424</v>
      </c>
      <c r="G80" s="2" t="s">
        <v>6425</v>
      </c>
      <c r="H80" s="2"/>
      <c r="I80" s="2"/>
      <c r="J80" s="2"/>
      <c r="K80" s="2"/>
      <c r="L80" s="2"/>
      <c r="M80" s="2"/>
      <c r="N80" s="2"/>
      <c r="O80" s="2"/>
      <c r="P80" s="2"/>
      <c r="Q80" s="2"/>
      <c r="R80" s="2"/>
      <c r="S80" s="2"/>
      <c r="T80" s="2"/>
      <c r="U80" s="2"/>
      <c r="V80" s="2"/>
      <c r="W80" s="2"/>
      <c r="X80" s="2"/>
      <c r="Y80" s="2"/>
      <c r="Z80" s="2"/>
    </row>
    <row r="81" ht="14.25" customHeight="1" spans="1:26">
      <c r="A81" s="6" t="s">
        <v>364</v>
      </c>
      <c r="B81" s="2" t="s">
        <v>1325</v>
      </c>
      <c r="C81" s="2" t="s">
        <v>315</v>
      </c>
      <c r="D81" s="2">
        <v>131</v>
      </c>
      <c r="E81" s="2" t="s">
        <v>262</v>
      </c>
      <c r="F81" s="2" t="s">
        <v>6426</v>
      </c>
      <c r="G81" s="2" t="s">
        <v>6427</v>
      </c>
      <c r="H81" s="2"/>
      <c r="I81" s="2"/>
      <c r="J81" s="2"/>
      <c r="K81" s="2"/>
      <c r="L81" s="2"/>
      <c r="M81" s="2"/>
      <c r="N81" s="2"/>
      <c r="O81" s="2"/>
      <c r="P81" s="2"/>
      <c r="Q81" s="2"/>
      <c r="R81" s="2"/>
      <c r="S81" s="2"/>
      <c r="T81" s="2"/>
      <c r="U81" s="2"/>
      <c r="V81" s="2"/>
      <c r="W81" s="2"/>
      <c r="X81" s="2"/>
      <c r="Y81" s="2"/>
      <c r="Z81" s="2"/>
    </row>
    <row r="82" ht="14.25" customHeight="1" spans="1:26">
      <c r="A82" s="6" t="s">
        <v>368</v>
      </c>
      <c r="B82" s="2" t="s">
        <v>6428</v>
      </c>
      <c r="C82" s="2" t="s">
        <v>315</v>
      </c>
      <c r="D82" s="2">
        <v>132</v>
      </c>
      <c r="E82" s="2" t="s">
        <v>262</v>
      </c>
      <c r="F82" s="2" t="s">
        <v>6429</v>
      </c>
      <c r="G82" s="2" t="s">
        <v>6430</v>
      </c>
      <c r="H82" s="2"/>
      <c r="I82" s="2"/>
      <c r="J82" s="2"/>
      <c r="K82" s="2"/>
      <c r="L82" s="2"/>
      <c r="M82" s="2"/>
      <c r="N82" s="2"/>
      <c r="O82" s="2"/>
      <c r="P82" s="2"/>
      <c r="Q82" s="2"/>
      <c r="R82" s="2"/>
      <c r="S82" s="2"/>
      <c r="T82" s="2"/>
      <c r="U82" s="2"/>
      <c r="V82" s="2"/>
      <c r="W82" s="2"/>
      <c r="X82" s="2"/>
      <c r="Y82" s="2"/>
      <c r="Z82" s="2"/>
    </row>
    <row r="83" ht="14.25" customHeight="1" spans="1:26">
      <c r="A83" s="6" t="s">
        <v>371</v>
      </c>
      <c r="B83" s="2" t="s">
        <v>8699</v>
      </c>
      <c r="C83" s="2" t="s">
        <v>315</v>
      </c>
      <c r="D83" s="2">
        <v>133</v>
      </c>
      <c r="E83" s="2" t="s">
        <v>262</v>
      </c>
      <c r="F83" s="2" t="s">
        <v>6432</v>
      </c>
      <c r="G83" s="2" t="s">
        <v>6433</v>
      </c>
      <c r="H83" s="2"/>
      <c r="I83" s="2"/>
      <c r="J83" s="2"/>
      <c r="K83" s="2"/>
      <c r="L83" s="2"/>
      <c r="M83" s="2"/>
      <c r="N83" s="2"/>
      <c r="O83" s="2"/>
      <c r="P83" s="2"/>
      <c r="Q83" s="2"/>
      <c r="R83" s="2"/>
      <c r="S83" s="2"/>
      <c r="T83" s="2"/>
      <c r="U83" s="2"/>
      <c r="V83" s="2"/>
      <c r="W83" s="2"/>
      <c r="X83" s="2"/>
      <c r="Y83" s="2"/>
      <c r="Z83" s="2"/>
    </row>
    <row r="84" ht="14.25" customHeight="1" spans="1:26">
      <c r="A84" s="6" t="s">
        <v>375</v>
      </c>
      <c r="B84" s="2" t="s">
        <v>6434</v>
      </c>
      <c r="C84" s="2" t="s">
        <v>315</v>
      </c>
      <c r="D84" s="2">
        <v>134</v>
      </c>
      <c r="E84" s="2" t="s">
        <v>262</v>
      </c>
      <c r="F84" s="2" t="s">
        <v>6435</v>
      </c>
      <c r="G84" s="2" t="s">
        <v>6436</v>
      </c>
      <c r="H84" s="2"/>
      <c r="I84" s="2"/>
      <c r="J84" s="2"/>
      <c r="K84" s="2"/>
      <c r="L84" s="2"/>
      <c r="M84" s="2"/>
      <c r="N84" s="2"/>
      <c r="O84" s="2"/>
      <c r="P84" s="2"/>
      <c r="Q84" s="2"/>
      <c r="R84" s="2"/>
      <c r="S84" s="2"/>
      <c r="T84" s="2"/>
      <c r="U84" s="2"/>
      <c r="V84" s="2"/>
      <c r="W84" s="2"/>
      <c r="X84" s="2"/>
      <c r="Y84" s="2"/>
      <c r="Z84" s="2"/>
    </row>
    <row r="85" ht="14.25" customHeight="1" spans="1:26">
      <c r="A85" s="6" t="s">
        <v>379</v>
      </c>
      <c r="B85" s="2" t="s">
        <v>6437</v>
      </c>
      <c r="C85" s="2" t="s">
        <v>315</v>
      </c>
      <c r="D85" s="2">
        <v>135</v>
      </c>
      <c r="E85" s="2" t="s">
        <v>262</v>
      </c>
      <c r="F85" s="2" t="s">
        <v>6438</v>
      </c>
      <c r="G85" s="2" t="s">
        <v>6439</v>
      </c>
      <c r="H85" s="2"/>
      <c r="I85" s="2"/>
      <c r="J85" s="2"/>
      <c r="K85" s="2"/>
      <c r="L85" s="2"/>
      <c r="M85" s="2"/>
      <c r="N85" s="2"/>
      <c r="O85" s="2"/>
      <c r="P85" s="2"/>
      <c r="Q85" s="2"/>
      <c r="R85" s="2"/>
      <c r="S85" s="2"/>
      <c r="T85" s="2"/>
      <c r="U85" s="2"/>
      <c r="V85" s="2"/>
      <c r="W85" s="2"/>
      <c r="X85" s="2"/>
      <c r="Y85" s="2"/>
      <c r="Z85" s="2"/>
    </row>
    <row r="86" ht="14.25" customHeight="1" spans="1:26">
      <c r="A86" s="6" t="s">
        <v>383</v>
      </c>
      <c r="B86" s="2" t="s">
        <v>6440</v>
      </c>
      <c r="C86" s="2" t="s">
        <v>315</v>
      </c>
      <c r="D86" s="2">
        <v>136</v>
      </c>
      <c r="E86" s="2" t="s">
        <v>262</v>
      </c>
      <c r="F86" s="2" t="s">
        <v>6441</v>
      </c>
      <c r="G86" s="2" t="s">
        <v>6442</v>
      </c>
      <c r="H86" s="2"/>
      <c r="I86" s="2"/>
      <c r="J86" s="2"/>
      <c r="K86" s="2"/>
      <c r="L86" s="2"/>
      <c r="M86" s="2"/>
      <c r="N86" s="2"/>
      <c r="O86" s="2"/>
      <c r="P86" s="2"/>
      <c r="Q86" s="2"/>
      <c r="R86" s="2"/>
      <c r="S86" s="2"/>
      <c r="T86" s="2"/>
      <c r="U86" s="2"/>
      <c r="V86" s="2"/>
      <c r="W86" s="2"/>
      <c r="X86" s="2"/>
      <c r="Y86" s="2"/>
      <c r="Z86" s="2"/>
    </row>
    <row r="87" ht="14.25" customHeight="1" spans="1:26">
      <c r="A87" s="6" t="s">
        <v>387</v>
      </c>
      <c r="B87" s="2" t="s">
        <v>6443</v>
      </c>
      <c r="C87" s="2" t="s">
        <v>315</v>
      </c>
      <c r="D87" s="2">
        <v>137</v>
      </c>
      <c r="E87" s="2" t="s">
        <v>262</v>
      </c>
      <c r="F87" s="2" t="s">
        <v>6444</v>
      </c>
      <c r="G87" s="2" t="s">
        <v>6445</v>
      </c>
      <c r="H87" s="2"/>
      <c r="I87" s="2"/>
      <c r="J87" s="2"/>
      <c r="K87" s="2"/>
      <c r="L87" s="2"/>
      <c r="M87" s="2"/>
      <c r="N87" s="2"/>
      <c r="O87" s="2"/>
      <c r="P87" s="2"/>
      <c r="Q87" s="2"/>
      <c r="R87" s="2"/>
      <c r="S87" s="2"/>
      <c r="T87" s="2"/>
      <c r="U87" s="2"/>
      <c r="V87" s="2"/>
      <c r="W87" s="2"/>
      <c r="X87" s="2"/>
      <c r="Y87" s="2"/>
      <c r="Z87" s="2"/>
    </row>
    <row r="88" ht="14.25" customHeight="1" spans="1:26">
      <c r="A88" s="6" t="s">
        <v>391</v>
      </c>
      <c r="B88" s="2" t="s">
        <v>6446</v>
      </c>
      <c r="C88" s="2" t="s">
        <v>315</v>
      </c>
      <c r="D88" s="2">
        <v>138</v>
      </c>
      <c r="E88" s="2" t="s">
        <v>262</v>
      </c>
      <c r="F88" s="2" t="s">
        <v>6447</v>
      </c>
      <c r="G88" s="2" t="s">
        <v>6448</v>
      </c>
      <c r="H88" s="2"/>
      <c r="I88" s="2"/>
      <c r="J88" s="2"/>
      <c r="K88" s="2"/>
      <c r="L88" s="2"/>
      <c r="M88" s="2"/>
      <c r="N88" s="2"/>
      <c r="O88" s="2"/>
      <c r="P88" s="2"/>
      <c r="Q88" s="2"/>
      <c r="R88" s="2"/>
      <c r="S88" s="2"/>
      <c r="T88" s="2"/>
      <c r="U88" s="2"/>
      <c r="V88" s="2"/>
      <c r="W88" s="2"/>
      <c r="X88" s="2"/>
      <c r="Y88" s="2"/>
      <c r="Z88" s="2"/>
    </row>
    <row r="89" ht="14.25" customHeight="1" spans="1:26">
      <c r="A89" s="6" t="s">
        <v>395</v>
      </c>
      <c r="B89" s="2" t="s">
        <v>6449</v>
      </c>
      <c r="C89" s="2" t="s">
        <v>315</v>
      </c>
      <c r="D89" s="2">
        <v>139</v>
      </c>
      <c r="E89" s="2" t="s">
        <v>262</v>
      </c>
      <c r="F89" s="2" t="s">
        <v>6450</v>
      </c>
      <c r="G89" s="2" t="s">
        <v>6451</v>
      </c>
      <c r="H89" s="2"/>
      <c r="I89" s="2"/>
      <c r="J89" s="2"/>
      <c r="K89" s="2"/>
      <c r="L89" s="2"/>
      <c r="M89" s="2"/>
      <c r="N89" s="2"/>
      <c r="O89" s="2"/>
      <c r="P89" s="2"/>
      <c r="Q89" s="2"/>
      <c r="R89" s="2"/>
      <c r="S89" s="2"/>
      <c r="T89" s="2"/>
      <c r="U89" s="2"/>
      <c r="V89" s="2"/>
      <c r="W89" s="2"/>
      <c r="X89" s="2"/>
      <c r="Y89" s="2"/>
      <c r="Z89" s="2"/>
    </row>
    <row r="90" ht="14.25" customHeight="1" spans="1:26">
      <c r="A90" s="6" t="s">
        <v>399</v>
      </c>
      <c r="B90" s="2" t="s">
        <v>6452</v>
      </c>
      <c r="C90" s="2" t="s">
        <v>315</v>
      </c>
      <c r="D90" s="2">
        <v>140</v>
      </c>
      <c r="E90" s="2" t="s">
        <v>262</v>
      </c>
      <c r="F90" s="2" t="s">
        <v>6453</v>
      </c>
      <c r="G90" s="2" t="s">
        <v>6454</v>
      </c>
      <c r="H90" s="2"/>
      <c r="I90" s="2"/>
      <c r="J90" s="2"/>
      <c r="K90" s="2"/>
      <c r="L90" s="2"/>
      <c r="M90" s="2"/>
      <c r="N90" s="2"/>
      <c r="O90" s="2"/>
      <c r="P90" s="2"/>
      <c r="Q90" s="2"/>
      <c r="R90" s="2"/>
      <c r="S90" s="2"/>
      <c r="T90" s="2"/>
      <c r="U90" s="2"/>
      <c r="V90" s="2"/>
      <c r="W90" s="2"/>
      <c r="X90" s="2"/>
      <c r="Y90" s="2"/>
      <c r="Z90" s="2"/>
    </row>
    <row r="91" ht="14.25" customHeight="1" spans="1:26">
      <c r="A91" s="6" t="s">
        <v>403</v>
      </c>
      <c r="B91" s="2" t="s">
        <v>6455</v>
      </c>
      <c r="C91" s="2" t="s">
        <v>315</v>
      </c>
      <c r="D91" s="2">
        <v>141</v>
      </c>
      <c r="E91" s="2" t="s">
        <v>262</v>
      </c>
      <c r="F91" s="2" t="s">
        <v>6456</v>
      </c>
      <c r="G91" s="2" t="s">
        <v>6457</v>
      </c>
      <c r="H91" s="2"/>
      <c r="I91" s="2"/>
      <c r="J91" s="2"/>
      <c r="K91" s="2"/>
      <c r="L91" s="2"/>
      <c r="M91" s="2"/>
      <c r="N91" s="2"/>
      <c r="O91" s="2"/>
      <c r="P91" s="2"/>
      <c r="Q91" s="2"/>
      <c r="R91" s="2"/>
      <c r="S91" s="2"/>
      <c r="T91" s="2"/>
      <c r="U91" s="2"/>
      <c r="V91" s="2"/>
      <c r="W91" s="2"/>
      <c r="X91" s="2"/>
      <c r="Y91" s="2"/>
      <c r="Z91" s="2"/>
    </row>
    <row r="92" ht="14.25" customHeight="1" spans="1:26">
      <c r="A92" s="6" t="s">
        <v>407</v>
      </c>
      <c r="B92" s="2" t="s">
        <v>6458</v>
      </c>
      <c r="C92" s="2" t="s">
        <v>315</v>
      </c>
      <c r="D92" s="2">
        <v>142</v>
      </c>
      <c r="E92" s="2" t="s">
        <v>262</v>
      </c>
      <c r="F92" s="2" t="s">
        <v>6459</v>
      </c>
      <c r="G92" s="2" t="s">
        <v>6460</v>
      </c>
      <c r="H92" s="2"/>
      <c r="I92" s="2"/>
      <c r="J92" s="2"/>
      <c r="K92" s="2"/>
      <c r="L92" s="2"/>
      <c r="M92" s="2"/>
      <c r="N92" s="2"/>
      <c r="O92" s="2"/>
      <c r="P92" s="2"/>
      <c r="Q92" s="2"/>
      <c r="R92" s="2"/>
      <c r="S92" s="2"/>
      <c r="T92" s="2"/>
      <c r="U92" s="2"/>
      <c r="V92" s="2"/>
      <c r="W92" s="2"/>
      <c r="X92" s="2"/>
      <c r="Y92" s="2"/>
      <c r="Z92" s="2"/>
    </row>
    <row r="93" ht="14.25" customHeight="1" spans="1:26">
      <c r="A93" s="6" t="s">
        <v>411</v>
      </c>
      <c r="B93" s="2" t="s">
        <v>6461</v>
      </c>
      <c r="C93" s="2" t="s">
        <v>315</v>
      </c>
      <c r="D93" s="2">
        <v>143</v>
      </c>
      <c r="E93" s="2" t="s">
        <v>262</v>
      </c>
      <c r="F93" s="2" t="s">
        <v>6462</v>
      </c>
      <c r="G93" s="2" t="s">
        <v>6463</v>
      </c>
      <c r="H93" s="2"/>
      <c r="I93" s="2"/>
      <c r="J93" s="2"/>
      <c r="K93" s="2"/>
      <c r="L93" s="2"/>
      <c r="M93" s="2"/>
      <c r="N93" s="2"/>
      <c r="O93" s="2"/>
      <c r="P93" s="2"/>
      <c r="Q93" s="2"/>
      <c r="R93" s="2"/>
      <c r="S93" s="2"/>
      <c r="T93" s="2"/>
      <c r="U93" s="2"/>
      <c r="V93" s="2"/>
      <c r="W93" s="2"/>
      <c r="X93" s="2"/>
      <c r="Y93" s="2"/>
      <c r="Z93" s="2"/>
    </row>
    <row r="94" ht="14.25" customHeight="1" spans="1:26">
      <c r="A94" s="6" t="s">
        <v>416</v>
      </c>
      <c r="B94" s="2" t="s">
        <v>6464</v>
      </c>
      <c r="C94" s="2" t="s">
        <v>315</v>
      </c>
      <c r="D94" s="2">
        <v>144</v>
      </c>
      <c r="E94" s="2" t="s">
        <v>262</v>
      </c>
      <c r="F94" s="2" t="s">
        <v>6465</v>
      </c>
      <c r="G94" s="2" t="s">
        <v>6466</v>
      </c>
      <c r="H94" s="2"/>
      <c r="I94" s="2"/>
      <c r="J94" s="2"/>
      <c r="K94" s="2"/>
      <c r="L94" s="2"/>
      <c r="M94" s="2"/>
      <c r="N94" s="2"/>
      <c r="O94" s="2"/>
      <c r="P94" s="2"/>
      <c r="Q94" s="2"/>
      <c r="R94" s="2"/>
      <c r="S94" s="2"/>
      <c r="T94" s="2"/>
      <c r="U94" s="2"/>
      <c r="V94" s="2"/>
      <c r="W94" s="2"/>
      <c r="X94" s="2"/>
      <c r="Y94" s="2"/>
      <c r="Z94" s="2"/>
    </row>
    <row r="95" ht="14.25" customHeight="1" spans="1:26">
      <c r="A95" s="6" t="s">
        <v>421</v>
      </c>
      <c r="B95" s="2" t="s">
        <v>6467</v>
      </c>
      <c r="C95" s="2" t="s">
        <v>315</v>
      </c>
      <c r="D95" s="2">
        <v>145</v>
      </c>
      <c r="E95" s="2" t="s">
        <v>310</v>
      </c>
      <c r="F95" s="2" t="s">
        <v>3158</v>
      </c>
      <c r="G95" s="2" t="s">
        <v>6468</v>
      </c>
      <c r="H95" s="2"/>
      <c r="I95" s="2"/>
      <c r="J95" s="2"/>
      <c r="K95" s="2"/>
      <c r="L95" s="2"/>
      <c r="M95" s="2"/>
      <c r="N95" s="2"/>
      <c r="O95" s="2"/>
      <c r="P95" s="2"/>
      <c r="Q95" s="2"/>
      <c r="R95" s="2"/>
      <c r="S95" s="2"/>
      <c r="T95" s="2"/>
      <c r="U95" s="2"/>
      <c r="V95" s="2"/>
      <c r="W95" s="2"/>
      <c r="X95" s="2"/>
      <c r="Y95" s="2"/>
      <c r="Z95" s="2"/>
    </row>
    <row r="96" ht="14.25" customHeight="1" spans="1:26">
      <c r="A96" s="6" t="s">
        <v>426</v>
      </c>
      <c r="B96" s="2" t="s">
        <v>8700</v>
      </c>
      <c r="C96" s="2" t="s">
        <v>315</v>
      </c>
      <c r="D96" s="2">
        <v>146</v>
      </c>
      <c r="E96" s="2" t="s">
        <v>262</v>
      </c>
      <c r="F96" s="2" t="s">
        <v>8701</v>
      </c>
      <c r="G96" s="2" t="s">
        <v>8702</v>
      </c>
      <c r="H96" s="2"/>
      <c r="I96" s="2"/>
      <c r="J96" s="2"/>
      <c r="K96" s="2"/>
      <c r="L96" s="2"/>
      <c r="M96" s="2"/>
      <c r="N96" s="2"/>
      <c r="O96" s="2"/>
      <c r="P96" s="2"/>
      <c r="Q96" s="2"/>
      <c r="R96" s="2"/>
      <c r="S96" s="2"/>
      <c r="T96" s="2"/>
      <c r="U96" s="2"/>
      <c r="V96" s="2"/>
      <c r="W96" s="2"/>
      <c r="X96" s="2"/>
      <c r="Y96" s="2"/>
      <c r="Z96" s="2"/>
    </row>
    <row r="97" ht="14.25" customHeight="1" spans="1:26">
      <c r="A97" s="6" t="s">
        <v>431</v>
      </c>
      <c r="B97" s="2" t="s">
        <v>8703</v>
      </c>
      <c r="C97" s="2" t="s">
        <v>315</v>
      </c>
      <c r="D97" s="2">
        <v>147</v>
      </c>
      <c r="E97" s="2" t="s">
        <v>21</v>
      </c>
      <c r="F97" s="2" t="s">
        <v>8704</v>
      </c>
      <c r="G97" s="2" t="s">
        <v>8705</v>
      </c>
      <c r="H97" s="2"/>
      <c r="I97" s="2"/>
      <c r="J97" s="2"/>
      <c r="K97" s="2"/>
      <c r="L97" s="2"/>
      <c r="M97" s="2"/>
      <c r="N97" s="2"/>
      <c r="O97" s="2"/>
      <c r="P97" s="2"/>
      <c r="Q97" s="2"/>
      <c r="R97" s="2"/>
      <c r="S97" s="2"/>
      <c r="T97" s="2"/>
      <c r="U97" s="2"/>
      <c r="V97" s="2"/>
      <c r="W97" s="2"/>
      <c r="X97" s="2"/>
      <c r="Y97" s="2"/>
      <c r="Z97" s="2"/>
    </row>
    <row r="98" ht="14.25" customHeight="1" spans="1:26">
      <c r="A98" s="6" t="s">
        <v>435</v>
      </c>
      <c r="B98" s="2" t="s">
        <v>6475</v>
      </c>
      <c r="C98" s="2" t="s">
        <v>315</v>
      </c>
      <c r="D98" s="2">
        <v>148</v>
      </c>
      <c r="E98" s="2" t="s">
        <v>21</v>
      </c>
      <c r="F98" s="2" t="s">
        <v>6476</v>
      </c>
      <c r="G98" s="2" t="s">
        <v>8706</v>
      </c>
      <c r="H98" s="2"/>
      <c r="I98" s="2"/>
      <c r="J98" s="2"/>
      <c r="K98" s="2"/>
      <c r="L98" s="2"/>
      <c r="M98" s="2"/>
      <c r="N98" s="2"/>
      <c r="O98" s="2"/>
      <c r="P98" s="2"/>
      <c r="Q98" s="2"/>
      <c r="R98" s="2"/>
      <c r="S98" s="2"/>
      <c r="T98" s="2"/>
      <c r="U98" s="2"/>
      <c r="V98" s="2"/>
      <c r="W98" s="2"/>
      <c r="X98" s="2"/>
      <c r="Y98" s="2"/>
      <c r="Z98" s="2"/>
    </row>
    <row r="99" ht="14.25" customHeight="1" spans="1:26">
      <c r="A99" s="6" t="s">
        <v>439</v>
      </c>
      <c r="B99" s="2" t="s">
        <v>6478</v>
      </c>
      <c r="C99" s="2" t="s">
        <v>315</v>
      </c>
      <c r="D99" s="2">
        <v>149</v>
      </c>
      <c r="E99" s="2" t="s">
        <v>37</v>
      </c>
      <c r="F99" s="2" t="s">
        <v>6479</v>
      </c>
      <c r="G99" s="2" t="s">
        <v>6480</v>
      </c>
      <c r="H99" s="2"/>
      <c r="I99" s="2"/>
      <c r="J99" s="2"/>
      <c r="K99" s="2"/>
      <c r="L99" s="2"/>
      <c r="M99" s="2"/>
      <c r="N99" s="2"/>
      <c r="O99" s="2"/>
      <c r="P99" s="2"/>
      <c r="Q99" s="2"/>
      <c r="R99" s="2"/>
      <c r="S99" s="2"/>
      <c r="T99" s="2"/>
      <c r="U99" s="2"/>
      <c r="V99" s="2"/>
      <c r="W99" s="2"/>
      <c r="X99" s="2"/>
      <c r="Y99" s="2"/>
      <c r="Z99" s="2"/>
    </row>
    <row r="100" ht="14.25" customHeight="1" spans="1:26">
      <c r="A100" s="6" t="s">
        <v>443</v>
      </c>
      <c r="B100" s="2" t="s">
        <v>8707</v>
      </c>
      <c r="C100" s="2" t="s">
        <v>315</v>
      </c>
      <c r="D100" s="2">
        <v>150</v>
      </c>
      <c r="E100" s="2" t="s">
        <v>310</v>
      </c>
      <c r="F100" s="2" t="s">
        <v>6482</v>
      </c>
      <c r="G100" s="2" t="s">
        <v>8708</v>
      </c>
      <c r="H100" s="2"/>
      <c r="I100" s="2"/>
      <c r="J100" s="2"/>
      <c r="K100" s="2"/>
      <c r="L100" s="2"/>
      <c r="M100" s="2"/>
      <c r="N100" s="2"/>
      <c r="O100" s="2"/>
      <c r="P100" s="2"/>
      <c r="Q100" s="2"/>
      <c r="R100" s="2"/>
      <c r="S100" s="2"/>
      <c r="T100" s="2"/>
      <c r="U100" s="2"/>
      <c r="V100" s="2"/>
      <c r="W100" s="2"/>
      <c r="X100" s="2"/>
      <c r="Y100" s="2"/>
      <c r="Z100" s="2"/>
    </row>
    <row r="101" ht="14.25" customHeight="1" spans="1:26">
      <c r="A101" s="6" t="s">
        <v>448</v>
      </c>
      <c r="B101" s="2" t="s">
        <v>1369</v>
      </c>
      <c r="C101" s="2" t="s">
        <v>315</v>
      </c>
      <c r="D101" s="2">
        <v>151</v>
      </c>
      <c r="E101" s="2" t="s">
        <v>310</v>
      </c>
      <c r="F101" s="2" t="s">
        <v>6484</v>
      </c>
      <c r="G101" s="2" t="s">
        <v>6485</v>
      </c>
      <c r="H101" s="2"/>
      <c r="I101" s="2"/>
      <c r="J101" s="2"/>
      <c r="K101" s="2"/>
      <c r="L101" s="2"/>
      <c r="M101" s="2"/>
      <c r="N101" s="2"/>
      <c r="O101" s="2"/>
      <c r="P101" s="2"/>
      <c r="Q101" s="2"/>
      <c r="R101" s="2"/>
      <c r="S101" s="2"/>
      <c r="T101" s="2"/>
      <c r="U101" s="2"/>
      <c r="V101" s="2"/>
      <c r="W101" s="2"/>
      <c r="X101" s="2"/>
      <c r="Y101" s="2"/>
      <c r="Z101" s="2"/>
    </row>
    <row r="102" ht="14.25" customHeight="1" spans="1:26">
      <c r="A102" s="6" t="s">
        <v>452</v>
      </c>
      <c r="B102" s="2" t="s">
        <v>6486</v>
      </c>
      <c r="C102" s="2" t="s">
        <v>315</v>
      </c>
      <c r="D102" s="2">
        <v>152</v>
      </c>
      <c r="E102" s="2" t="s">
        <v>310</v>
      </c>
      <c r="F102" s="2" t="s">
        <v>6487</v>
      </c>
      <c r="G102" s="2" t="s">
        <v>6488</v>
      </c>
      <c r="H102" s="2"/>
      <c r="I102" s="2"/>
      <c r="J102" s="2"/>
      <c r="K102" s="2"/>
      <c r="L102" s="2"/>
      <c r="M102" s="2"/>
      <c r="N102" s="2"/>
      <c r="O102" s="2"/>
      <c r="P102" s="2"/>
      <c r="Q102" s="2"/>
      <c r="R102" s="2"/>
      <c r="S102" s="2"/>
      <c r="T102" s="2"/>
      <c r="U102" s="2"/>
      <c r="V102" s="2"/>
      <c r="W102" s="2"/>
      <c r="X102" s="2"/>
      <c r="Y102" s="2"/>
      <c r="Z102" s="2"/>
    </row>
    <row r="103" ht="14.25" customHeight="1" spans="1:26">
      <c r="A103" s="6" t="s">
        <v>455</v>
      </c>
      <c r="B103" s="2" t="s">
        <v>6489</v>
      </c>
      <c r="C103" s="2" t="s">
        <v>315</v>
      </c>
      <c r="D103" s="2">
        <v>153</v>
      </c>
      <c r="E103" s="2" t="s">
        <v>21</v>
      </c>
      <c r="F103" s="2" t="s">
        <v>6490</v>
      </c>
      <c r="G103" s="2" t="s">
        <v>6491</v>
      </c>
      <c r="H103" s="2"/>
      <c r="I103" s="2"/>
      <c r="J103" s="2"/>
      <c r="K103" s="2"/>
      <c r="L103" s="2"/>
      <c r="M103" s="2"/>
      <c r="N103" s="2"/>
      <c r="O103" s="2"/>
      <c r="P103" s="2"/>
      <c r="Q103" s="2"/>
      <c r="R103" s="2"/>
      <c r="S103" s="2"/>
      <c r="T103" s="2"/>
      <c r="U103" s="2"/>
      <c r="V103" s="2"/>
      <c r="W103" s="2"/>
      <c r="X103" s="2"/>
      <c r="Y103" s="2"/>
      <c r="Z103" s="2"/>
    </row>
    <row r="104" ht="14.25" customHeight="1" spans="1:26">
      <c r="A104" s="6" t="s">
        <v>460</v>
      </c>
      <c r="B104" s="2" t="s">
        <v>6492</v>
      </c>
      <c r="C104" s="2" t="s">
        <v>315</v>
      </c>
      <c r="D104" s="2">
        <v>154</v>
      </c>
      <c r="E104" s="2" t="s">
        <v>37</v>
      </c>
      <c r="F104" s="2" t="s">
        <v>6493</v>
      </c>
      <c r="G104" s="2" t="s">
        <v>6494</v>
      </c>
      <c r="H104" s="2"/>
      <c r="I104" s="2"/>
      <c r="J104" s="2"/>
      <c r="K104" s="2"/>
      <c r="L104" s="2"/>
      <c r="M104" s="2"/>
      <c r="N104" s="2"/>
      <c r="O104" s="2"/>
      <c r="P104" s="2"/>
      <c r="Q104" s="2"/>
      <c r="R104" s="2"/>
      <c r="S104" s="2"/>
      <c r="T104" s="2"/>
      <c r="U104" s="2"/>
      <c r="V104" s="2"/>
      <c r="W104" s="2"/>
      <c r="X104" s="2"/>
      <c r="Y104" s="2"/>
      <c r="Z104" s="2"/>
    </row>
    <row r="105" ht="14.25" customHeight="1" spans="1:26">
      <c r="A105" s="6" t="s">
        <v>465</v>
      </c>
      <c r="B105" s="2" t="s">
        <v>6495</v>
      </c>
      <c r="C105" s="2" t="s">
        <v>315</v>
      </c>
      <c r="D105" s="2">
        <v>155</v>
      </c>
      <c r="E105" s="2" t="s">
        <v>21</v>
      </c>
      <c r="F105" s="2" t="s">
        <v>6496</v>
      </c>
      <c r="G105" s="2" t="s">
        <v>6497</v>
      </c>
      <c r="H105" s="2"/>
      <c r="I105" s="2"/>
      <c r="J105" s="2"/>
      <c r="K105" s="2"/>
      <c r="L105" s="2"/>
      <c r="M105" s="2"/>
      <c r="N105" s="2"/>
      <c r="O105" s="2"/>
      <c r="P105" s="2"/>
      <c r="Q105" s="2"/>
      <c r="R105" s="2"/>
      <c r="S105" s="2"/>
      <c r="T105" s="2"/>
      <c r="U105" s="2"/>
      <c r="V105" s="2"/>
      <c r="W105" s="2"/>
      <c r="X105" s="2"/>
      <c r="Y105" s="2"/>
      <c r="Z105" s="2"/>
    </row>
    <row r="106" ht="14.25" customHeight="1" spans="1:26">
      <c r="A106" s="6" t="s">
        <v>469</v>
      </c>
      <c r="B106" s="2" t="s">
        <v>6498</v>
      </c>
      <c r="C106" s="2" t="s">
        <v>315</v>
      </c>
      <c r="D106" s="2">
        <v>156</v>
      </c>
      <c r="E106" s="2" t="s">
        <v>310</v>
      </c>
      <c r="F106" s="2" t="s">
        <v>6499</v>
      </c>
      <c r="G106" s="2" t="s">
        <v>6500</v>
      </c>
      <c r="H106" s="2"/>
      <c r="I106" s="2"/>
      <c r="J106" s="2"/>
      <c r="K106" s="2"/>
      <c r="L106" s="2"/>
      <c r="M106" s="2"/>
      <c r="N106" s="2"/>
      <c r="O106" s="2"/>
      <c r="P106" s="2"/>
      <c r="Q106" s="2"/>
      <c r="R106" s="2"/>
      <c r="S106" s="2"/>
      <c r="T106" s="2"/>
      <c r="U106" s="2"/>
      <c r="V106" s="2"/>
      <c r="W106" s="2"/>
      <c r="X106" s="2"/>
      <c r="Y106" s="2"/>
      <c r="Z106" s="2"/>
    </row>
    <row r="107" ht="14.25" customHeight="1" spans="1:26">
      <c r="A107" s="6" t="s">
        <v>474</v>
      </c>
      <c r="B107" s="2" t="s">
        <v>6501</v>
      </c>
      <c r="C107" s="2" t="s">
        <v>315</v>
      </c>
      <c r="D107" s="2">
        <v>157</v>
      </c>
      <c r="E107" s="2" t="s">
        <v>310</v>
      </c>
      <c r="F107" s="2" t="s">
        <v>6502</v>
      </c>
      <c r="G107" s="2" t="s">
        <v>6503</v>
      </c>
      <c r="H107" s="2"/>
      <c r="I107" s="2"/>
      <c r="J107" s="2"/>
      <c r="K107" s="2"/>
      <c r="L107" s="2"/>
      <c r="M107" s="2"/>
      <c r="N107" s="2"/>
      <c r="O107" s="2"/>
      <c r="P107" s="2"/>
      <c r="Q107" s="2"/>
      <c r="R107" s="2"/>
      <c r="S107" s="2"/>
      <c r="T107" s="2"/>
      <c r="U107" s="2"/>
      <c r="V107" s="2"/>
      <c r="W107" s="2"/>
      <c r="X107" s="2"/>
      <c r="Y107" s="2"/>
      <c r="Z107" s="2"/>
    </row>
    <row r="108" ht="14.25" customHeight="1" spans="1:26">
      <c r="A108" s="6" t="s">
        <v>479</v>
      </c>
      <c r="B108" s="2" t="s">
        <v>6504</v>
      </c>
      <c r="C108" s="2" t="s">
        <v>315</v>
      </c>
      <c r="D108" s="2">
        <v>158</v>
      </c>
      <c r="E108" s="2" t="s">
        <v>310</v>
      </c>
      <c r="F108" s="2" t="s">
        <v>6505</v>
      </c>
      <c r="G108" s="2" t="s">
        <v>6506</v>
      </c>
      <c r="H108" s="2"/>
      <c r="I108" s="2"/>
      <c r="J108" s="2"/>
      <c r="K108" s="2"/>
      <c r="L108" s="2"/>
      <c r="M108" s="2"/>
      <c r="N108" s="2"/>
      <c r="O108" s="2"/>
      <c r="P108" s="2"/>
      <c r="Q108" s="2"/>
      <c r="R108" s="2"/>
      <c r="S108" s="2"/>
      <c r="T108" s="2"/>
      <c r="U108" s="2"/>
      <c r="V108" s="2"/>
      <c r="W108" s="2"/>
      <c r="X108" s="2"/>
      <c r="Y108" s="2"/>
      <c r="Z108" s="2"/>
    </row>
    <row r="109" ht="14.25" customHeight="1" spans="1:26">
      <c r="A109" s="6" t="s">
        <v>483</v>
      </c>
      <c r="B109" s="2" t="s">
        <v>6507</v>
      </c>
      <c r="C109" s="2" t="s">
        <v>315</v>
      </c>
      <c r="D109" s="2">
        <v>159</v>
      </c>
      <c r="E109" s="2" t="s">
        <v>37</v>
      </c>
      <c r="F109" s="2" t="s">
        <v>6508</v>
      </c>
      <c r="G109" s="2" t="s">
        <v>6509</v>
      </c>
      <c r="H109" s="2"/>
      <c r="I109" s="2"/>
      <c r="J109" s="2"/>
      <c r="K109" s="2"/>
      <c r="L109" s="2"/>
      <c r="M109" s="2"/>
      <c r="N109" s="2"/>
      <c r="O109" s="2"/>
      <c r="P109" s="2"/>
      <c r="Q109" s="2"/>
      <c r="R109" s="2"/>
      <c r="S109" s="2"/>
      <c r="T109" s="2"/>
      <c r="U109" s="2"/>
      <c r="V109" s="2"/>
      <c r="W109" s="2"/>
      <c r="X109" s="2"/>
      <c r="Y109" s="2"/>
      <c r="Z109" s="2"/>
    </row>
    <row r="110" ht="14.25" customHeight="1" spans="1:26">
      <c r="A110" s="6" t="s">
        <v>488</v>
      </c>
      <c r="B110" s="2" t="s">
        <v>8709</v>
      </c>
      <c r="C110" s="2" t="s">
        <v>315</v>
      </c>
      <c r="D110" s="2">
        <v>160</v>
      </c>
      <c r="E110" s="2" t="s">
        <v>37</v>
      </c>
      <c r="F110" s="2" t="s">
        <v>8710</v>
      </c>
      <c r="G110" s="2" t="s">
        <v>8711</v>
      </c>
      <c r="H110" s="2"/>
      <c r="I110" s="2"/>
      <c r="J110" s="2"/>
      <c r="K110" s="2"/>
      <c r="L110" s="2"/>
      <c r="M110" s="2"/>
      <c r="N110" s="2"/>
      <c r="O110" s="2"/>
      <c r="P110" s="2"/>
      <c r="Q110" s="2"/>
      <c r="R110" s="2"/>
      <c r="S110" s="2"/>
      <c r="T110" s="2"/>
      <c r="U110" s="2"/>
      <c r="V110" s="2"/>
      <c r="W110" s="2"/>
      <c r="X110" s="2"/>
      <c r="Y110" s="2"/>
      <c r="Z110" s="2"/>
    </row>
    <row r="111" ht="14.25" customHeight="1" spans="1:26">
      <c r="A111" s="6" t="s">
        <v>493</v>
      </c>
      <c r="B111" s="2" t="s">
        <v>6513</v>
      </c>
      <c r="C111" s="2" t="s">
        <v>315</v>
      </c>
      <c r="D111" s="2">
        <v>161</v>
      </c>
      <c r="E111" s="2"/>
      <c r="F111" s="2" t="s">
        <v>6514</v>
      </c>
      <c r="G111" s="2" t="s">
        <v>6515</v>
      </c>
      <c r="H111" s="2"/>
      <c r="I111" s="2"/>
      <c r="J111" s="2"/>
      <c r="K111" s="2"/>
      <c r="L111" s="2"/>
      <c r="M111" s="2"/>
      <c r="N111" s="2"/>
      <c r="O111" s="2"/>
      <c r="P111" s="2"/>
      <c r="Q111" s="2"/>
      <c r="R111" s="2"/>
      <c r="S111" s="2"/>
      <c r="T111" s="2"/>
      <c r="U111" s="2"/>
      <c r="V111" s="2"/>
      <c r="W111" s="2"/>
      <c r="X111" s="2"/>
      <c r="Y111" s="2"/>
      <c r="Z111" s="2"/>
    </row>
    <row r="112" ht="14.25" customHeight="1" spans="1:26">
      <c r="A112" s="6" t="s">
        <v>498</v>
      </c>
      <c r="B112" s="2" t="s">
        <v>6516</v>
      </c>
      <c r="C112" s="2" t="s">
        <v>315</v>
      </c>
      <c r="D112" s="2">
        <v>162</v>
      </c>
      <c r="E112" s="2"/>
      <c r="F112" s="2" t="s">
        <v>6517</v>
      </c>
      <c r="G112" s="2" t="s">
        <v>6518</v>
      </c>
      <c r="H112" s="2"/>
      <c r="I112" s="2"/>
      <c r="J112" s="2"/>
      <c r="K112" s="2"/>
      <c r="L112" s="2"/>
      <c r="M112" s="2"/>
      <c r="N112" s="2"/>
      <c r="O112" s="2"/>
      <c r="P112" s="2"/>
      <c r="Q112" s="2"/>
      <c r="R112" s="2"/>
      <c r="S112" s="2"/>
      <c r="T112" s="2"/>
      <c r="U112" s="2"/>
      <c r="V112" s="2"/>
      <c r="W112" s="2"/>
      <c r="X112" s="2"/>
      <c r="Y112" s="2"/>
      <c r="Z112" s="2"/>
    </row>
    <row r="113" ht="14.25" customHeight="1" spans="1:26">
      <c r="A113" s="6" t="s">
        <v>503</v>
      </c>
      <c r="B113" s="2" t="s">
        <v>274</v>
      </c>
      <c r="C113" s="2" t="s">
        <v>315</v>
      </c>
      <c r="D113" s="2">
        <v>163</v>
      </c>
      <c r="E113" s="2" t="s">
        <v>37</v>
      </c>
      <c r="F113" s="2" t="s">
        <v>6519</v>
      </c>
      <c r="G113" s="2" t="s">
        <v>6520</v>
      </c>
      <c r="H113" s="2"/>
      <c r="I113" s="2"/>
      <c r="J113" s="2"/>
      <c r="K113" s="2"/>
      <c r="L113" s="2"/>
      <c r="M113" s="2"/>
      <c r="N113" s="2"/>
      <c r="O113" s="2"/>
      <c r="P113" s="2"/>
      <c r="Q113" s="2"/>
      <c r="R113" s="2"/>
      <c r="S113" s="2"/>
      <c r="T113" s="2"/>
      <c r="U113" s="2"/>
      <c r="V113" s="2"/>
      <c r="W113" s="2"/>
      <c r="X113" s="2"/>
      <c r="Y113" s="2"/>
      <c r="Z113" s="2"/>
    </row>
    <row r="114" ht="14.25" customHeight="1" spans="1:26">
      <c r="A114" s="6" t="s">
        <v>508</v>
      </c>
      <c r="B114" s="2" t="s">
        <v>6521</v>
      </c>
      <c r="C114" s="2" t="s">
        <v>315</v>
      </c>
      <c r="D114" s="2">
        <v>164</v>
      </c>
      <c r="E114" s="2" t="s">
        <v>37</v>
      </c>
      <c r="F114" s="2" t="s">
        <v>6522</v>
      </c>
      <c r="G114" s="2" t="s">
        <v>6523</v>
      </c>
      <c r="H114" s="2"/>
      <c r="I114" s="2"/>
      <c r="J114" s="2"/>
      <c r="K114" s="2"/>
      <c r="L114" s="2"/>
      <c r="M114" s="2"/>
      <c r="N114" s="2"/>
      <c r="O114" s="2"/>
      <c r="P114" s="2"/>
      <c r="Q114" s="2"/>
      <c r="R114" s="2"/>
      <c r="S114" s="2"/>
      <c r="T114" s="2"/>
      <c r="U114" s="2"/>
      <c r="V114" s="2"/>
      <c r="W114" s="2"/>
      <c r="X114" s="2"/>
      <c r="Y114" s="2"/>
      <c r="Z114" s="2"/>
    </row>
    <row r="115" ht="14.25" customHeight="1" spans="1:26">
      <c r="A115" s="6" t="s">
        <v>513</v>
      </c>
      <c r="B115" s="2" t="s">
        <v>6524</v>
      </c>
      <c r="C115" s="2" t="s">
        <v>515</v>
      </c>
      <c r="D115" s="2">
        <v>165</v>
      </c>
      <c r="E115" s="2" t="s">
        <v>37</v>
      </c>
      <c r="F115" s="2" t="s">
        <v>6525</v>
      </c>
      <c r="G115" s="2" t="s">
        <v>6526</v>
      </c>
      <c r="H115" s="2"/>
      <c r="I115" s="2"/>
      <c r="J115" s="2"/>
      <c r="K115" s="2"/>
      <c r="L115" s="2"/>
      <c r="M115" s="2"/>
      <c r="N115" s="2"/>
      <c r="O115" s="2"/>
      <c r="P115" s="2"/>
      <c r="Q115" s="2"/>
      <c r="R115" s="2"/>
      <c r="S115" s="2"/>
      <c r="T115" s="2"/>
      <c r="U115" s="2"/>
      <c r="V115" s="2"/>
      <c r="W115" s="2"/>
      <c r="X115" s="2"/>
      <c r="Y115" s="2"/>
      <c r="Z115" s="2"/>
    </row>
    <row r="116" ht="14.25" customHeight="1" spans="1:26">
      <c r="A116" s="6" t="s">
        <v>518</v>
      </c>
      <c r="B116" s="2" t="s">
        <v>6527</v>
      </c>
      <c r="C116" s="2" t="s">
        <v>519</v>
      </c>
      <c r="D116" s="2">
        <v>166</v>
      </c>
      <c r="E116" s="2" t="s">
        <v>37</v>
      </c>
      <c r="F116" s="2" t="s">
        <v>6528</v>
      </c>
      <c r="G116" s="2" t="s">
        <v>6529</v>
      </c>
      <c r="H116" s="2"/>
      <c r="I116" s="2"/>
      <c r="J116" s="2"/>
      <c r="K116" s="2"/>
      <c r="L116" s="2"/>
      <c r="M116" s="2"/>
      <c r="N116" s="2"/>
      <c r="O116" s="2"/>
      <c r="P116" s="2"/>
      <c r="Q116" s="2"/>
      <c r="R116" s="2"/>
      <c r="S116" s="2"/>
      <c r="T116" s="2"/>
      <c r="U116" s="2"/>
      <c r="V116" s="2"/>
      <c r="W116" s="2"/>
      <c r="X116" s="2"/>
      <c r="Y116" s="2"/>
      <c r="Z116" s="2"/>
    </row>
    <row r="117" ht="14.25" customHeight="1" spans="1:26">
      <c r="A117" s="6" t="s">
        <v>520</v>
      </c>
      <c r="B117" s="2" t="s">
        <v>6530</v>
      </c>
      <c r="C117" s="2" t="s">
        <v>515</v>
      </c>
      <c r="D117" s="2">
        <v>167</v>
      </c>
      <c r="E117" s="2" t="s">
        <v>37</v>
      </c>
      <c r="F117" s="2" t="s">
        <v>6531</v>
      </c>
      <c r="G117" s="2" t="s">
        <v>6532</v>
      </c>
      <c r="H117" s="2"/>
      <c r="I117" s="2"/>
      <c r="J117" s="2"/>
      <c r="K117" s="2"/>
      <c r="L117" s="2"/>
      <c r="M117" s="2"/>
      <c r="N117" s="2"/>
      <c r="O117" s="2"/>
      <c r="P117" s="2"/>
      <c r="Q117" s="2"/>
      <c r="R117" s="2"/>
      <c r="S117" s="2"/>
      <c r="T117" s="2"/>
      <c r="U117" s="2"/>
      <c r="V117" s="2"/>
      <c r="W117" s="2"/>
      <c r="X117" s="2"/>
      <c r="Y117" s="2"/>
      <c r="Z117" s="2"/>
    </row>
    <row r="118" ht="14.25" customHeight="1" spans="1:26">
      <c r="A118" s="6" t="s">
        <v>522</v>
      </c>
      <c r="B118" s="2" t="s">
        <v>6533</v>
      </c>
      <c r="C118" s="2" t="s">
        <v>524</v>
      </c>
      <c r="D118" s="2">
        <v>168</v>
      </c>
      <c r="E118" s="2" t="s">
        <v>37</v>
      </c>
      <c r="F118" s="2" t="s">
        <v>6534</v>
      </c>
      <c r="G118" s="2" t="s">
        <v>6535</v>
      </c>
      <c r="H118" s="2"/>
      <c r="I118" s="2"/>
      <c r="J118" s="2"/>
      <c r="K118" s="2"/>
      <c r="L118" s="2"/>
      <c r="M118" s="2"/>
      <c r="N118" s="2"/>
      <c r="O118" s="2"/>
      <c r="P118" s="2"/>
      <c r="Q118" s="2"/>
      <c r="R118" s="2"/>
      <c r="S118" s="2"/>
      <c r="T118" s="2"/>
      <c r="U118" s="2"/>
      <c r="V118" s="2"/>
      <c r="W118" s="2"/>
      <c r="X118" s="2"/>
      <c r="Y118" s="2"/>
      <c r="Z118" s="2"/>
    </row>
    <row r="119" ht="14.25" customHeight="1" spans="1:26">
      <c r="A119" s="6" t="s">
        <v>527</v>
      </c>
      <c r="B119" s="2" t="s">
        <v>6536</v>
      </c>
      <c r="C119" s="2" t="s">
        <v>529</v>
      </c>
      <c r="D119" s="2">
        <v>169</v>
      </c>
      <c r="E119" s="2" t="s">
        <v>37</v>
      </c>
      <c r="F119" s="2" t="s">
        <v>6537</v>
      </c>
      <c r="G119" s="2" t="s">
        <v>6538</v>
      </c>
      <c r="H119" s="2"/>
      <c r="I119" s="2"/>
      <c r="J119" s="2"/>
      <c r="K119" s="2"/>
      <c r="L119" s="2"/>
      <c r="M119" s="2"/>
      <c r="N119" s="2"/>
      <c r="O119" s="2"/>
      <c r="P119" s="2"/>
      <c r="Q119" s="2"/>
      <c r="R119" s="2"/>
      <c r="S119" s="2"/>
      <c r="T119" s="2"/>
      <c r="U119" s="2"/>
      <c r="V119" s="2"/>
      <c r="W119" s="2"/>
      <c r="X119" s="2"/>
      <c r="Y119" s="2"/>
      <c r="Z119" s="2"/>
    </row>
    <row r="120" ht="14.25" customHeight="1" spans="1:26">
      <c r="A120" s="6" t="s">
        <v>532</v>
      </c>
      <c r="B120" s="2" t="s">
        <v>8712</v>
      </c>
      <c r="C120" s="2" t="s">
        <v>534</v>
      </c>
      <c r="D120" s="2">
        <v>170</v>
      </c>
      <c r="E120" s="2" t="s">
        <v>37</v>
      </c>
      <c r="F120" s="2" t="s">
        <v>8713</v>
      </c>
      <c r="G120" s="2" t="s">
        <v>8714</v>
      </c>
      <c r="H120" s="2"/>
      <c r="I120" s="2"/>
      <c r="J120" s="2"/>
      <c r="K120" s="2"/>
      <c r="L120" s="2"/>
      <c r="M120" s="2"/>
      <c r="N120" s="2"/>
      <c r="O120" s="2"/>
      <c r="P120" s="2"/>
      <c r="Q120" s="2"/>
      <c r="R120" s="2"/>
      <c r="S120" s="2"/>
      <c r="T120" s="2"/>
      <c r="U120" s="2"/>
      <c r="V120" s="2"/>
      <c r="W120" s="2"/>
      <c r="X120" s="2"/>
      <c r="Y120" s="2"/>
      <c r="Z120" s="2"/>
    </row>
    <row r="121" ht="14.25" customHeight="1" spans="1:26">
      <c r="A121" s="6" t="s">
        <v>537</v>
      </c>
      <c r="B121" s="2" t="s">
        <v>6542</v>
      </c>
      <c r="C121" s="2" t="s">
        <v>539</v>
      </c>
      <c r="D121" s="2">
        <v>171</v>
      </c>
      <c r="E121" s="2" t="s">
        <v>37</v>
      </c>
      <c r="F121" s="2" t="s">
        <v>6543</v>
      </c>
      <c r="G121" s="2" t="s">
        <v>6544</v>
      </c>
      <c r="H121" s="2"/>
      <c r="I121" s="2"/>
      <c r="J121" s="2"/>
      <c r="K121" s="2"/>
      <c r="L121" s="2"/>
      <c r="M121" s="2"/>
      <c r="N121" s="2"/>
      <c r="O121" s="2"/>
      <c r="P121" s="2"/>
      <c r="Q121" s="2"/>
      <c r="R121" s="2"/>
      <c r="S121" s="2"/>
      <c r="T121" s="2"/>
      <c r="U121" s="2"/>
      <c r="V121" s="2"/>
      <c r="W121" s="2"/>
      <c r="X121" s="2"/>
      <c r="Y121" s="2"/>
      <c r="Z121" s="2"/>
    </row>
    <row r="122" ht="14.25" customHeight="1" spans="1:26">
      <c r="A122" s="6" t="s">
        <v>542</v>
      </c>
      <c r="B122" s="2" t="s">
        <v>6545</v>
      </c>
      <c r="C122" s="2" t="s">
        <v>539</v>
      </c>
      <c r="D122" s="2">
        <v>172</v>
      </c>
      <c r="E122" s="2" t="s">
        <v>37</v>
      </c>
      <c r="F122" s="2" t="s">
        <v>6546</v>
      </c>
      <c r="G122" s="2" t="s">
        <v>6547</v>
      </c>
      <c r="H122" s="2"/>
      <c r="I122" s="2"/>
      <c r="J122" s="2"/>
      <c r="K122" s="2"/>
      <c r="L122" s="2"/>
      <c r="M122" s="2"/>
      <c r="N122" s="2"/>
      <c r="O122" s="2"/>
      <c r="P122" s="2"/>
      <c r="Q122" s="2"/>
      <c r="R122" s="2"/>
      <c r="S122" s="2"/>
      <c r="T122" s="2"/>
      <c r="U122" s="2"/>
      <c r="V122" s="2"/>
      <c r="W122" s="2"/>
      <c r="X122" s="2"/>
      <c r="Y122" s="2"/>
      <c r="Z122" s="2"/>
    </row>
    <row r="123" ht="14.25" customHeight="1" spans="1:26">
      <c r="A123" s="6" t="s">
        <v>546</v>
      </c>
      <c r="B123" s="2" t="s">
        <v>6548</v>
      </c>
      <c r="C123" s="2" t="s">
        <v>548</v>
      </c>
      <c r="D123" s="2">
        <v>173</v>
      </c>
      <c r="E123" s="2" t="s">
        <v>37</v>
      </c>
      <c r="F123" s="2" t="s">
        <v>6549</v>
      </c>
      <c r="G123" s="2" t="s">
        <v>6550</v>
      </c>
      <c r="H123" s="2"/>
      <c r="I123" s="2"/>
      <c r="J123" s="2"/>
      <c r="K123" s="2"/>
      <c r="L123" s="2"/>
      <c r="M123" s="2"/>
      <c r="N123" s="2"/>
      <c r="O123" s="2"/>
      <c r="P123" s="2"/>
      <c r="Q123" s="2"/>
      <c r="R123" s="2"/>
      <c r="S123" s="2"/>
      <c r="T123" s="2"/>
      <c r="U123" s="2"/>
      <c r="V123" s="2"/>
      <c r="W123" s="2"/>
      <c r="X123" s="2"/>
      <c r="Y123" s="2"/>
      <c r="Z123" s="2"/>
    </row>
    <row r="124" ht="14.25" customHeight="1" spans="1:26">
      <c r="A124" s="6" t="s">
        <v>551</v>
      </c>
      <c r="B124" s="2" t="s">
        <v>6551</v>
      </c>
      <c r="C124" s="2" t="s">
        <v>553</v>
      </c>
      <c r="D124" s="2">
        <v>174</v>
      </c>
      <c r="E124" s="2" t="s">
        <v>37</v>
      </c>
      <c r="F124" s="2" t="s">
        <v>6552</v>
      </c>
      <c r="G124" s="2" t="s">
        <v>6553</v>
      </c>
      <c r="H124" s="2"/>
      <c r="I124" s="2"/>
      <c r="J124" s="2"/>
      <c r="K124" s="2"/>
      <c r="L124" s="2"/>
      <c r="M124" s="2"/>
      <c r="N124" s="2"/>
      <c r="O124" s="2"/>
      <c r="P124" s="2"/>
      <c r="Q124" s="2"/>
      <c r="R124" s="2"/>
      <c r="S124" s="2"/>
      <c r="T124" s="2"/>
      <c r="U124" s="2"/>
      <c r="V124" s="2"/>
      <c r="W124" s="2"/>
      <c r="X124" s="2"/>
      <c r="Y124" s="2"/>
      <c r="Z124" s="2"/>
    </row>
    <row r="125" ht="14.25" customHeight="1" spans="1:26">
      <c r="A125" s="6" t="s">
        <v>556</v>
      </c>
      <c r="B125" s="2" t="s">
        <v>6554</v>
      </c>
      <c r="C125" s="2" t="s">
        <v>557</v>
      </c>
      <c r="D125" s="2">
        <v>175</v>
      </c>
      <c r="E125" s="2" t="s">
        <v>37</v>
      </c>
      <c r="F125" s="2" t="s">
        <v>6555</v>
      </c>
      <c r="G125" s="2" t="s">
        <v>6556</v>
      </c>
      <c r="H125" s="2"/>
      <c r="I125" s="2"/>
      <c r="J125" s="2"/>
      <c r="K125" s="2"/>
      <c r="L125" s="2"/>
      <c r="M125" s="2"/>
      <c r="N125" s="2"/>
      <c r="O125" s="2"/>
      <c r="P125" s="2"/>
      <c r="Q125" s="2"/>
      <c r="R125" s="2"/>
      <c r="S125" s="2"/>
      <c r="T125" s="2"/>
      <c r="U125" s="2"/>
      <c r="V125" s="2"/>
      <c r="W125" s="2"/>
      <c r="X125" s="2"/>
      <c r="Y125" s="2"/>
      <c r="Z125" s="2"/>
    </row>
    <row r="126" ht="14.25" customHeight="1" spans="1:26">
      <c r="A126" s="6" t="s">
        <v>558</v>
      </c>
      <c r="B126" s="2" t="s">
        <v>6557</v>
      </c>
      <c r="C126" s="2" t="s">
        <v>560</v>
      </c>
      <c r="D126" s="2">
        <v>176</v>
      </c>
      <c r="E126" s="2" t="s">
        <v>37</v>
      </c>
      <c r="F126" s="2" t="s">
        <v>6558</v>
      </c>
      <c r="G126" s="2" t="s">
        <v>6559</v>
      </c>
      <c r="H126" s="2"/>
      <c r="I126" s="2"/>
      <c r="J126" s="2"/>
      <c r="K126" s="2"/>
      <c r="L126" s="2"/>
      <c r="M126" s="2"/>
      <c r="N126" s="2"/>
      <c r="O126" s="2"/>
      <c r="P126" s="2"/>
      <c r="Q126" s="2"/>
      <c r="R126" s="2"/>
      <c r="S126" s="2"/>
      <c r="T126" s="2"/>
      <c r="U126" s="2"/>
      <c r="V126" s="2"/>
      <c r="W126" s="2"/>
      <c r="X126" s="2"/>
      <c r="Y126" s="2"/>
      <c r="Z126" s="2"/>
    </row>
    <row r="127" ht="14.25" customHeight="1" spans="1:26">
      <c r="A127" s="6" t="s">
        <v>563</v>
      </c>
      <c r="B127" s="2" t="s">
        <v>8715</v>
      </c>
      <c r="C127" s="2" t="s">
        <v>565</v>
      </c>
      <c r="D127" s="2">
        <v>177</v>
      </c>
      <c r="E127" s="2" t="s">
        <v>37</v>
      </c>
      <c r="F127" s="2" t="s">
        <v>8716</v>
      </c>
      <c r="G127" s="2" t="s">
        <v>8717</v>
      </c>
      <c r="H127" s="2"/>
      <c r="I127" s="2"/>
      <c r="J127" s="2"/>
      <c r="K127" s="2"/>
      <c r="L127" s="2"/>
      <c r="M127" s="2"/>
      <c r="N127" s="2"/>
      <c r="O127" s="2"/>
      <c r="P127" s="2"/>
      <c r="Q127" s="2"/>
      <c r="R127" s="2"/>
      <c r="S127" s="2"/>
      <c r="T127" s="2"/>
      <c r="U127" s="2"/>
      <c r="V127" s="2"/>
      <c r="W127" s="2"/>
      <c r="X127" s="2"/>
      <c r="Y127" s="2"/>
      <c r="Z127" s="2"/>
    </row>
    <row r="128" ht="14.25" customHeight="1" spans="1:26">
      <c r="A128" s="6" t="s">
        <v>313</v>
      </c>
      <c r="B128" s="2" t="s">
        <v>8718</v>
      </c>
      <c r="C128" s="2" t="s">
        <v>117</v>
      </c>
      <c r="D128" s="2">
        <v>178</v>
      </c>
      <c r="E128" s="2" t="s">
        <v>37</v>
      </c>
      <c r="F128" s="2" t="s">
        <v>8719</v>
      </c>
      <c r="G128" s="2" t="s">
        <v>8720</v>
      </c>
      <c r="H128" s="2"/>
      <c r="I128" s="2"/>
      <c r="J128" s="2"/>
      <c r="K128" s="2"/>
      <c r="L128" s="2"/>
      <c r="M128" s="2"/>
      <c r="N128" s="2"/>
      <c r="O128" s="2"/>
      <c r="P128" s="2"/>
      <c r="Q128" s="2"/>
      <c r="R128" s="2"/>
      <c r="S128" s="2"/>
      <c r="T128" s="2"/>
      <c r="U128" s="2"/>
      <c r="V128" s="2"/>
      <c r="W128" s="2"/>
      <c r="X128" s="2"/>
      <c r="Y128" s="2"/>
      <c r="Z128" s="2"/>
    </row>
    <row r="129" ht="13.5" customHeight="1" spans="1:26">
      <c r="A129" s="10" t="s">
        <v>568</v>
      </c>
      <c r="B129" s="10" t="s">
        <v>6564</v>
      </c>
      <c r="C129" s="10" t="s">
        <v>570</v>
      </c>
      <c r="D129" s="2"/>
      <c r="E129" s="2"/>
      <c r="F129" s="2" t="s">
        <v>2309</v>
      </c>
      <c r="G129" s="2" t="s">
        <v>8721</v>
      </c>
      <c r="H129" s="2"/>
      <c r="I129" s="2"/>
      <c r="J129" s="2"/>
      <c r="K129" s="2"/>
      <c r="L129" s="2"/>
      <c r="M129" s="2"/>
      <c r="N129" s="2"/>
      <c r="O129" s="2"/>
      <c r="P129" s="2"/>
      <c r="Q129" s="2"/>
      <c r="R129" s="2"/>
      <c r="S129" s="2"/>
      <c r="T129" s="2"/>
      <c r="U129" s="2"/>
      <c r="V129" s="2"/>
      <c r="W129" s="2"/>
      <c r="X129" s="2"/>
      <c r="Y129" s="2"/>
      <c r="Z129" s="2"/>
    </row>
    <row r="130" ht="13.5" customHeight="1" spans="1:26">
      <c r="A130" s="2" t="s">
        <v>572</v>
      </c>
      <c r="B130" s="2" t="s">
        <v>3746</v>
      </c>
      <c r="C130" s="2" t="s">
        <v>570</v>
      </c>
      <c r="D130" s="2"/>
      <c r="E130" s="2"/>
      <c r="F130" s="2" t="s">
        <v>2309</v>
      </c>
      <c r="G130" s="2" t="s">
        <v>8722</v>
      </c>
      <c r="H130" s="2"/>
      <c r="I130" s="2"/>
      <c r="J130" s="2"/>
      <c r="K130" s="2"/>
      <c r="L130" s="2"/>
      <c r="M130" s="2"/>
      <c r="N130" s="2"/>
      <c r="O130" s="2"/>
      <c r="P130" s="2"/>
      <c r="Q130" s="2"/>
      <c r="R130" s="2"/>
      <c r="S130" s="2"/>
      <c r="T130" s="2"/>
      <c r="U130" s="2"/>
      <c r="V130" s="2"/>
      <c r="W130" s="2"/>
      <c r="X130" s="2"/>
      <c r="Y130" s="2"/>
      <c r="Z130" s="2"/>
    </row>
    <row r="131" ht="13.5" customHeight="1" spans="1:26">
      <c r="A131" s="2" t="s">
        <v>576</v>
      </c>
      <c r="B131" s="2" t="s">
        <v>2310</v>
      </c>
      <c r="C131" s="11" t="s">
        <v>578</v>
      </c>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spans="1:26">
      <c r="A132" s="2" t="s">
        <v>579</v>
      </c>
      <c r="B132" s="2" t="s">
        <v>2311</v>
      </c>
      <c r="C132" s="11" t="s">
        <v>578</v>
      </c>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spans="1:26">
      <c r="A133" s="2" t="s">
        <v>581</v>
      </c>
      <c r="B133" s="2" t="s">
        <v>2312</v>
      </c>
      <c r="C133" s="11" t="s">
        <v>578</v>
      </c>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spans="1:26">
      <c r="A134" s="2" t="s">
        <v>583</v>
      </c>
      <c r="B134" s="2" t="s">
        <v>2313</v>
      </c>
      <c r="C134" s="11" t="s">
        <v>578</v>
      </c>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spans="1:26">
      <c r="A135" s="2" t="s">
        <v>585</v>
      </c>
      <c r="B135" s="2" t="s">
        <v>2314</v>
      </c>
      <c r="C135" s="11" t="s">
        <v>578</v>
      </c>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spans="1:26">
      <c r="A136" s="2" t="s">
        <v>587</v>
      </c>
      <c r="B136" s="2" t="s">
        <v>1209</v>
      </c>
      <c r="C136" s="11" t="s">
        <v>578</v>
      </c>
      <c r="D136" s="2"/>
      <c r="E136" s="2"/>
      <c r="F136" s="2" t="s">
        <v>589</v>
      </c>
      <c r="G136" s="2" t="s">
        <v>3756</v>
      </c>
      <c r="H136" s="2"/>
      <c r="I136" s="2"/>
      <c r="J136" s="2"/>
      <c r="K136" s="2"/>
      <c r="L136" s="2"/>
      <c r="M136" s="2"/>
      <c r="N136" s="2"/>
      <c r="O136" s="2"/>
      <c r="P136" s="2"/>
      <c r="Q136" s="2"/>
      <c r="R136" s="2"/>
      <c r="S136" s="2"/>
      <c r="T136" s="2"/>
      <c r="U136" s="2"/>
      <c r="V136" s="2"/>
      <c r="W136" s="2"/>
      <c r="X136" s="2"/>
      <c r="Y136" s="2"/>
      <c r="Z136" s="2"/>
    </row>
    <row r="137" ht="13.5" customHeight="1" spans="1:26">
      <c r="A137" s="2" t="s">
        <v>591</v>
      </c>
      <c r="B137" s="2" t="s">
        <v>8723</v>
      </c>
      <c r="C137" s="11" t="s">
        <v>578</v>
      </c>
      <c r="D137" s="2"/>
      <c r="E137" s="2"/>
      <c r="F137" s="2" t="s">
        <v>8724</v>
      </c>
      <c r="G137" s="2" t="s">
        <v>8725</v>
      </c>
      <c r="H137" s="2"/>
      <c r="I137" s="2"/>
      <c r="J137" s="2"/>
      <c r="K137" s="2"/>
      <c r="L137" s="2"/>
      <c r="M137" s="2"/>
      <c r="N137" s="2"/>
      <c r="O137" s="2"/>
      <c r="P137" s="2"/>
      <c r="Q137" s="2"/>
      <c r="R137" s="2"/>
      <c r="S137" s="2"/>
      <c r="T137" s="2"/>
      <c r="U137" s="2"/>
      <c r="V137" s="2"/>
      <c r="W137" s="2"/>
      <c r="X137" s="2"/>
      <c r="Y137" s="2"/>
      <c r="Z137" s="2"/>
    </row>
    <row r="138" ht="13.5" customHeight="1" spans="1:26">
      <c r="A138" s="2" t="s">
        <v>595</v>
      </c>
      <c r="B138" s="2" t="s">
        <v>8726</v>
      </c>
      <c r="C138" s="11" t="s">
        <v>578</v>
      </c>
      <c r="D138" s="2"/>
      <c r="E138" s="2"/>
      <c r="F138" s="2" t="s">
        <v>8727</v>
      </c>
      <c r="G138" s="2" t="s">
        <v>8728</v>
      </c>
      <c r="H138" s="2"/>
      <c r="I138" s="2"/>
      <c r="J138" s="2"/>
      <c r="K138" s="2"/>
      <c r="L138" s="2"/>
      <c r="M138" s="2"/>
      <c r="N138" s="2"/>
      <c r="O138" s="2"/>
      <c r="P138" s="2"/>
      <c r="Q138" s="2"/>
      <c r="R138" s="2"/>
      <c r="S138" s="2"/>
      <c r="T138" s="2"/>
      <c r="U138" s="2"/>
      <c r="V138" s="2"/>
      <c r="W138" s="2"/>
      <c r="X138" s="2"/>
      <c r="Y138" s="2"/>
      <c r="Z138" s="2"/>
    </row>
    <row r="139" ht="13.5" customHeight="1" spans="1:26">
      <c r="A139" s="2" t="s">
        <v>599</v>
      </c>
      <c r="B139" s="2" t="s">
        <v>2321</v>
      </c>
      <c r="C139" s="11" t="s">
        <v>578</v>
      </c>
      <c r="D139" s="2"/>
      <c r="E139" s="2"/>
      <c r="F139" s="2" t="s">
        <v>2322</v>
      </c>
      <c r="G139" s="2" t="s">
        <v>2323</v>
      </c>
      <c r="H139" s="2"/>
      <c r="I139" s="2"/>
      <c r="J139" s="2"/>
      <c r="K139" s="2"/>
      <c r="L139" s="2"/>
      <c r="M139" s="2"/>
      <c r="N139" s="2"/>
      <c r="O139" s="2"/>
      <c r="P139" s="2"/>
      <c r="Q139" s="2"/>
      <c r="R139" s="2"/>
      <c r="S139" s="2"/>
      <c r="T139" s="2"/>
      <c r="U139" s="2"/>
      <c r="V139" s="2"/>
      <c r="W139" s="2"/>
      <c r="X139" s="2"/>
      <c r="Y139" s="2"/>
      <c r="Z139" s="2"/>
    </row>
    <row r="140" ht="13.5" customHeight="1" spans="1:26">
      <c r="A140" s="2" t="s">
        <v>603</v>
      </c>
      <c r="B140" s="2" t="s">
        <v>8729</v>
      </c>
      <c r="C140" s="11" t="s">
        <v>578</v>
      </c>
      <c r="D140" s="2"/>
      <c r="E140" s="2"/>
      <c r="F140" s="2" t="s">
        <v>8730</v>
      </c>
      <c r="G140" s="2" t="s">
        <v>8731</v>
      </c>
      <c r="H140" s="2"/>
      <c r="I140" s="2"/>
      <c r="J140" s="2"/>
      <c r="K140" s="2"/>
      <c r="L140" s="2"/>
      <c r="M140" s="2"/>
      <c r="N140" s="2"/>
      <c r="O140" s="2"/>
      <c r="P140" s="2"/>
      <c r="Q140" s="2"/>
      <c r="R140" s="2"/>
      <c r="S140" s="2"/>
      <c r="T140" s="2"/>
      <c r="U140" s="2"/>
      <c r="V140" s="2"/>
      <c r="W140" s="2"/>
      <c r="X140" s="2"/>
      <c r="Y140" s="2"/>
      <c r="Z140" s="2"/>
    </row>
    <row r="141" ht="13.5" customHeight="1" spans="1:26">
      <c r="A141" s="6" t="s">
        <v>607</v>
      </c>
      <c r="B141" s="2" t="s">
        <v>1222</v>
      </c>
      <c r="C141" s="11" t="s">
        <v>609</v>
      </c>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spans="1:26">
      <c r="A142" s="6" t="s">
        <v>610</v>
      </c>
      <c r="B142" s="2" t="s">
        <v>2327</v>
      </c>
      <c r="C142" s="11" t="s">
        <v>612</v>
      </c>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spans="1:26">
      <c r="A143" s="6" t="s">
        <v>613</v>
      </c>
      <c r="B143" s="2" t="s">
        <v>615</v>
      </c>
      <c r="C143" s="6" t="s">
        <v>615</v>
      </c>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spans="1:26">
      <c r="A144" s="2" t="s">
        <v>616</v>
      </c>
      <c r="B144" s="2" t="s">
        <v>618</v>
      </c>
      <c r="C144" s="11" t="s">
        <v>618</v>
      </c>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spans="1:26">
      <c r="A145" s="6" t="s">
        <v>619</v>
      </c>
      <c r="B145" s="2" t="s">
        <v>8732</v>
      </c>
      <c r="C145" s="11" t="s">
        <v>612</v>
      </c>
      <c r="D145" s="2"/>
      <c r="E145" s="2"/>
      <c r="F145" s="2" t="s">
        <v>8733</v>
      </c>
      <c r="G145" s="2" t="s">
        <v>8734</v>
      </c>
      <c r="H145" s="2"/>
      <c r="I145" s="2"/>
      <c r="J145" s="2"/>
      <c r="K145" s="2"/>
      <c r="L145" s="2"/>
      <c r="M145" s="2"/>
      <c r="N145" s="2"/>
      <c r="O145" s="2"/>
      <c r="P145" s="2"/>
      <c r="Q145" s="2"/>
      <c r="R145" s="2"/>
      <c r="S145" s="2"/>
      <c r="T145" s="2"/>
      <c r="U145" s="2"/>
      <c r="V145" s="2"/>
      <c r="W145" s="2"/>
      <c r="X145" s="2"/>
      <c r="Y145" s="2"/>
      <c r="Z145" s="2"/>
    </row>
    <row r="146" ht="13.5" customHeight="1" spans="1:26">
      <c r="A146" s="6" t="s">
        <v>623</v>
      </c>
      <c r="B146" s="12" t="s">
        <v>8735</v>
      </c>
      <c r="C146" s="11" t="s">
        <v>612</v>
      </c>
      <c r="D146" s="2"/>
      <c r="E146" s="2"/>
      <c r="F146" s="2" t="s">
        <v>8736</v>
      </c>
      <c r="G146" s="2" t="s">
        <v>8737</v>
      </c>
      <c r="H146" s="2"/>
      <c r="I146" s="2"/>
      <c r="J146" s="2"/>
      <c r="K146" s="2"/>
      <c r="L146" s="2"/>
      <c r="M146" s="2"/>
      <c r="N146" s="2"/>
      <c r="O146" s="2"/>
      <c r="P146" s="2"/>
      <c r="Q146" s="2"/>
      <c r="R146" s="2"/>
      <c r="S146" s="2"/>
      <c r="T146" s="2"/>
      <c r="U146" s="2"/>
      <c r="V146" s="2"/>
      <c r="W146" s="2"/>
      <c r="X146" s="2"/>
      <c r="Y146" s="2"/>
      <c r="Z146" s="2"/>
    </row>
    <row r="147" ht="13.5" customHeight="1" spans="1:26">
      <c r="A147" s="6" t="s">
        <v>627</v>
      </c>
      <c r="B147" s="2" t="s">
        <v>2334</v>
      </c>
      <c r="C147" s="11" t="s">
        <v>612</v>
      </c>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spans="1:26">
      <c r="A148" s="6" t="s">
        <v>629</v>
      </c>
      <c r="B148" s="2" t="s">
        <v>2335</v>
      </c>
      <c r="C148" s="11" t="s">
        <v>612</v>
      </c>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spans="1:26">
      <c r="A149" s="6" t="s">
        <v>631</v>
      </c>
      <c r="B149" s="2" t="s">
        <v>2336</v>
      </c>
      <c r="C149" s="11" t="s">
        <v>612</v>
      </c>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spans="1:26">
      <c r="A150" s="6" t="s">
        <v>633</v>
      </c>
      <c r="B150" s="2" t="s">
        <v>2337</v>
      </c>
      <c r="C150" s="11" t="s">
        <v>612</v>
      </c>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spans="1:26">
      <c r="A151" s="6" t="s">
        <v>635</v>
      </c>
      <c r="B151" s="2" t="s">
        <v>1956</v>
      </c>
      <c r="C151" s="11" t="s">
        <v>612</v>
      </c>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spans="1:26">
      <c r="A152" s="6" t="s">
        <v>637</v>
      </c>
      <c r="B152" s="2" t="s">
        <v>2338</v>
      </c>
      <c r="C152" s="11" t="s">
        <v>612</v>
      </c>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spans="1:26">
      <c r="A153" s="6" t="s">
        <v>639</v>
      </c>
      <c r="B153" s="2" t="s">
        <v>2339</v>
      </c>
      <c r="C153" s="11" t="s">
        <v>612</v>
      </c>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spans="1:26">
      <c r="A154" s="6" t="s">
        <v>641</v>
      </c>
      <c r="B154" s="2" t="s">
        <v>1959</v>
      </c>
      <c r="C154" s="11" t="s">
        <v>612</v>
      </c>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spans="1:26">
      <c r="A155" s="2" t="s">
        <v>643</v>
      </c>
      <c r="B155" s="2" t="s">
        <v>1238</v>
      </c>
      <c r="C155" s="11" t="s">
        <v>644</v>
      </c>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spans="1:26">
      <c r="A156" s="6" t="s">
        <v>645</v>
      </c>
      <c r="B156" s="2" t="s">
        <v>644</v>
      </c>
      <c r="C156" s="11" t="s">
        <v>644</v>
      </c>
      <c r="D156" s="2"/>
      <c r="E156" s="2"/>
      <c r="F156" s="2"/>
      <c r="G156" s="2"/>
      <c r="H156" s="2"/>
      <c r="I156" s="2"/>
      <c r="J156" s="2"/>
      <c r="K156" s="2"/>
      <c r="L156" s="2"/>
      <c r="M156" s="2"/>
      <c r="N156" s="2"/>
      <c r="O156" s="2"/>
      <c r="P156" s="2"/>
      <c r="Q156" s="2"/>
      <c r="R156" s="2"/>
      <c r="S156" s="2"/>
      <c r="T156" s="2"/>
      <c r="U156" s="2"/>
      <c r="V156" s="2"/>
      <c r="W156" s="2"/>
      <c r="X156" s="2"/>
      <c r="Y156" s="2"/>
      <c r="Z156" s="2"/>
    </row>
    <row r="157" customHeight="1" spans="1:26">
      <c r="A157" s="13" t="s">
        <v>646</v>
      </c>
      <c r="B157" s="13" t="s">
        <v>6588</v>
      </c>
      <c r="C157" s="13" t="s">
        <v>648</v>
      </c>
      <c r="D157" s="14">
        <v>120</v>
      </c>
      <c r="E157" s="13" t="s">
        <v>37</v>
      </c>
      <c r="F157" s="13" t="s">
        <v>6589</v>
      </c>
      <c r="G157" s="13" t="s">
        <v>6590</v>
      </c>
      <c r="H157" s="2"/>
      <c r="I157" s="2"/>
      <c r="J157" s="2"/>
      <c r="K157" s="2"/>
      <c r="L157" s="2"/>
      <c r="M157" s="2"/>
      <c r="N157" s="2"/>
      <c r="O157" s="2"/>
      <c r="P157" s="2"/>
      <c r="Q157" s="2"/>
      <c r="R157" s="2"/>
      <c r="S157" s="2"/>
      <c r="T157" s="2"/>
      <c r="U157" s="2"/>
      <c r="V157" s="2"/>
      <c r="W157" s="2"/>
      <c r="X157" s="2"/>
      <c r="Y157" s="2"/>
      <c r="Z157" s="2"/>
    </row>
    <row r="158" ht="13.5" customHeight="1" spans="1:26">
      <c r="A158" s="2" t="s">
        <v>651</v>
      </c>
      <c r="B158" s="2" t="s">
        <v>6591</v>
      </c>
      <c r="C158" s="11" t="s">
        <v>653</v>
      </c>
      <c r="D158" s="2"/>
      <c r="E158" s="2"/>
      <c r="F158" s="2" t="s">
        <v>6592</v>
      </c>
      <c r="G158" s="2" t="s">
        <v>6593</v>
      </c>
      <c r="H158" s="2"/>
      <c r="I158" s="2"/>
      <c r="J158" s="2"/>
      <c r="K158" s="2"/>
      <c r="L158" s="2"/>
      <c r="M158" s="2"/>
      <c r="N158" s="2"/>
      <c r="O158" s="2"/>
      <c r="P158" s="2"/>
      <c r="Q158" s="2"/>
      <c r="R158" s="2"/>
      <c r="S158" s="2"/>
      <c r="T158" s="2"/>
      <c r="U158" s="2"/>
      <c r="V158" s="2"/>
      <c r="W158" s="2"/>
      <c r="X158" s="2"/>
      <c r="Y158" s="2"/>
      <c r="Z158" s="2"/>
    </row>
    <row r="159" ht="14.25" customHeight="1" spans="1:26">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8"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8"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8"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8"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8"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8"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8"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8"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8"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8"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8"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8"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8"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8"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8"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8"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8"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8"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8"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8"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8"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8"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8"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8"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8"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8"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8"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8"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8"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8"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8"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8"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8"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8"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8"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8"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8"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8"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8"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8"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8"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8"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8"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8"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8"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8"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8"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8"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8"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8"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8"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8"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8"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8"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8"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8"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8"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8"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8"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8"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8"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8"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8"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8"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8"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8"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8"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8"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8"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8"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8"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8"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8"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8"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8"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8"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8"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8"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8"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8"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8"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8"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8"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8"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8"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8"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8"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8"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8"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8"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8"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8"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8"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8"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8"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8"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8"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8"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8"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8"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8"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8"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8"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8"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8"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8"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8"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8"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8"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8"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8"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8"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8"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8"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8"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8"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8"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8"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8"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8"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8"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8"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8"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8"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8"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8"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8"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8"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8"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8"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8"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8"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8"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8"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8"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8"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8"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8"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8"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8"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8"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8"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8"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8"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8"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8"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8"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8"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8"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8"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8"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8"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8"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8"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8"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8"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8"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8"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8"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8"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8"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8"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8"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8"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8"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8"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8"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8"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8"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8"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8"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8"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8"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8"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8"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8"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8"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8"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8"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8"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8"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8"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8"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8"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8"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8"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8"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8"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8"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8"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8"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8"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8"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8"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8"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8"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8"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8"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8"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8"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8"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8"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8"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8"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8"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8"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8"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8"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8"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8"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8"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8"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8"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8"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8"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8"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8"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8"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8"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8"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8"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8"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8"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8"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8"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8"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8"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8"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8"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8"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8"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8"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8"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8"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8"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8"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8"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8"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8"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8"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8"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8"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8"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8"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8"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8"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8"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8"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8"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8"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8"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8"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8"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8"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8"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8"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8"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8"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8"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8"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8"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8"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8"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8"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8"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8"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8"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8"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8"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8"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8"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8"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8"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8"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8"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8"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8"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8"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8"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8"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8"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8"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8"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8"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8"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8"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8"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8"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8"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8"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8"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8"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8"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8"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8"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8"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8"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8"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8"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8"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8"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8"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8"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8"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8"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8"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8"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8"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8"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8"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8"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8"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8"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8"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8"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8"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8"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8"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8"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8"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8"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8"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8"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8"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8"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8"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8"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8"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8"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8"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8"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8"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8"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8"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8"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8"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8"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8"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8"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8"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8"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8"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8"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8"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8"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8"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8"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8"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8"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8"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8"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8"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8"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8"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8"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8"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8"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8"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8"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8"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8"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8"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8"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8"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8"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8"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8"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8"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8"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8"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8"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8"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8"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8"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8"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8"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8"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8"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8"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8"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8"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8"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8"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8"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8"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8"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8"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8"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8"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8"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8"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8"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8"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8"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8"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8"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8"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8"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8"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8"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8"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8"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8"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8"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8"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8"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8"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8"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8"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8"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8"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8"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8"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8"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8"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8"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8"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8"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8"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8"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8"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8"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8"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8"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8"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8"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8"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8"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8"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8"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8"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8"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8"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8"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8"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8"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8"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8"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8"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8"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8"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8"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8"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8"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8"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8"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8"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8"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8"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8"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8"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8"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8"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8"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8"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8"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8"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8"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8"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8"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8"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8"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8"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8"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8"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8"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8"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8"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8"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8"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8"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8"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8"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8"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8"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8"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8"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8"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8"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8"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8"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8"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8"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8"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8"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8"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8"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8"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8"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8"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8"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8"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8"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8"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8"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8"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8"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8"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8"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8"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8"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8"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8"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8"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8"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8"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8"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8"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8"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8"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8"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8"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8"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8"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8"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8"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8"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8"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8"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8"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8"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8"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8"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8"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8"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8"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8"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8"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8"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8"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8"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8"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8"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8"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8"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8"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8"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8"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8"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8"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8"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8"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8"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8"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8"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8"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8"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8"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8"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8"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8"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8"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8"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8"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8"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8"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8"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8"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8"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8"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8"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8"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8"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8"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8"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8"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8"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8"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8"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8"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8"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8"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8"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8"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8"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8"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8"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8"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8"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8"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8"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8"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8"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8"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8"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8"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8"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8"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8"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8"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8"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8"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8"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8"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8"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8"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8"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8"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8"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8"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8"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8"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8"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8"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8"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8"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8"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8"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8"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8"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8"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8"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8"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8"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8"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8"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8"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8"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8"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8"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8"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8"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8"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8"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8"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8"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8"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8"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8"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8"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8"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8"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8"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8"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8"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8"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8"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8"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8"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8"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8"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8"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8"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8"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8"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8"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8"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8"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8"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8"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8"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8"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8"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8"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8"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8"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8"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8"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8"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8"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8"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8"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8"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8"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8"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8"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8"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8"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8"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8"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8"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8"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8"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8"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8"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8"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8"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8"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8"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8"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8"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8"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8"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8"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8"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8"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8"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8"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8"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8"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8"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8"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8"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8"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8"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8"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8"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8"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8"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8"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8"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8"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8"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8"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8"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8"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8"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8"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8"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8"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8"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8"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8"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8"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8"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8"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8"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8"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8"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8"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8"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8"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8"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8"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8"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8"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8"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8"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8"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8"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8"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8"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8"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8"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8"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8"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8"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8"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8"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8"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8"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8"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8"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8"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8"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8"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8"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8"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8"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8"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8"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8"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8"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8"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8"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8"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8"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count="1">
    <dataValidation type="list" allowBlank="1" showErrorMessage="1" sqref="D143 B145 B131:B143 B147:B148 B155:B156">
      <formula1>ValidLondonCounterpartyNames</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32</vt:i4>
      </vt:variant>
    </vt:vector>
  </HeadingPairs>
  <TitlesOfParts>
    <vt:vector size="32" baseType="lpstr">
      <vt:lpstr>0 - France</vt:lpstr>
      <vt:lpstr>1 - Italy</vt:lpstr>
      <vt:lpstr>2 -US - OLD</vt:lpstr>
      <vt:lpstr>3 -TR OLD</vt:lpstr>
      <vt:lpstr> 4 - BE</vt:lpstr>
      <vt:lpstr>5 - LON</vt:lpstr>
      <vt:lpstr>6 - Dubai</vt:lpstr>
      <vt:lpstr>7 - Singapore</vt:lpstr>
      <vt:lpstr>8 - Egypt</vt:lpstr>
      <vt:lpstr>9 - Saudi Arabia</vt:lpstr>
      <vt:lpstr>10 -DE</vt:lpstr>
      <vt:lpstr>11-FI</vt:lpstr>
      <vt:lpstr>12 - Korea (empty)</vt:lpstr>
      <vt:lpstr>13 - Austria</vt:lpstr>
      <vt:lpstr>14 - Netherlands</vt:lpstr>
      <vt:lpstr>15 - Australia (Sydney)</vt:lpstr>
      <vt:lpstr>16 - Denmark</vt:lpstr>
      <vt:lpstr>17 - Ukraine</vt:lpstr>
      <vt:lpstr>18 - Turkey</vt:lpstr>
      <vt:lpstr>19 - USA Boston</vt:lpstr>
      <vt:lpstr>20 - morocco</vt:lpstr>
      <vt:lpstr>21 - Jordan</vt:lpstr>
      <vt:lpstr>22 - Luxembourg</vt:lpstr>
      <vt:lpstr>23 - Australia (Melbourne)</vt:lpstr>
      <vt:lpstr>24 - Portugal</vt:lpstr>
      <vt:lpstr>25 - South Africa</vt:lpstr>
      <vt:lpstr>26 - ABN Amro</vt:lpstr>
      <vt:lpstr>27 - Hong Kong</vt:lpstr>
      <vt:lpstr>orig - IT</vt:lpstr>
      <vt:lpstr>Export Summary</vt:lpstr>
      <vt:lpstr>Dan France</vt:lpstr>
      <vt:lpstr> USA New York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Redfern</cp:lastModifiedBy>
  <dcterms:created xsi:type="dcterms:W3CDTF">2017-12-01T13:56:00Z</dcterms:created>
  <dcterms:modified xsi:type="dcterms:W3CDTF">2019-04-09T13:46:41Z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1033-1.0.0.1203</vt:lpwstr>
  </property>
</Properties>
</file>