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filterPrivacy="1" defaultThemeVersion="166925"/>
  <xr:revisionPtr revIDLastSave="0" documentId="13_ncr:1_{9DD41915-CA3B-504E-9CE6-303D458B3DE7}" xr6:coauthVersionLast="47" xr6:coauthVersionMax="47" xr10:uidLastSave="{00000000-0000-0000-0000-000000000000}"/>
  <bookViews>
    <workbookView xWindow="0" yWindow="500" windowWidth="28800" windowHeight="17500" xr2:uid="{EB30C26F-4571-5447-8EFE-CD622A342A0B}"/>
  </bookViews>
  <sheets>
    <sheet name="Project Model" sheetId="2" r:id="rId1"/>
    <sheet name="Approved Line Charts" sheetId="6" r:id="rId2"/>
  </sheets>
  <definedNames>
    <definedName name="solver_adj" localSheetId="0" hidden="1">'Project Model'!$C$68:$J$76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'Project Model'!$C$57:$J$65</definedName>
    <definedName name="solver_lhs10" localSheetId="0" hidden="1">'Project Model'!$K$68:$K$76</definedName>
    <definedName name="solver_lhs11" localSheetId="0" hidden="1">'Project Model'!$K$68:$K$76</definedName>
    <definedName name="solver_lhs2" localSheetId="0" hidden="1">'Project Model'!$C$68:$J$76</definedName>
    <definedName name="solver_lhs3" localSheetId="0" hidden="1">'Project Model'!$C$77:$J$77</definedName>
    <definedName name="solver_lhs4" localSheetId="0" hidden="1">'Project Model'!$K$68:$K$76</definedName>
    <definedName name="solver_lhs5" localSheetId="0" hidden="1">'Project Model'!$G$41</definedName>
    <definedName name="solver_lhs6" localSheetId="0" hidden="1">'Project Model'!$K$22:$K$26</definedName>
    <definedName name="solver_lhs7" localSheetId="0" hidden="1">'Project Model'!$K$29:$K$32</definedName>
    <definedName name="solver_lhs8" localSheetId="0" hidden="1">'Project Model'!$K$29:$K$32</definedName>
    <definedName name="solver_lhs9" localSheetId="0" hidden="1">'Project Model'!$K$35:$K$37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opt" localSheetId="0" hidden="1">'Project Model'!$I$80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10" localSheetId="0" hidden="1">1</definedName>
    <definedName name="solver_rel11" localSheetId="0" hidden="1">5</definedName>
    <definedName name="solver_rel2" localSheetId="0" hidden="1">5</definedName>
    <definedName name="solver_rel3" localSheetId="0" hidden="1">2</definedName>
    <definedName name="solver_rel4" localSheetId="0" hidden="1">1</definedName>
    <definedName name="solver_rel5" localSheetId="0" hidden="1">1</definedName>
    <definedName name="solver_rel6" localSheetId="0" hidden="1">5</definedName>
    <definedName name="solver_rel7" localSheetId="0" hidden="1">5</definedName>
    <definedName name="solver_rel8" localSheetId="0" hidden="1">4</definedName>
    <definedName name="solver_rel9" localSheetId="0" hidden="1">5</definedName>
    <definedName name="solver_rhs1" localSheetId="0" hidden="1">'Project Model'!$C$57:$J$65</definedName>
    <definedName name="solver_rhs10" localSheetId="0" hidden="1">1</definedName>
    <definedName name="solver_rhs11" localSheetId="0" hidden="1">"binary"</definedName>
    <definedName name="solver_rhs2" localSheetId="0" hidden="1">"binary"</definedName>
    <definedName name="solver_rhs3" localSheetId="0" hidden="1">1</definedName>
    <definedName name="solver_rhs4" localSheetId="0" hidden="1">1</definedName>
    <definedName name="solver_rhs5" localSheetId="0" hidden="1">10000</definedName>
    <definedName name="solver_rhs6" localSheetId="0" hidden="1">"binary"</definedName>
    <definedName name="solver_rhs7" localSheetId="0" hidden="1">"binary"</definedName>
    <definedName name="solver_rhs8" localSheetId="0" hidden="1">"integer"</definedName>
    <definedName name="solver_rhs9" localSheetId="0" hidden="1">"binary"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9" i="2" l="1"/>
  <c r="K70" i="2"/>
  <c r="K71" i="2"/>
  <c r="K72" i="2"/>
  <c r="K73" i="2"/>
  <c r="K74" i="2"/>
  <c r="K75" i="2"/>
  <c r="K76" i="2"/>
  <c r="K68" i="2"/>
  <c r="D77" i="2"/>
  <c r="E77" i="2"/>
  <c r="F77" i="2"/>
  <c r="G77" i="2"/>
  <c r="H77" i="2"/>
  <c r="I77" i="2"/>
  <c r="J77" i="2"/>
  <c r="C77" i="2"/>
  <c r="I80" i="2" l="1"/>
  <c r="H36" i="2"/>
  <c r="I36" i="2" s="1"/>
  <c r="J36" i="2" s="1"/>
  <c r="H37" i="2"/>
  <c r="H35" i="2"/>
  <c r="I35" i="2" s="1"/>
  <c r="J35" i="2" s="1"/>
  <c r="H30" i="2"/>
  <c r="I30" i="2" s="1"/>
  <c r="J30" i="2" s="1"/>
  <c r="H31" i="2"/>
  <c r="I31" i="2" s="1"/>
  <c r="J31" i="2" s="1"/>
  <c r="H32" i="2"/>
  <c r="I32" i="2" s="1"/>
  <c r="J32" i="2" s="1"/>
  <c r="H29" i="2"/>
  <c r="I29" i="2" s="1"/>
  <c r="J29" i="2" s="1"/>
  <c r="H23" i="2"/>
  <c r="I23" i="2" s="1"/>
  <c r="J23" i="2" s="1"/>
  <c r="H24" i="2"/>
  <c r="I24" i="2" s="1"/>
  <c r="J24" i="2" s="1"/>
  <c r="H25" i="2"/>
  <c r="I25" i="2" s="1"/>
  <c r="J25" i="2" s="1"/>
  <c r="H26" i="2"/>
  <c r="I26" i="2" s="1"/>
  <c r="J26" i="2" s="1"/>
  <c r="H22" i="2"/>
  <c r="I22" i="2" s="1"/>
  <c r="J22" i="2" s="1"/>
  <c r="D23" i="2"/>
  <c r="I37" i="2"/>
  <c r="J37" i="2" s="1"/>
  <c r="N17" i="2"/>
  <c r="N16" i="2"/>
  <c r="N15" i="2"/>
  <c r="D22" i="2"/>
  <c r="I41" i="2" l="1"/>
  <c r="E45" i="2"/>
  <c r="D36" i="2"/>
  <c r="F36" i="2"/>
  <c r="F37" i="2"/>
  <c r="F35" i="2"/>
  <c r="F30" i="2"/>
  <c r="F31" i="2"/>
  <c r="F32" i="2"/>
  <c r="F29" i="2"/>
  <c r="F23" i="2"/>
  <c r="F24" i="2"/>
  <c r="F25" i="2"/>
  <c r="F26" i="2"/>
  <c r="F22" i="2"/>
  <c r="E36" i="2"/>
  <c r="E37" i="2"/>
  <c r="E35" i="2"/>
  <c r="E30" i="2"/>
  <c r="E31" i="2"/>
  <c r="E32" i="2"/>
  <c r="E29" i="2"/>
  <c r="E23" i="2"/>
  <c r="E24" i="2"/>
  <c r="E25" i="2"/>
  <c r="E26" i="2"/>
  <c r="E22" i="2"/>
  <c r="D37" i="2"/>
  <c r="D35" i="2"/>
  <c r="D30" i="2"/>
  <c r="D31" i="2"/>
  <c r="D32" i="2"/>
  <c r="D29" i="2"/>
  <c r="D26" i="2"/>
  <c r="D25" i="2"/>
  <c r="D24" i="2"/>
  <c r="D27" i="2" l="1"/>
  <c r="O26" i="2" s="1"/>
  <c r="F33" i="2"/>
  <c r="Q27" i="2" s="1"/>
  <c r="E41" i="2"/>
  <c r="E27" i="2"/>
  <c r="P26" i="2" s="1"/>
  <c r="D41" i="2"/>
  <c r="G23" i="2"/>
  <c r="F27" i="2"/>
  <c r="Q26" i="2" s="1"/>
  <c r="E33" i="2"/>
  <c r="P27" i="2" s="1"/>
  <c r="F38" i="2"/>
  <c r="Q28" i="2" s="1"/>
  <c r="G22" i="2"/>
  <c r="D38" i="2"/>
  <c r="O28" i="2" s="1"/>
  <c r="E38" i="2"/>
  <c r="P28" i="2" s="1"/>
  <c r="D33" i="2"/>
  <c r="O27" i="2" s="1"/>
  <c r="F41" i="2"/>
  <c r="N14" i="2"/>
  <c r="G37" i="2"/>
  <c r="N18" i="2"/>
  <c r="G36" i="2"/>
  <c r="G29" i="2"/>
  <c r="G30" i="2"/>
  <c r="G35" i="2"/>
  <c r="G25" i="2"/>
  <c r="G31" i="2"/>
  <c r="G24" i="2"/>
  <c r="G26" i="2"/>
  <c r="G32" i="2"/>
  <c r="G41" i="2" l="1"/>
  <c r="N13" i="2" s="1"/>
  <c r="G33" i="2"/>
  <c r="G38" i="2"/>
  <c r="G27" i="2"/>
  <c r="N12" i="2"/>
  <c r="G45" i="2"/>
  <c r="F45" i="2"/>
  <c r="N10" i="2"/>
  <c r="N11" i="2"/>
  <c r="N20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21" authorId="0" shapeId="0" xr:uid="{DF6A1D6C-9708-40D9-96AB-49876B0B0B6B}">
      <text>
        <r>
          <rPr>
            <b/>
            <sz val="9"/>
            <color indexed="81"/>
            <rFont val="Tahoma"/>
            <family val="2"/>
          </rPr>
          <t xml:space="preserve">Based on Adjusted ROI; not based on % partnership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<sst xmlns="http://schemas.openxmlformats.org/spreadsheetml/2006/main" count="125" uniqueCount="75">
  <si>
    <t>Project Index</t>
  </si>
  <si>
    <t>Functional Area</t>
  </si>
  <si>
    <t>Partnership %</t>
  </si>
  <si>
    <t>Capex Year 1</t>
  </si>
  <si>
    <t>Capex Year 2</t>
  </si>
  <si>
    <t>Capex Year 3</t>
  </si>
  <si>
    <t>NPV</t>
  </si>
  <si>
    <t xml:space="preserve">Approval Rating </t>
  </si>
  <si>
    <t>FA 1</t>
  </si>
  <si>
    <t>FA 2</t>
  </si>
  <si>
    <t>FA 3</t>
  </si>
  <si>
    <t xml:space="preserve">Total Cost </t>
  </si>
  <si>
    <t xml:space="preserve">Requirement Checks </t>
  </si>
  <si>
    <t>Capital Ex. Under 4000 (Y1)</t>
  </si>
  <si>
    <t>Capital Ex. under 4000 (Y2)</t>
  </si>
  <si>
    <t>Capital Ex. under 4000 (Y3)</t>
  </si>
  <si>
    <t>Under $10,000 (year 1-3)</t>
  </si>
  <si>
    <t>Cap Ex. Yr2</t>
  </si>
  <si>
    <t>Cap Ex. Yr1</t>
  </si>
  <si>
    <t>Cap Ex. Yr3</t>
  </si>
  <si>
    <t>Annual Revenue (millions)</t>
  </si>
  <si>
    <t>Expenditure (millions)</t>
  </si>
  <si>
    <t>Inputs</t>
  </si>
  <si>
    <t>Yearly Cap (millions)</t>
  </si>
  <si>
    <t>Given:</t>
  </si>
  <si>
    <t>New NPV</t>
  </si>
  <si>
    <t>Number of Approved Project for FA 1</t>
  </si>
  <si>
    <t>Number of Approved Project for FA 2</t>
  </si>
  <si>
    <t>Number of Approved Project for FA 3</t>
  </si>
  <si>
    <t xml:space="preserve">Total Number of Approved Projects </t>
  </si>
  <si>
    <t>ROI</t>
  </si>
  <si>
    <t xml:space="preserve">% Change </t>
  </si>
  <si>
    <t xml:space="preserve">ROI </t>
  </si>
  <si>
    <t>Average</t>
  </si>
  <si>
    <t>Minimum</t>
  </si>
  <si>
    <t>Maximum</t>
  </si>
  <si>
    <t>Are the Conditions Met?</t>
  </si>
  <si>
    <t>FA 1 Approved Totals:</t>
  </si>
  <si>
    <t>FA 2  Approved Totals:</t>
  </si>
  <si>
    <t>FA 3 Approved Totals:</t>
  </si>
  <si>
    <t xml:space="preserve">FA 1 </t>
  </si>
  <si>
    <t xml:space="preserve">Approved Cap Ex. Year Totals </t>
  </si>
  <si>
    <t>Year 1</t>
  </si>
  <si>
    <t xml:space="preserve">Year 2 </t>
  </si>
  <si>
    <t xml:space="preserve">Year 3 </t>
  </si>
  <si>
    <t>Functional Area:</t>
  </si>
  <si>
    <t>Bluejay Natural Gas Financials (in millions)</t>
  </si>
  <si>
    <t xml:space="preserve">Each FA has at least 1 project approved </t>
  </si>
  <si>
    <t>Overall Totals for Approved Projects:</t>
  </si>
  <si>
    <t>NPV Discount Rate % decrease:</t>
  </si>
  <si>
    <t>Adjusted based on % Partnership:</t>
  </si>
  <si>
    <t>Total Approved NPV:</t>
  </si>
  <si>
    <t>Manager 1</t>
  </si>
  <si>
    <t>Manager 2</t>
  </si>
  <si>
    <t>Manager 3</t>
  </si>
  <si>
    <t>Manager 4</t>
  </si>
  <si>
    <t>Manager 5</t>
  </si>
  <si>
    <t>Manager 6</t>
  </si>
  <si>
    <t>Manager 7</t>
  </si>
  <si>
    <t>Manager 8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</si>
  <si>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</si>
  <si>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</si>
  <si>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</si>
  <si>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</si>
  <si>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</si>
  <si>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</si>
  <si>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</si>
  <si>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</si>
  <si>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11</t>
  </si>
  <si>
    <t>Approval Rating</t>
  </si>
  <si>
    <t>Step 2: Manager Assignment</t>
  </si>
  <si>
    <t>Step 1: Initial Projects Filtering</t>
  </si>
  <si>
    <t>In step 2, according to management availability, we filtered out Project 3. The left Projects can create the maximum Totoal Approved NPV of $1,953,800,000.</t>
  </si>
  <si>
    <t xml:space="preserve">Summary: </t>
  </si>
  <si>
    <t xml:space="preserve">In step 1 according to our budget planning and maximum NPV evaluation, among 12 projects, we filtered out Project 1, Project 10, and Project 12.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</si>
</sst>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6"/>
      <color rgb="FF24588D"/>
      <name val="Helvetica Neue"/>
      <family val="2"/>
    </font>
    <font>
      <sz val="12"/>
      <color theme="0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4">
    <xf numFmtId="0" fontId="0" fillId="0" borderId="0" xfId="0"/>
    <xf numFmtId="165" fontId="0" fillId="0" borderId="0" xfId="1" applyNumberFormat="1" applyFont="1"/>
    <xf numFmtId="9" fontId="0" fillId="0" borderId="1" xfId="2" applyFont="1" applyBorder="1"/>
    <xf numFmtId="9" fontId="0" fillId="0" borderId="1" xfId="2" applyFont="1" applyFill="1" applyBorder="1"/>
    <xf numFmtId="9" fontId="0" fillId="0" borderId="2" xfId="2" applyFont="1" applyBorder="1"/>
    <xf numFmtId="165" fontId="0" fillId="0" borderId="1" xfId="1" applyNumberFormat="1" applyFont="1" applyBorder="1"/>
    <xf numFmtId="165" fontId="0" fillId="0" borderId="2" xfId="1" applyNumberFormat="1" applyFont="1" applyBorder="1"/>
    <xf numFmtId="0" fontId="3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5" fontId="0" fillId="0" borderId="5" xfId="1" applyNumberFormat="1" applyFont="1" applyBorder="1"/>
    <xf numFmtId="0" fontId="2" fillId="0" borderId="0" xfId="0" applyFont="1"/>
    <xf numFmtId="9" fontId="0" fillId="5" borderId="1" xfId="2" applyFont="1" applyFill="1" applyBorder="1"/>
    <xf numFmtId="9" fontId="0" fillId="6" borderId="1" xfId="2" applyFont="1" applyFill="1" applyBorder="1"/>
    <xf numFmtId="9" fontId="0" fillId="7" borderId="1" xfId="2" applyFont="1" applyFill="1" applyBorder="1"/>
    <xf numFmtId="0" fontId="2" fillId="0" borderId="1" xfId="0" applyFont="1" applyBorder="1"/>
    <xf numFmtId="0" fontId="2" fillId="0" borderId="2" xfId="0" applyFont="1" applyBorder="1"/>
    <xf numFmtId="0" fontId="5" fillId="0" borderId="1" xfId="0" applyFont="1" applyBorder="1"/>
    <xf numFmtId="0" fontId="3" fillId="5" borderId="1" xfId="0" applyFont="1" applyFill="1" applyBorder="1"/>
    <xf numFmtId="0" fontId="0" fillId="5" borderId="1" xfId="0" applyFill="1" applyBorder="1"/>
    <xf numFmtId="0" fontId="3" fillId="6" borderId="1" xfId="0" applyFont="1" applyFill="1" applyBorder="1"/>
    <xf numFmtId="0" fontId="0" fillId="6" borderId="1" xfId="0" applyFill="1" applyBorder="1"/>
    <xf numFmtId="0" fontId="3" fillId="7" borderId="1" xfId="0" applyFont="1" applyFill="1" applyBorder="1"/>
    <xf numFmtId="0" fontId="0" fillId="7" borderId="1" xfId="0" applyFill="1" applyBorder="1"/>
    <xf numFmtId="165" fontId="0" fillId="5" borderId="1" xfId="1" applyNumberFormat="1" applyFont="1" applyFill="1" applyBorder="1"/>
    <xf numFmtId="165" fontId="0" fillId="5" borderId="2" xfId="1" applyNumberFormat="1" applyFont="1" applyFill="1" applyBorder="1"/>
    <xf numFmtId="165" fontId="0" fillId="6" borderId="1" xfId="1" applyNumberFormat="1" applyFont="1" applyFill="1" applyBorder="1"/>
    <xf numFmtId="165" fontId="0" fillId="6" borderId="2" xfId="1" applyNumberFormat="1" applyFont="1" applyFill="1" applyBorder="1"/>
    <xf numFmtId="165" fontId="0" fillId="7" borderId="1" xfId="1" applyNumberFormat="1" applyFont="1" applyFill="1" applyBorder="1"/>
    <xf numFmtId="165" fontId="0" fillId="7" borderId="2" xfId="1" applyNumberFormat="1" applyFont="1" applyFill="1" applyBorder="1"/>
    <xf numFmtId="0" fontId="6" fillId="0" borderId="1" xfId="0" applyFont="1" applyBorder="1"/>
    <xf numFmtId="165" fontId="6" fillId="0" borderId="1" xfId="0" applyNumberFormat="1" applyFont="1" applyBorder="1"/>
    <xf numFmtId="165" fontId="0" fillId="0" borderId="1" xfId="0" applyNumberFormat="1" applyBorder="1"/>
    <xf numFmtId="0" fontId="8" fillId="0" borderId="0" xfId="0" applyFont="1"/>
    <xf numFmtId="0" fontId="0" fillId="0" borderId="1" xfId="0" applyBorder="1"/>
    <xf numFmtId="165" fontId="0" fillId="0" borderId="4" xfId="1" applyNumberFormat="1" applyFont="1" applyBorder="1"/>
    <xf numFmtId="9" fontId="0" fillId="0" borderId="1" xfId="0" applyNumberFormat="1" applyBorder="1"/>
    <xf numFmtId="0" fontId="2" fillId="0" borderId="6" xfId="0" applyFont="1" applyBorder="1" applyAlignment="1">
      <alignment horizontal="center"/>
    </xf>
    <xf numFmtId="9" fontId="9" fillId="0" borderId="1" xfId="0" applyNumberFormat="1" applyFont="1" applyBorder="1"/>
    <xf numFmtId="165" fontId="0" fillId="0" borderId="1" xfId="1" applyNumberFormat="1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center"/>
    </xf>
    <xf numFmtId="165" fontId="0" fillId="8" borderId="0" xfId="1" applyNumberFormat="1" applyFont="1" applyFill="1"/>
    <xf numFmtId="9" fontId="12" fillId="9" borderId="1" xfId="0" applyNumberFormat="1" applyFont="1" applyFill="1" applyBorder="1"/>
    <xf numFmtId="0" fontId="0" fillId="9" borderId="6" xfId="0" applyFill="1" applyBorder="1" applyAlignment="1">
      <alignment horizontal="center"/>
    </xf>
    <xf numFmtId="0" fontId="0" fillId="10" borderId="1" xfId="0" applyFill="1" applyBorder="1"/>
    <xf numFmtId="0" fontId="0" fillId="0" borderId="1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0" fillId="0" borderId="1" xfId="0" applyFill="1" applyBorder="1"/>
    <xf numFmtId="0" fontId="0" fillId="11" borderId="0" xfId="0" applyFill="1"/>
    <xf numFmtId="0" fontId="4" fillId="0" borderId="0" xfId="0" applyFont="1"/>
    <xf numFmtId="0" fontId="13" fillId="0" borderId="0" xfId="0" applyFont="1"/>
  </cellXfs>
  <cellStyles count="3">
    <cellStyle name="Currency" xfId="1" builtinId="4"/>
    <cellStyle name="Normal" xfId="0" builtinId="0"/>
    <cellStyle name="Per cent" xfId="2" builtinId="5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all</a:t>
            </a:r>
            <a:r>
              <a:rPr lang="en-US" baseline="0"/>
              <a:t> Functional Area Approved Projects Y1-Y3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Model'!$N$26</c:f>
              <c:strCache>
                <c:ptCount val="1"/>
                <c:pt idx="0">
                  <c:v>FA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Model'!$O$26:$Q$26</c:f>
              <c:numCache>
                <c:formatCode>_("$"* #,##0_);_("$"* \(#,##0\);_("$"* "-"??_);_(@_)</c:formatCode>
                <c:ptCount val="3"/>
                <c:pt idx="0">
                  <c:v>1115</c:v>
                </c:pt>
                <c:pt idx="1">
                  <c:v>999</c:v>
                </c:pt>
                <c:pt idx="2">
                  <c:v>1199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A0-F643-9840-971D0C1EFAE9}"/>
            </c:ext>
          </c:extLst>
        </c:ser>
        <c:ser>
          <c:idx val="1"/>
          <c:order val="1"/>
          <c:tx>
            <c:strRef>
              <c:f>'Project Model'!$N$27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Model'!$O$27:$Q$27</c:f>
              <c:numCache>
                <c:formatCode>_("$"* #,##0_);_("$"* \(#,##0\);_("$"* "-"??_);_(@_)</c:formatCode>
                <c:ptCount val="3"/>
                <c:pt idx="0">
                  <c:v>2318</c:v>
                </c:pt>
                <c:pt idx="1">
                  <c:v>2002</c:v>
                </c:pt>
                <c:pt idx="2">
                  <c:v>1586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A0-F643-9840-971D0C1EFAE9}"/>
            </c:ext>
          </c:extLst>
        </c:ser>
        <c:ser>
          <c:idx val="2"/>
          <c:order val="2"/>
          <c:tx>
            <c:strRef>
              <c:f>'Project Model'!$N$28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Model'!$O$28:$Q$28</c:f>
              <c:numCache>
                <c:formatCode>_("$"* #,##0_);_("$"* \(#,##0\);_("$"* "-"??_);_(@_)</c:formatCode>
                <c:ptCount val="3"/>
                <c:pt idx="0">
                  <c:v>350</c:v>
                </c:pt>
                <c:pt idx="1">
                  <c:v>250</c:v>
                </c:pt>
                <c:pt idx="2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A0-F643-9840-971D0C1EF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7905663"/>
        <c:axId val="385340159"/>
      </c:lineChart>
      <c:catAx>
        <c:axId val="77790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Years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340159"/>
        <c:crosses val="autoZero"/>
        <c:auto val="1"/>
        <c:lblAlgn val="ctr"/>
        <c:lblOffset val="100"/>
        <c:noMultiLvlLbl val="0"/>
      </c:catAx>
      <c:valAx>
        <c:axId val="38534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90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effectLst/>
              </a:rPr>
              <a:t>Capital</a:t>
            </a:r>
            <a:r>
              <a:rPr lang="en-US" baseline="0">
                <a:effectLst/>
              </a:rPr>
              <a:t> Expenditure for FA 1 Approved Projects Y1-Y3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Model'!$N$26</c:f>
              <c:strCache>
                <c:ptCount val="1"/>
                <c:pt idx="0">
                  <c:v>FA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Model'!$O$26:$Q$26</c:f>
              <c:numCache>
                <c:formatCode>_("$"* #,##0_);_("$"* \(#,##0\);_("$"* "-"??_);_(@_)</c:formatCode>
                <c:ptCount val="3"/>
                <c:pt idx="0">
                  <c:v>1115</c:v>
                </c:pt>
                <c:pt idx="1">
                  <c:v>999</c:v>
                </c:pt>
                <c:pt idx="2">
                  <c:v>1199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8B-6347-8CA3-50DECC56D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1943071"/>
        <c:axId val="398807599"/>
      </c:lineChart>
      <c:catAx>
        <c:axId val="391943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807599"/>
        <c:crosses val="autoZero"/>
        <c:auto val="1"/>
        <c:lblAlgn val="ctr"/>
        <c:lblOffset val="100"/>
        <c:noMultiLvlLbl val="0"/>
      </c:catAx>
      <c:valAx>
        <c:axId val="39880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millions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43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FA 2 Approved Projects Y1</a:t>
            </a:r>
            <a:r>
              <a:rPr lang="en-US" baseline="0"/>
              <a:t>-Y3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Model'!$O$27:$Q$27</c:f>
              <c:numCache>
                <c:formatCode>_("$"* #,##0_);_("$"* \(#,##0\);_("$"* "-"??_);_(@_)</c:formatCode>
                <c:ptCount val="3"/>
                <c:pt idx="0">
                  <c:v>2318</c:v>
                </c:pt>
                <c:pt idx="1">
                  <c:v>2002</c:v>
                </c:pt>
                <c:pt idx="2">
                  <c:v>1586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12-B34F-BC3E-C231F22C1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3866735"/>
        <c:axId val="783865295"/>
      </c:lineChart>
      <c:catAx>
        <c:axId val="783866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65295"/>
        <c:crosses val="autoZero"/>
        <c:auto val="1"/>
        <c:lblAlgn val="ctr"/>
        <c:lblOffset val="100"/>
        <c:noMultiLvlLbl val="0"/>
      </c:catAx>
      <c:valAx>
        <c:axId val="78386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66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FA 3 Approved</a:t>
            </a:r>
            <a:r>
              <a:rPr lang="en-US" baseline="0"/>
              <a:t> Projects</a:t>
            </a:r>
            <a:r>
              <a:rPr lang="en-US"/>
              <a:t> Y1 - Y3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Model'!$N$28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Model'!$O$28:$Q$28</c:f>
              <c:numCache>
                <c:formatCode>_("$"* #,##0_);_("$"* \(#,##0\);_("$"* "-"??_);_(@_)</c:formatCode>
                <c:ptCount val="3"/>
                <c:pt idx="0">
                  <c:v>350</c:v>
                </c:pt>
                <c:pt idx="1">
                  <c:v>250</c:v>
                </c:pt>
                <c:pt idx="2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B1-9240-80E3-9014D246F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1630639"/>
        <c:axId val="721475935"/>
      </c:lineChart>
      <c:catAx>
        <c:axId val="721630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Years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475935"/>
        <c:crosses val="autoZero"/>
        <c:auto val="1"/>
        <c:lblAlgn val="ctr"/>
        <c:lblOffset val="100"/>
        <c:noMultiLvlLbl val="0"/>
      </c:catAx>
      <c:valAx>
        <c:axId val="72147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</a:t>
                </a:r>
                <a:r>
                  <a:rPr lang="en-US" baseline="0"/>
                  <a:t> Expenditure ($ - in millions)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630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317500</xdr:colOff>
      <xdr:row>11</xdr:row>
      <xdr:rowOff>50800</xdr:rowOff>
    </xdr:from>
    <xdr:to>
      <xdr:col>11</xdr:col>
      <xdr:colOff>457200</xdr:colOff>
      <xdr:row>14</xdr:row>
      <xdr:rowOff>76200</xdr:rowOff>
    </xdr:to>
    <xdr:sp macro="" textlink="">
      <xdr:nvSpPr>
        <xdr:cNvPr id="6" name="Alternate Process 1">
          <a:extLst>
            <a:ext uri="{FF2B5EF4-FFF2-40B4-BE49-F238E27FC236}">
              <a16:creationId xmlns:a16="http://schemas.microsoft.com/office/drawing/2014/main" id="{AA8629F9-E3A4-6366-F5BC-8BCB975CFC37}"/>
            </a:ext>
          </a:extLst>
        </xdr:cNvPr>
        <xdr:cNvSpPr/>
      </xdr:nvSpPr>
      <xdr:spPr>
        <a:xfrm>
          <a:off x="8394700" y="2603500"/>
          <a:ext cx="1803400" cy="635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0/1 Binary Variables:</a:t>
          </a: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757765</xdr:colOff>
      <xdr:row>4</xdr:row>
      <xdr:rowOff>84667</xdr:rowOff>
    </xdr:from>
    <xdr:to>
      <xdr:col>16</xdr:col>
      <xdr:colOff>476249</xdr:colOff>
      <xdr:row>8</xdr:row>
      <xdr:rowOff>169334</xdr:rowOff>
    </xdr:to>
    <xdr:sp macro="" textlink="">
      <xdr:nvSpPr>
        <xdr:cNvPr id="104" name="Alternate Process 5">
          <a:extLst>
            <a:ext uri="{FF2B5EF4-FFF2-40B4-BE49-F238E27FC236}">
              <a16:creationId xmlns:a16="http://schemas.microsoft.com/office/drawing/2014/main" id="{AF0FFE27-93F2-354A-A68E-10C26669C9A4}"/>
            </a:ext>
          </a:extLst>
        </xdr:cNvPr>
        <xdr:cNvSpPr/>
      </xdr:nvSpPr>
      <xdr:spPr>
        <a:xfrm>
          <a:off x="15315140" y="1021292"/>
          <a:ext cx="1893359" cy="91016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/>
            <a:t>Discount Rate Reduction </a:t>
          </a:r>
        </a:p>
        <a:p>
          <a:pPr algn="ctr"/>
          <a:r>
            <a:rPr lang="en-US" sz="1400" baseline="0"/>
            <a:t>Here:</a:t>
          </a:r>
          <a:endParaRPr lang="en-US" sz="1400"/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203200</xdr:colOff>
      <xdr:row>5</xdr:row>
      <xdr:rowOff>177800</xdr:rowOff>
    </xdr:from>
    <xdr:to>
      <xdr:col>14</xdr:col>
      <xdr:colOff>711200</xdr:colOff>
      <xdr:row>7</xdr:row>
      <xdr:rowOff>50800</xdr:rowOff>
    </xdr:to>
    <xdr:sp macro="" textlink="">
      <xdr:nvSpPr>
        <xdr:cNvPr id="107" name="Left Arrow 6">
          <a:extLst>
            <a:ext uri="{FF2B5EF4-FFF2-40B4-BE49-F238E27FC236}">
              <a16:creationId xmlns:a16="http://schemas.microsoft.com/office/drawing/2014/main" id="{303C219D-1F4D-857E-6BC4-F10DCBB6801E}"/>
            </a:ext>
          </a:extLst>
        </xdr:cNvPr>
        <xdr:cNvSpPr/>
      </xdr:nvSpPr>
      <xdr:spPr>
        <a:xfrm>
          <a:off x="14681200" y="1511300"/>
          <a:ext cx="508000" cy="2794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444500</xdr:colOff>
      <xdr:row>14</xdr:row>
      <xdr:rowOff>127000</xdr:rowOff>
    </xdr:from>
    <xdr:to>
      <xdr:col>10</xdr:col>
      <xdr:colOff>787400</xdr:colOff>
      <xdr:row>16</xdr:row>
      <xdr:rowOff>127000</xdr:rowOff>
    </xdr:to>
    <xdr:sp macro="" textlink="">
      <xdr:nvSpPr>
        <xdr:cNvPr id="110" name="Down Arrow 7">
          <a:extLst>
            <a:ext uri="{FF2B5EF4-FFF2-40B4-BE49-F238E27FC236}">
              <a16:creationId xmlns:a16="http://schemas.microsoft.com/office/drawing/2014/main" id="{3E8519AB-3B9F-78AD-7A85-3B8ABBD57DD4}"/>
            </a:ext>
          </a:extLst>
        </xdr:cNvPr>
        <xdr:cNvSpPr/>
      </xdr:nvSpPr>
      <xdr:spPr>
        <a:xfrm>
          <a:off x="9067800" y="3289300"/>
          <a:ext cx="342900" cy="419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349250</xdr:colOff>
      <xdr:row>0</xdr:row>
      <xdr:rowOff>63500</xdr:rowOff>
    </xdr:from>
    <xdr:to>
      <xdr:col>9</xdr:col>
      <xdr:colOff>508000</xdr:colOff>
      <xdr:row>21</xdr:row>
      <xdr:rowOff>12700</xdr:rowOff>
    </xdr:to>
    <xdr:graphicFrame macro="">
      <xdr:nvGraphicFramePr>
        <xdr:cNvPr id="55" name="Chart 1">
          <a:extLst>
            <a:ext uri="{FF2B5EF4-FFF2-40B4-BE49-F238E27FC236}">
              <a16:creationId xmlns:a16="http://schemas.microsoft.com/office/drawing/2014/main" id="{E96BD978-03AD-342E-16D4-2B4AD9A383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0</xdr:row>
      <xdr:rowOff>76200</xdr:rowOff>
    </xdr:from>
    <xdr:to>
      <xdr:col>20</xdr:col>
      <xdr:colOff>0</xdr:colOff>
      <xdr:row>21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611E9E-7C0A-77E7-E171-BD10978F6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317500</xdr:colOff>
      <xdr:row>22</xdr:row>
      <xdr:rowOff>165100</xdr:rowOff>
    </xdr:from>
    <xdr:to>
      <xdr:col>9</xdr:col>
      <xdr:colOff>508000</xdr:colOff>
      <xdr:row>44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64F4FC-11F5-13F2-40E2-0C83110E7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12700</xdr:colOff>
      <xdr:row>23</xdr:row>
      <xdr:rowOff>12700</xdr:rowOff>
    </xdr:from>
    <xdr:to>
      <xdr:col>20</xdr:col>
      <xdr:colOff>76200</xdr:colOff>
      <xdr:row>44</xdr:row>
      <xdr:rowOff>0</xdr:rowOff>
    </xdr:to>
    <xdr:graphicFrame macro="">
      <xdr:nvGraphicFramePr>
        <xdr:cNvPr id="154" name="Chart 4">
          <a:extLst>
            <a:ext uri="{FF2B5EF4-FFF2-40B4-BE49-F238E27FC236}">
              <a16:creationId xmlns:a16="http://schemas.microsoft.com/office/drawing/2014/main" id="{29997628-D3FC-CA76-516E-DA1ECE10DB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FA0B-B6E7-45D6-BAB6-F3953091B4B4}">
  <dimension ref="A1:Q83"/>
  <sheetViews>
    <sheetView tabSelected="1" zoomScale="80" zoomScaleNormal="80" workbookViewId="0">
      <selection activeCell="H17" sqref="H17"/>
    </sheetView>
  </sheetViews>
  <sheetFormatPr baseColWidth="10" defaultColWidth="8.83203125" defaultRowHeight="16" x14ac:dyDescent="0.2"/>
  <cols>
    <col min="1" max="1" width="13" customWidth="1"/>
    <col min="2" max="2" width="14" bestFit="1" customWidth="1"/>
    <col min="3" max="3" width="14.33203125" customWidth="1"/>
    <col min="4" max="4" width="12.5" customWidth="1"/>
    <col min="5" max="5" width="12" bestFit="1" customWidth="1"/>
    <col min="6" max="6" width="11.6640625" bestFit="1" customWidth="1"/>
    <col min="7" max="7" width="11.83203125" bestFit="1" customWidth="1"/>
    <col min="8" max="8" width="9" bestFit="1" customWidth="1"/>
    <col min="9" max="9" width="9.83203125" bestFit="1" customWidth="1"/>
    <col min="10" max="10" width="11.5" customWidth="1"/>
    <col min="11" max="11" width="14.6640625" bestFit="1" customWidth="1"/>
    <col min="12" max="12" width="9.6640625" customWidth="1"/>
    <col min="13" max="13" width="34" bestFit="1" customWidth="1"/>
    <col min="14" max="14" width="18.5" bestFit="1" customWidth="1"/>
    <col min="15" max="15" width="14.1640625" customWidth="1"/>
    <col min="16" max="16" width="14.33203125" customWidth="1"/>
  </cols>
  <sheetData>
    <row r="1" spans="1:16" ht="21" x14ac:dyDescent="0.25">
      <c r="A1" s="53" t="s">
        <v>46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6" x14ac:dyDescent="0.2">
      <c r="A2" s="15" t="s">
        <v>24</v>
      </c>
    </row>
    <row r="3" spans="1:16" x14ac:dyDescent="0.2">
      <c r="B3" s="21" t="s">
        <v>0</v>
      </c>
      <c r="C3" s="19" t="s">
        <v>1</v>
      </c>
      <c r="D3" s="19" t="s">
        <v>2</v>
      </c>
      <c r="E3" s="19" t="s">
        <v>3</v>
      </c>
      <c r="F3" s="19" t="s">
        <v>4</v>
      </c>
      <c r="G3" s="20" t="s">
        <v>5</v>
      </c>
      <c r="H3" s="19" t="s">
        <v>6</v>
      </c>
      <c r="I3" s="15"/>
      <c r="J3" s="15"/>
      <c r="M3" s="55" t="s">
        <v>22</v>
      </c>
      <c r="N3" s="55"/>
    </row>
    <row r="4" spans="1:16" ht="20" x14ac:dyDescent="0.2">
      <c r="B4" s="22">
        <v>1</v>
      </c>
      <c r="C4" s="23" t="s">
        <v>8</v>
      </c>
      <c r="D4" s="16">
        <v>1</v>
      </c>
      <c r="E4" s="28">
        <v>250</v>
      </c>
      <c r="F4" s="28">
        <v>100</v>
      </c>
      <c r="G4" s="29">
        <v>100</v>
      </c>
      <c r="H4" s="23">
        <v>60</v>
      </c>
      <c r="M4" s="34" t="s">
        <v>20</v>
      </c>
      <c r="N4" s="35">
        <v>50000</v>
      </c>
      <c r="P4" s="37"/>
    </row>
    <row r="5" spans="1:16" x14ac:dyDescent="0.2">
      <c r="B5" s="22">
        <v>2</v>
      </c>
      <c r="C5" s="23" t="s">
        <v>8</v>
      </c>
      <c r="D5" s="16">
        <v>0.33</v>
      </c>
      <c r="E5" s="28">
        <v>500</v>
      </c>
      <c r="F5" s="28">
        <v>300</v>
      </c>
      <c r="G5" s="29">
        <v>300</v>
      </c>
      <c r="H5" s="23">
        <v>180</v>
      </c>
      <c r="M5" s="34" t="s">
        <v>21</v>
      </c>
      <c r="N5" s="35">
        <v>10000</v>
      </c>
    </row>
    <row r="6" spans="1:16" x14ac:dyDescent="0.2">
      <c r="B6" s="22">
        <v>3</v>
      </c>
      <c r="C6" s="23" t="s">
        <v>8</v>
      </c>
      <c r="D6" s="16">
        <v>0.5</v>
      </c>
      <c r="E6" s="28">
        <v>100</v>
      </c>
      <c r="F6" s="28">
        <v>200</v>
      </c>
      <c r="G6" s="29">
        <v>400</v>
      </c>
      <c r="H6" s="23">
        <v>80</v>
      </c>
      <c r="M6" s="34" t="s">
        <v>23</v>
      </c>
      <c r="N6" s="35">
        <v>4000</v>
      </c>
    </row>
    <row r="7" spans="1:16" x14ac:dyDescent="0.2">
      <c r="B7" s="22">
        <v>4</v>
      </c>
      <c r="C7" s="23" t="s">
        <v>8</v>
      </c>
      <c r="D7" s="16">
        <v>1</v>
      </c>
      <c r="E7" s="28">
        <v>750</v>
      </c>
      <c r="F7" s="28">
        <v>500</v>
      </c>
      <c r="G7" s="29">
        <v>300</v>
      </c>
      <c r="H7" s="23">
        <v>310</v>
      </c>
      <c r="M7" s="34" t="s">
        <v>49</v>
      </c>
      <c r="N7" s="49">
        <v>0.12</v>
      </c>
    </row>
    <row r="8" spans="1:16" x14ac:dyDescent="0.2">
      <c r="B8" s="22">
        <v>5</v>
      </c>
      <c r="C8" s="23" t="s">
        <v>8</v>
      </c>
      <c r="D8" s="16">
        <v>0.75</v>
      </c>
      <c r="E8" s="28">
        <v>200</v>
      </c>
      <c r="F8" s="28">
        <v>400</v>
      </c>
      <c r="G8" s="29">
        <v>800</v>
      </c>
      <c r="H8" s="23">
        <v>220</v>
      </c>
    </row>
    <row r="9" spans="1:16" x14ac:dyDescent="0.2">
      <c r="B9" s="24">
        <v>6</v>
      </c>
      <c r="C9" s="25" t="s">
        <v>9</v>
      </c>
      <c r="D9" s="17">
        <v>0.5</v>
      </c>
      <c r="E9" s="30">
        <v>1000</v>
      </c>
      <c r="F9" s="30">
        <v>300</v>
      </c>
      <c r="G9" s="31">
        <v>300</v>
      </c>
      <c r="H9" s="25">
        <v>180</v>
      </c>
      <c r="M9" s="56" t="s">
        <v>12</v>
      </c>
      <c r="N9" s="57"/>
    </row>
    <row r="10" spans="1:16" x14ac:dyDescent="0.2">
      <c r="B10" s="24">
        <v>7</v>
      </c>
      <c r="C10" s="25" t="s">
        <v>9</v>
      </c>
      <c r="D10" s="17">
        <v>1</v>
      </c>
      <c r="E10" s="30">
        <v>750</v>
      </c>
      <c r="F10" s="30">
        <v>750</v>
      </c>
      <c r="G10" s="31">
        <v>300</v>
      </c>
      <c r="H10" s="25">
        <v>410</v>
      </c>
      <c r="M10" s="38" t="s">
        <v>13</v>
      </c>
      <c r="N10" s="38">
        <f>IF(D41&lt;4000,1,0)</f>
        <v>1</v>
      </c>
    </row>
    <row r="11" spans="1:16" x14ac:dyDescent="0.2">
      <c r="B11" s="24">
        <v>8</v>
      </c>
      <c r="C11" s="25" t="s">
        <v>9</v>
      </c>
      <c r="D11" s="17">
        <v>1</v>
      </c>
      <c r="E11" s="30">
        <v>800</v>
      </c>
      <c r="F11" s="30">
        <v>700</v>
      </c>
      <c r="G11" s="31">
        <v>600</v>
      </c>
      <c r="H11" s="25">
        <v>280</v>
      </c>
      <c r="M11" s="38" t="s">
        <v>14</v>
      </c>
      <c r="N11" s="38">
        <f>IF(E41&lt;4000,1,0)</f>
        <v>1</v>
      </c>
    </row>
    <row r="12" spans="1:16" x14ac:dyDescent="0.2">
      <c r="B12" s="24">
        <v>9</v>
      </c>
      <c r="C12" s="25" t="s">
        <v>9</v>
      </c>
      <c r="D12" s="17">
        <v>0.67</v>
      </c>
      <c r="E12" s="30">
        <v>400</v>
      </c>
      <c r="F12" s="30">
        <v>600</v>
      </c>
      <c r="G12" s="31">
        <v>800</v>
      </c>
      <c r="H12" s="25">
        <v>380</v>
      </c>
      <c r="M12" s="38" t="s">
        <v>15</v>
      </c>
      <c r="N12" s="38">
        <f>IF(F41&lt;4000,1,0)</f>
        <v>1</v>
      </c>
    </row>
    <row r="13" spans="1:16" x14ac:dyDescent="0.2">
      <c r="B13" s="26">
        <v>10</v>
      </c>
      <c r="C13" s="27" t="s">
        <v>10</v>
      </c>
      <c r="D13" s="18">
        <v>1</v>
      </c>
      <c r="E13" s="32">
        <v>100</v>
      </c>
      <c r="F13" s="32">
        <v>200</v>
      </c>
      <c r="G13" s="33">
        <v>400</v>
      </c>
      <c r="H13" s="27">
        <v>100</v>
      </c>
      <c r="M13" s="38" t="s">
        <v>16</v>
      </c>
      <c r="N13" s="38">
        <f>IF(G41&lt;10000,1,0)</f>
        <v>1</v>
      </c>
    </row>
    <row r="14" spans="1:16" x14ac:dyDescent="0.2">
      <c r="B14" s="26">
        <v>11</v>
      </c>
      <c r="C14" s="27" t="s">
        <v>10</v>
      </c>
      <c r="D14" s="18">
        <v>0.5</v>
      </c>
      <c r="E14" s="32">
        <v>700</v>
      </c>
      <c r="F14" s="32">
        <v>500</v>
      </c>
      <c r="G14" s="33">
        <v>300</v>
      </c>
      <c r="H14" s="27">
        <v>260</v>
      </c>
      <c r="M14" s="38" t="s">
        <v>47</v>
      </c>
      <c r="N14" s="38">
        <f>IF(AND(N15&gt;=1,N16&gt;=1,N17&gt;=1),1,0)</f>
        <v>1</v>
      </c>
      <c r="O14" s="38"/>
    </row>
    <row r="15" spans="1:16" x14ac:dyDescent="0.2">
      <c r="B15" s="26">
        <v>12</v>
      </c>
      <c r="C15" s="27" t="s">
        <v>10</v>
      </c>
      <c r="D15" s="18">
        <v>1</v>
      </c>
      <c r="E15" s="32">
        <v>1500</v>
      </c>
      <c r="F15" s="32">
        <v>400</v>
      </c>
      <c r="G15" s="33">
        <v>400</v>
      </c>
      <c r="H15" s="27">
        <v>340</v>
      </c>
      <c r="M15" s="38" t="s">
        <v>26</v>
      </c>
      <c r="N15" s="38">
        <f>SUM(K22:K26)</f>
        <v>4</v>
      </c>
      <c r="O15" s="44"/>
    </row>
    <row r="16" spans="1:16" ht="17" customHeight="1" x14ac:dyDescent="0.2">
      <c r="M16" s="38" t="s">
        <v>27</v>
      </c>
      <c r="N16" s="38">
        <f>SUM(K29:K32)</f>
        <v>4</v>
      </c>
      <c r="O16" s="44"/>
    </row>
    <row r="17" spans="1:17" x14ac:dyDescent="0.2">
      <c r="M17" s="38" t="s">
        <v>28</v>
      </c>
      <c r="N17" s="38">
        <f>SUM(K35:K37)</f>
        <v>1</v>
      </c>
      <c r="O17" s="44"/>
    </row>
    <row r="18" spans="1:17" ht="21" x14ac:dyDescent="0.25">
      <c r="A18" s="62" t="s">
        <v>71</v>
      </c>
      <c r="M18" s="38" t="s">
        <v>29</v>
      </c>
      <c r="N18" s="38">
        <f>SUM(N15:N17)</f>
        <v>9</v>
      </c>
    </row>
    <row r="20" spans="1:17" x14ac:dyDescent="0.2">
      <c r="D20" s="59" t="s">
        <v>50</v>
      </c>
      <c r="E20" s="59"/>
      <c r="F20" s="59"/>
      <c r="G20" s="59"/>
      <c r="M20" s="12" t="s">
        <v>36</v>
      </c>
      <c r="N20" s="19">
        <f>IF(SUM(N10:N14)=5,1,0)</f>
        <v>1</v>
      </c>
    </row>
    <row r="21" spans="1:17" x14ac:dyDescent="0.2">
      <c r="A21" s="11" t="s">
        <v>0</v>
      </c>
      <c r="B21" s="12" t="s">
        <v>1</v>
      </c>
      <c r="C21" s="12" t="s">
        <v>2</v>
      </c>
      <c r="D21" s="12" t="s">
        <v>18</v>
      </c>
      <c r="E21" s="12" t="s">
        <v>17</v>
      </c>
      <c r="F21" s="13" t="s">
        <v>19</v>
      </c>
      <c r="G21" s="12" t="s">
        <v>11</v>
      </c>
      <c r="H21" s="13" t="s">
        <v>6</v>
      </c>
      <c r="I21" s="12" t="s">
        <v>25</v>
      </c>
      <c r="J21" s="12" t="s">
        <v>30</v>
      </c>
      <c r="K21" s="41" t="s">
        <v>7</v>
      </c>
    </row>
    <row r="22" spans="1:17" x14ac:dyDescent="0.2">
      <c r="A22" s="7">
        <v>1</v>
      </c>
      <c r="B22" s="8" t="s">
        <v>8</v>
      </c>
      <c r="C22" s="2">
        <v>1</v>
      </c>
      <c r="D22" s="5">
        <f>E4*C22</f>
        <v>250</v>
      </c>
      <c r="E22" s="5">
        <f>F4*C22</f>
        <v>100</v>
      </c>
      <c r="F22" s="6">
        <f>G4*C22</f>
        <v>100</v>
      </c>
      <c r="G22" s="6">
        <f>SUM(D22,E22,F22)</f>
        <v>450</v>
      </c>
      <c r="H22" s="6">
        <f>H4</f>
        <v>60</v>
      </c>
      <c r="I22" s="5">
        <f>H22*(1-$N$7)</f>
        <v>52.8</v>
      </c>
      <c r="J22" s="2" t="str">
        <f>IF(K22=0,"",I22/SUM(E4:G4))</f>
        <v/>
      </c>
      <c r="K22" s="50">
        <v>0</v>
      </c>
    </row>
    <row r="23" spans="1:17" x14ac:dyDescent="0.2">
      <c r="A23" s="7">
        <v>2</v>
      </c>
      <c r="B23" s="8" t="s">
        <v>8</v>
      </c>
      <c r="C23" s="2">
        <v>0.33</v>
      </c>
      <c r="D23" s="5">
        <f>E5*C23</f>
        <v>165</v>
      </c>
      <c r="E23" s="5">
        <f>F5*C23</f>
        <v>99</v>
      </c>
      <c r="F23" s="6">
        <f>G5*C23</f>
        <v>99</v>
      </c>
      <c r="G23" s="6">
        <f>SUM(D23,E23,F23)</f>
        <v>363</v>
      </c>
      <c r="H23" s="6">
        <f>H5</f>
        <v>180</v>
      </c>
      <c r="I23" s="5">
        <f t="shared" ref="I23:I26" si="0">H23*(1-$N$7)</f>
        <v>158.4</v>
      </c>
      <c r="J23" s="2">
        <f>IF(K23=0,"",I23/SUM(E5:G5))</f>
        <v>0.14400000000000002</v>
      </c>
      <c r="K23" s="50">
        <v>1</v>
      </c>
    </row>
    <row r="24" spans="1:17" x14ac:dyDescent="0.2">
      <c r="A24" s="7">
        <v>3</v>
      </c>
      <c r="B24" s="8" t="s">
        <v>8</v>
      </c>
      <c r="C24" s="2">
        <v>0.5</v>
      </c>
      <c r="D24" s="5">
        <f>E6*C24</f>
        <v>50</v>
      </c>
      <c r="E24" s="5">
        <f>F6*C24</f>
        <v>100</v>
      </c>
      <c r="F24" s="6">
        <f>G6*C24</f>
        <v>200</v>
      </c>
      <c r="G24" s="6">
        <f t="shared" ref="G24:G37" si="1">SUM(D24,E24,F24)</f>
        <v>350</v>
      </c>
      <c r="H24" s="6">
        <f>H6</f>
        <v>80</v>
      </c>
      <c r="I24" s="5">
        <f t="shared" si="0"/>
        <v>70.400000000000006</v>
      </c>
      <c r="J24" s="2">
        <f>IF(K24=0,"",I24/SUM(E6:G6))</f>
        <v>0.10057142857142858</v>
      </c>
      <c r="K24" s="50">
        <v>1</v>
      </c>
      <c r="O24" s="52" t="s">
        <v>41</v>
      </c>
      <c r="P24" s="52"/>
      <c r="Q24" s="52"/>
    </row>
    <row r="25" spans="1:17" x14ac:dyDescent="0.2">
      <c r="A25" s="7">
        <v>4</v>
      </c>
      <c r="B25" s="8" t="s">
        <v>8</v>
      </c>
      <c r="C25" s="3">
        <v>1</v>
      </c>
      <c r="D25" s="5">
        <f>E7*C25</f>
        <v>750</v>
      </c>
      <c r="E25" s="5">
        <f>F7*C25</f>
        <v>500</v>
      </c>
      <c r="F25" s="6">
        <f>G7*C25</f>
        <v>300</v>
      </c>
      <c r="G25" s="6">
        <f t="shared" si="1"/>
        <v>1550</v>
      </c>
      <c r="H25" s="6">
        <f>H7</f>
        <v>310</v>
      </c>
      <c r="I25" s="5">
        <f t="shared" si="0"/>
        <v>272.8</v>
      </c>
      <c r="J25" s="2">
        <f>IF(K25=0,"",I25/SUM(E7:G7))</f>
        <v>0.17600000000000002</v>
      </c>
      <c r="K25" s="50">
        <v>1</v>
      </c>
      <c r="N25" s="38"/>
      <c r="O25" s="46" t="s">
        <v>42</v>
      </c>
      <c r="P25" s="46" t="s">
        <v>43</v>
      </c>
      <c r="Q25" s="46" t="s">
        <v>44</v>
      </c>
    </row>
    <row r="26" spans="1:17" x14ac:dyDescent="0.2">
      <c r="A26" s="7">
        <v>5</v>
      </c>
      <c r="B26" s="8" t="s">
        <v>8</v>
      </c>
      <c r="C26" s="4">
        <v>0.75</v>
      </c>
      <c r="D26" s="5">
        <f>E8*C26</f>
        <v>150</v>
      </c>
      <c r="E26" s="5">
        <f>F8*C26</f>
        <v>300</v>
      </c>
      <c r="F26" s="6">
        <f>G8*C26</f>
        <v>600</v>
      </c>
      <c r="G26" s="5">
        <f t="shared" si="1"/>
        <v>1050</v>
      </c>
      <c r="H26" s="6">
        <f>H8</f>
        <v>220</v>
      </c>
      <c r="I26" s="5">
        <f t="shared" si="0"/>
        <v>193.6</v>
      </c>
      <c r="J26" s="2">
        <f>IF(K26=0,"",I26/SUM(E8:G8))</f>
        <v>0.13828571428571429</v>
      </c>
      <c r="K26" s="50">
        <v>1</v>
      </c>
      <c r="M26" s="58" t="s">
        <v>45</v>
      </c>
      <c r="N26" s="46" t="s">
        <v>40</v>
      </c>
      <c r="O26" s="36">
        <f>D27</f>
        <v>1115</v>
      </c>
      <c r="P26" s="36">
        <f>E27</f>
        <v>999</v>
      </c>
      <c r="Q26" s="36">
        <f>F27</f>
        <v>1199</v>
      </c>
    </row>
    <row r="27" spans="1:17" x14ac:dyDescent="0.2">
      <c r="C27" s="45" t="s">
        <v>37</v>
      </c>
      <c r="D27" s="43">
        <f>SUMPRODUCT(D22:D26,K22:K26)</f>
        <v>1115</v>
      </c>
      <c r="E27" s="43">
        <f>SUMPRODUCT(E22:E26,K22:K26)</f>
        <v>999</v>
      </c>
      <c r="F27" s="43">
        <f>SUMPRODUCT(F22:F26,K22:K26)</f>
        <v>1199</v>
      </c>
      <c r="G27" s="43">
        <f t="shared" si="1"/>
        <v>3313</v>
      </c>
      <c r="K27" s="44"/>
      <c r="M27" s="58"/>
      <c r="N27" s="46" t="s">
        <v>9</v>
      </c>
      <c r="O27" s="36">
        <f>D33</f>
        <v>2318</v>
      </c>
      <c r="P27" s="36">
        <f>E33</f>
        <v>2002</v>
      </c>
      <c r="Q27" s="36">
        <f>F33</f>
        <v>1586</v>
      </c>
    </row>
    <row r="28" spans="1:17" x14ac:dyDescent="0.2">
      <c r="K28" s="44"/>
      <c r="M28" s="58"/>
      <c r="N28" s="46" t="s">
        <v>10</v>
      </c>
      <c r="O28" s="36">
        <f>D38</f>
        <v>350</v>
      </c>
      <c r="P28" s="36">
        <f>E38</f>
        <v>250</v>
      </c>
      <c r="Q28" s="36">
        <f>F38</f>
        <v>150</v>
      </c>
    </row>
    <row r="29" spans="1:17" x14ac:dyDescent="0.2">
      <c r="A29" s="7">
        <v>6</v>
      </c>
      <c r="B29" s="9" t="s">
        <v>9</v>
      </c>
      <c r="C29" s="2">
        <v>0.5</v>
      </c>
      <c r="D29" s="5">
        <f>E9*C29</f>
        <v>500</v>
      </c>
      <c r="E29" s="5">
        <f>F9*C29</f>
        <v>150</v>
      </c>
      <c r="F29" s="6">
        <f>G9*C29</f>
        <v>150</v>
      </c>
      <c r="G29" s="6">
        <f t="shared" si="1"/>
        <v>800</v>
      </c>
      <c r="H29" s="6">
        <f>H9</f>
        <v>180</v>
      </c>
      <c r="I29" s="5">
        <f>H29*(1-$N$7)</f>
        <v>158.4</v>
      </c>
      <c r="J29" s="2">
        <f>IF(K29=0,"",I29/SUM(E9:G9))</f>
        <v>9.9000000000000005E-2</v>
      </c>
      <c r="K29" s="50">
        <v>1</v>
      </c>
    </row>
    <row r="30" spans="1:17" x14ac:dyDescent="0.2">
      <c r="A30" s="7">
        <v>7</v>
      </c>
      <c r="B30" s="9" t="s">
        <v>9</v>
      </c>
      <c r="C30" s="2">
        <v>1</v>
      </c>
      <c r="D30" s="5">
        <f>E10*C30</f>
        <v>750</v>
      </c>
      <c r="E30" s="5">
        <f>F10*C30</f>
        <v>750</v>
      </c>
      <c r="F30" s="6">
        <f>G10*C30</f>
        <v>300</v>
      </c>
      <c r="G30" s="6">
        <f t="shared" si="1"/>
        <v>1800</v>
      </c>
      <c r="H30" s="6">
        <f>H10</f>
        <v>410</v>
      </c>
      <c r="I30" s="5">
        <f t="shared" ref="I30:I32" si="2">H30*(1-$N$7)</f>
        <v>360.8</v>
      </c>
      <c r="J30" s="2">
        <f>IF(K30=0,"",I30/SUM(E10:G10))</f>
        <v>0.20044444444444445</v>
      </c>
      <c r="K30" s="50">
        <v>1</v>
      </c>
    </row>
    <row r="31" spans="1:17" x14ac:dyDescent="0.2">
      <c r="A31" s="7">
        <v>8</v>
      </c>
      <c r="B31" s="9" t="s">
        <v>9</v>
      </c>
      <c r="C31" s="2">
        <v>1</v>
      </c>
      <c r="D31" s="5">
        <f>E11*C31</f>
        <v>800</v>
      </c>
      <c r="E31" s="5">
        <f>F11*C31</f>
        <v>700</v>
      </c>
      <c r="F31" s="6">
        <f>G11*C31</f>
        <v>600</v>
      </c>
      <c r="G31" s="6">
        <f t="shared" si="1"/>
        <v>2100</v>
      </c>
      <c r="H31" s="6">
        <f>H11</f>
        <v>280</v>
      </c>
      <c r="I31" s="5">
        <f t="shared" si="2"/>
        <v>246.4</v>
      </c>
      <c r="J31" s="2">
        <f>IF(K31=0,"",I31/SUM(E11:G11))</f>
        <v>0.11733333333333333</v>
      </c>
      <c r="K31" s="50">
        <v>1</v>
      </c>
    </row>
    <row r="32" spans="1:17" x14ac:dyDescent="0.2">
      <c r="A32" s="7">
        <v>9</v>
      </c>
      <c r="B32" s="9" t="s">
        <v>9</v>
      </c>
      <c r="C32" s="2">
        <v>0.67</v>
      </c>
      <c r="D32" s="5">
        <f>E12*C32</f>
        <v>268</v>
      </c>
      <c r="E32" s="5">
        <f>F12*C32</f>
        <v>402</v>
      </c>
      <c r="F32" s="6">
        <f>G12*C32</f>
        <v>536</v>
      </c>
      <c r="G32" s="6">
        <f t="shared" si="1"/>
        <v>1206</v>
      </c>
      <c r="H32" s="6">
        <f>H12</f>
        <v>380</v>
      </c>
      <c r="I32" s="5">
        <f t="shared" si="2"/>
        <v>334.4</v>
      </c>
      <c r="J32" s="2">
        <f>IF(K32=0,"",I32/SUM(E12:G12))</f>
        <v>0.18577777777777776</v>
      </c>
      <c r="K32" s="50">
        <v>1</v>
      </c>
    </row>
    <row r="33" spans="1:11" x14ac:dyDescent="0.2">
      <c r="C33" s="45" t="s">
        <v>38</v>
      </c>
      <c r="D33" s="43">
        <f>SUMPRODUCT(D29:D32,$K$29:$K$32)</f>
        <v>2318</v>
      </c>
      <c r="E33" s="43">
        <f>SUMPRODUCT(E29:E32,$K$29:$K$32)</f>
        <v>2002</v>
      </c>
      <c r="F33" s="43">
        <f>SUMPRODUCT(F29:F32,$K$29:$K$32)</f>
        <v>1586</v>
      </c>
      <c r="G33" s="36">
        <f>SUM(D33:F33)</f>
        <v>5906</v>
      </c>
      <c r="K33" s="44"/>
    </row>
    <row r="34" spans="1:11" x14ac:dyDescent="0.2">
      <c r="K34" s="44"/>
    </row>
    <row r="35" spans="1:11" x14ac:dyDescent="0.2">
      <c r="A35" s="7">
        <v>10</v>
      </c>
      <c r="B35" s="10" t="s">
        <v>10</v>
      </c>
      <c r="C35" s="2">
        <v>1</v>
      </c>
      <c r="D35" s="5">
        <f>E13*C35</f>
        <v>100</v>
      </c>
      <c r="E35" s="5">
        <f>F13*C35</f>
        <v>200</v>
      </c>
      <c r="F35" s="6">
        <f>G13*C35</f>
        <v>400</v>
      </c>
      <c r="G35" s="6">
        <f t="shared" si="1"/>
        <v>700</v>
      </c>
      <c r="H35" s="39">
        <f>H13</f>
        <v>100</v>
      </c>
      <c r="I35" s="5">
        <f>H35*(1-$N$7)</f>
        <v>88</v>
      </c>
      <c r="J35" s="2" t="str">
        <f>IF(K35=0,"",I35/SUM(E13:G13))</f>
        <v/>
      </c>
      <c r="K35" s="50">
        <v>0</v>
      </c>
    </row>
    <row r="36" spans="1:11" x14ac:dyDescent="0.2">
      <c r="A36" s="7">
        <v>11</v>
      </c>
      <c r="B36" s="10" t="s">
        <v>10</v>
      </c>
      <c r="C36" s="2">
        <v>0.5</v>
      </c>
      <c r="D36" s="5">
        <f>E14*C36</f>
        <v>350</v>
      </c>
      <c r="E36" s="5">
        <f>F14*C36</f>
        <v>250</v>
      </c>
      <c r="F36" s="6">
        <f>G14*C36</f>
        <v>150</v>
      </c>
      <c r="G36" s="6">
        <f t="shared" si="1"/>
        <v>750</v>
      </c>
      <c r="H36" s="39">
        <f>H14</f>
        <v>260</v>
      </c>
      <c r="I36" s="5">
        <f t="shared" ref="I36" si="3">H36*(1-$N$7)</f>
        <v>228.8</v>
      </c>
      <c r="J36" s="2">
        <f>IF(K36=0,"",I36/SUM(E14:G14))</f>
        <v>0.15253333333333335</v>
      </c>
      <c r="K36" s="50">
        <v>1</v>
      </c>
    </row>
    <row r="37" spans="1:11" x14ac:dyDescent="0.2">
      <c r="A37" s="7">
        <v>12</v>
      </c>
      <c r="B37" s="10" t="s">
        <v>10</v>
      </c>
      <c r="C37" s="2">
        <v>1</v>
      </c>
      <c r="D37" s="5">
        <f>E15*C37</f>
        <v>1500</v>
      </c>
      <c r="E37" s="5">
        <f>F15*C37</f>
        <v>400</v>
      </c>
      <c r="F37" s="6">
        <f>G15*C37</f>
        <v>400</v>
      </c>
      <c r="G37" s="6">
        <f t="shared" si="1"/>
        <v>2300</v>
      </c>
      <c r="H37" s="39">
        <f>H15</f>
        <v>340</v>
      </c>
      <c r="I37" s="5">
        <f>H37*(1-$N$7)</f>
        <v>299.2</v>
      </c>
      <c r="J37" s="2" t="str">
        <f>IF(K37=0,"",I37/SUM(E15:G15))</f>
        <v/>
      </c>
      <c r="K37" s="50">
        <v>0</v>
      </c>
    </row>
    <row r="38" spans="1:11" x14ac:dyDescent="0.2">
      <c r="C38" s="45" t="s">
        <v>39</v>
      </c>
      <c r="D38" s="5">
        <f>SUMPRODUCT(D35:D37,$K$35:$K$37)</f>
        <v>350</v>
      </c>
      <c r="E38" s="5">
        <f>SUMPRODUCT(E35:E37,$K$35:$K$37)</f>
        <v>250</v>
      </c>
      <c r="F38" s="5">
        <f>SUMPRODUCT(F35:F37,$K$35:$K$37)</f>
        <v>150</v>
      </c>
      <c r="G38" s="5">
        <f>SUM(D38:F38)</f>
        <v>750</v>
      </c>
    </row>
    <row r="39" spans="1:11" x14ac:dyDescent="0.2">
      <c r="F39" s="1"/>
      <c r="G39" s="1"/>
    </row>
    <row r="40" spans="1:11" x14ac:dyDescent="0.2">
      <c r="D40" s="12" t="s">
        <v>18</v>
      </c>
      <c r="E40" s="12" t="s">
        <v>17</v>
      </c>
      <c r="F40" s="13" t="s">
        <v>19</v>
      </c>
      <c r="G40" s="12" t="s">
        <v>11</v>
      </c>
      <c r="I40" s="47" t="s">
        <v>51</v>
      </c>
    </row>
    <row r="41" spans="1:11" x14ac:dyDescent="0.2">
      <c r="C41" s="45" t="s">
        <v>48</v>
      </c>
      <c r="D41" s="14">
        <f>SUMPRODUCT(D22:D26,$K$22:$K$26)+SUMPRODUCT(D29:D32,$K$29:$K$32)+SUMPRODUCT(D35:D37,$K$35:$K$37)</f>
        <v>3783</v>
      </c>
      <c r="E41" s="14">
        <f>SUMPRODUCT(E22:E26,$K$22:$K$26)+SUMPRODUCT(E29:E32,$K$29:$K$32)+SUMPRODUCT(E35:E37,$K$35:$K$37)</f>
        <v>3251</v>
      </c>
      <c r="F41" s="14">
        <f>SUMPRODUCT(F22:F26,$K$22:$K$26)+SUMPRODUCT(F29:F32,$K$29:$K$32)+SUMPRODUCT(F35:F37,$K$35:$K$37)</f>
        <v>2935</v>
      </c>
      <c r="G41" s="14">
        <f>SUM(D41:F41)</f>
        <v>9969</v>
      </c>
      <c r="I41" s="48">
        <f>SUMPRODUCT(I22:I37,K22:K37)</f>
        <v>2024.0000000000002</v>
      </c>
    </row>
    <row r="43" spans="1:11" x14ac:dyDescent="0.2">
      <c r="E43" s="12" t="s">
        <v>32</v>
      </c>
      <c r="F43" s="12"/>
      <c r="G43" s="12"/>
    </row>
    <row r="44" spans="1:11" x14ac:dyDescent="0.2">
      <c r="D44" s="12" t="s">
        <v>31</v>
      </c>
      <c r="E44" s="12" t="s">
        <v>33</v>
      </c>
      <c r="F44" s="12" t="s">
        <v>34</v>
      </c>
      <c r="G44" s="12" t="s">
        <v>35</v>
      </c>
    </row>
    <row r="45" spans="1:11" x14ac:dyDescent="0.2">
      <c r="D45" s="40"/>
      <c r="E45" s="42">
        <f>AVERAGE(J22:J37)</f>
        <v>0.14599400352733688</v>
      </c>
      <c r="F45" s="42">
        <f>MIN(J22:J37)</f>
        <v>9.9000000000000005E-2</v>
      </c>
      <c r="G45" s="42">
        <f>MAX(J22:J37)</f>
        <v>0.20044444444444445</v>
      </c>
    </row>
    <row r="46" spans="1:11" x14ac:dyDescent="0.2">
      <c r="D46" s="2">
        <v>0</v>
      </c>
      <c r="E46" s="2">
        <f t="dataTable" ref="E46:G52" dt2D="0" dtr="0" r1="N7"/>
        <v>0.16590227673561009</v>
      </c>
      <c r="F46" s="2">
        <v>0.1125</v>
      </c>
      <c r="G46" s="2">
        <v>0.22777777777777777</v>
      </c>
    </row>
    <row r="47" spans="1:11" x14ac:dyDescent="0.2">
      <c r="D47" s="2">
        <v>0.05</v>
      </c>
      <c r="E47" s="2">
        <v>0.15760716289882956</v>
      </c>
      <c r="F47" s="2">
        <v>0.106875</v>
      </c>
      <c r="G47" s="2">
        <v>0.21638888888888888</v>
      </c>
    </row>
    <row r="48" spans="1:11" x14ac:dyDescent="0.2">
      <c r="D48" s="2">
        <v>0.1</v>
      </c>
      <c r="E48" s="2">
        <v>0.14931204906204906</v>
      </c>
      <c r="F48" s="2">
        <v>0.10125000000000001</v>
      </c>
      <c r="G48" s="2">
        <v>0.20499999999999999</v>
      </c>
    </row>
    <row r="49" spans="1:10" x14ac:dyDescent="0.2">
      <c r="D49" s="2">
        <v>0.15</v>
      </c>
      <c r="E49" s="2">
        <v>0.14101693522526856</v>
      </c>
      <c r="F49" s="2">
        <v>9.5625000000000002E-2</v>
      </c>
      <c r="G49" s="2">
        <v>0.19361111111111112</v>
      </c>
    </row>
    <row r="50" spans="1:10" x14ac:dyDescent="0.2">
      <c r="D50" s="2">
        <v>0.2</v>
      </c>
      <c r="E50" s="2">
        <v>0.13272182138848806</v>
      </c>
      <c r="F50" s="2">
        <v>0.09</v>
      </c>
      <c r="G50" s="2">
        <v>0.18222222222222223</v>
      </c>
    </row>
    <row r="51" spans="1:10" x14ac:dyDescent="0.2">
      <c r="D51" s="2">
        <v>0.25</v>
      </c>
      <c r="E51" s="2">
        <v>0.12442670755170754</v>
      </c>
      <c r="F51" s="2">
        <v>8.4375000000000006E-2</v>
      </c>
      <c r="G51" s="2">
        <v>0.17083333333333334</v>
      </c>
    </row>
    <row r="52" spans="1:10" x14ac:dyDescent="0.2">
      <c r="D52" s="2">
        <v>0.3</v>
      </c>
      <c r="E52" s="2">
        <v>0.11613159371492705</v>
      </c>
      <c r="F52" s="2">
        <v>7.8749999999999987E-2</v>
      </c>
      <c r="G52" s="2">
        <v>0.15944444444444444</v>
      </c>
    </row>
    <row r="54" spans="1:10" ht="21" x14ac:dyDescent="0.25">
      <c r="A54" s="62" t="s">
        <v>70</v>
      </c>
    </row>
    <row r="55" spans="1:10" ht="21" x14ac:dyDescent="0.25">
      <c r="A55" s="62"/>
    </row>
    <row r="56" spans="1:10" x14ac:dyDescent="0.2">
      <c r="B56" s="38"/>
      <c r="C56" s="38" t="s">
        <v>52</v>
      </c>
      <c r="D56" s="38" t="s">
        <v>53</v>
      </c>
      <c r="E56" s="38" t="s">
        <v>54</v>
      </c>
      <c r="F56" s="38" t="s">
        <v>55</v>
      </c>
      <c r="G56" s="38" t="s">
        <v>56</v>
      </c>
      <c r="H56" s="38" t="s">
        <v>57</v>
      </c>
      <c r="I56" s="38" t="s">
        <v>58</v>
      </c>
      <c r="J56" s="38" t="s">
        <v>59</v>
      </c>
    </row>
    <row r="57" spans="1:10" x14ac:dyDescent="0.2">
      <c r="B57" s="38" t="s">
        <v>60</v>
      </c>
      <c r="C57" s="38">
        <v>1</v>
      </c>
      <c r="D57" s="38">
        <v>1</v>
      </c>
      <c r="E57" s="38">
        <v>1</v>
      </c>
      <c r="F57" s="38">
        <v>1</v>
      </c>
      <c r="G57" s="38">
        <v>0</v>
      </c>
      <c r="H57" s="38">
        <v>1</v>
      </c>
      <c r="I57" s="38">
        <v>0</v>
      </c>
      <c r="J57" s="38">
        <v>1</v>
      </c>
    </row>
    <row r="58" spans="1:10" x14ac:dyDescent="0.2">
      <c r="B58" s="38" t="s">
        <v>61</v>
      </c>
      <c r="C58" s="38">
        <v>1</v>
      </c>
      <c r="D58" s="38">
        <v>0</v>
      </c>
      <c r="E58" s="38">
        <v>0</v>
      </c>
      <c r="F58" s="38">
        <v>1</v>
      </c>
      <c r="G58" s="38">
        <v>1</v>
      </c>
      <c r="H58" s="38">
        <v>1</v>
      </c>
      <c r="I58" s="38">
        <v>0</v>
      </c>
      <c r="J58" s="38">
        <v>1</v>
      </c>
    </row>
    <row r="59" spans="1:10" x14ac:dyDescent="0.2">
      <c r="B59" s="38" t="s">
        <v>62</v>
      </c>
      <c r="C59" s="38">
        <v>0</v>
      </c>
      <c r="D59" s="38">
        <v>1</v>
      </c>
      <c r="E59" s="38">
        <v>0</v>
      </c>
      <c r="F59" s="38">
        <v>0</v>
      </c>
      <c r="G59" s="38">
        <v>1</v>
      </c>
      <c r="H59" s="38">
        <v>1</v>
      </c>
      <c r="I59" s="38">
        <v>1</v>
      </c>
      <c r="J59" s="38">
        <v>1</v>
      </c>
    </row>
    <row r="60" spans="1:10" x14ac:dyDescent="0.2">
      <c r="B60" s="38" t="s">
        <v>63</v>
      </c>
      <c r="C60" s="38">
        <v>1</v>
      </c>
      <c r="D60" s="38">
        <v>1</v>
      </c>
      <c r="E60" s="38">
        <v>1</v>
      </c>
      <c r="F60" s="38">
        <v>1</v>
      </c>
      <c r="G60" s="38">
        <v>1</v>
      </c>
      <c r="H60" s="38">
        <v>1</v>
      </c>
      <c r="I60" s="38">
        <v>1</v>
      </c>
      <c r="J60" s="38">
        <v>0</v>
      </c>
    </row>
    <row r="61" spans="1:10" x14ac:dyDescent="0.2">
      <c r="B61" s="38" t="s">
        <v>64</v>
      </c>
      <c r="C61" s="38">
        <v>1</v>
      </c>
      <c r="D61" s="38">
        <v>1</v>
      </c>
      <c r="E61" s="38">
        <v>1</v>
      </c>
      <c r="F61" s="38">
        <v>1</v>
      </c>
      <c r="G61" s="38">
        <v>1</v>
      </c>
      <c r="H61" s="38">
        <v>1</v>
      </c>
      <c r="I61" s="38">
        <v>1</v>
      </c>
      <c r="J61" s="38">
        <v>1</v>
      </c>
    </row>
    <row r="62" spans="1:10" x14ac:dyDescent="0.2">
      <c r="B62" s="38" t="s">
        <v>65</v>
      </c>
      <c r="C62" s="38">
        <v>1</v>
      </c>
      <c r="D62" s="38">
        <v>1</v>
      </c>
      <c r="E62" s="38">
        <v>1</v>
      </c>
      <c r="F62" s="38">
        <v>1</v>
      </c>
      <c r="G62" s="38">
        <v>1</v>
      </c>
      <c r="H62" s="38">
        <v>1</v>
      </c>
      <c r="I62" s="38">
        <v>0</v>
      </c>
      <c r="J62" s="38">
        <v>1</v>
      </c>
    </row>
    <row r="63" spans="1:10" x14ac:dyDescent="0.2">
      <c r="B63" s="38" t="s">
        <v>66</v>
      </c>
      <c r="C63" s="38">
        <v>1</v>
      </c>
      <c r="D63" s="38">
        <v>1</v>
      </c>
      <c r="E63" s="38">
        <v>1</v>
      </c>
      <c r="F63" s="38">
        <v>1</v>
      </c>
      <c r="G63" s="38">
        <v>0</v>
      </c>
      <c r="H63" s="38">
        <v>1</v>
      </c>
      <c r="I63" s="38">
        <v>1</v>
      </c>
      <c r="J63" s="38">
        <v>0</v>
      </c>
    </row>
    <row r="64" spans="1:10" x14ac:dyDescent="0.2">
      <c r="B64" s="38" t="s">
        <v>67</v>
      </c>
      <c r="C64" s="38">
        <v>1</v>
      </c>
      <c r="D64" s="38">
        <v>1</v>
      </c>
      <c r="E64" s="38">
        <v>1</v>
      </c>
      <c r="F64" s="38">
        <v>1</v>
      </c>
      <c r="G64" s="38">
        <v>0</v>
      </c>
      <c r="H64" s="38">
        <v>0</v>
      </c>
      <c r="I64" s="38">
        <v>0</v>
      </c>
      <c r="J64" s="38">
        <v>1</v>
      </c>
    </row>
    <row r="65" spans="2:12" x14ac:dyDescent="0.2">
      <c r="B65" s="38" t="s">
        <v>68</v>
      </c>
      <c r="C65" s="38">
        <v>1</v>
      </c>
      <c r="D65" s="38">
        <v>1</v>
      </c>
      <c r="E65" s="38">
        <v>1</v>
      </c>
      <c r="F65" s="38">
        <v>1</v>
      </c>
      <c r="G65" s="38">
        <v>1</v>
      </c>
      <c r="H65" s="38">
        <v>1</v>
      </c>
      <c r="I65" s="38">
        <v>0</v>
      </c>
      <c r="J65" s="38">
        <v>1</v>
      </c>
    </row>
    <row r="67" spans="2:12" x14ac:dyDescent="0.2">
      <c r="B67" s="38"/>
      <c r="C67" s="38" t="s">
        <v>52</v>
      </c>
      <c r="D67" s="38" t="s">
        <v>53</v>
      </c>
      <c r="E67" s="38" t="s">
        <v>54</v>
      </c>
      <c r="F67" s="38" t="s">
        <v>55</v>
      </c>
      <c r="G67" s="38" t="s">
        <v>56</v>
      </c>
      <c r="H67" s="38" t="s">
        <v>57</v>
      </c>
      <c r="I67" s="38" t="s">
        <v>58</v>
      </c>
      <c r="J67" s="38" t="s">
        <v>59</v>
      </c>
      <c r="K67" s="60" t="s">
        <v>69</v>
      </c>
      <c r="L67" s="38" t="s">
        <v>25</v>
      </c>
    </row>
    <row r="68" spans="2:12" x14ac:dyDescent="0.2">
      <c r="B68" s="38" t="s">
        <v>60</v>
      </c>
      <c r="C68" s="51">
        <v>1</v>
      </c>
      <c r="D68" s="51">
        <v>0</v>
      </c>
      <c r="E68" s="51">
        <v>0</v>
      </c>
      <c r="F68" s="51">
        <v>0</v>
      </c>
      <c r="G68" s="51">
        <v>0</v>
      </c>
      <c r="H68" s="51">
        <v>0</v>
      </c>
      <c r="I68" s="51">
        <v>0</v>
      </c>
      <c r="J68" s="51">
        <v>0</v>
      </c>
      <c r="K68" s="38">
        <f>SUM(C68:J68)</f>
        <v>1</v>
      </c>
      <c r="L68" s="38">
        <v>158.4</v>
      </c>
    </row>
    <row r="69" spans="2:12" x14ac:dyDescent="0.2">
      <c r="B69" s="38" t="s">
        <v>61</v>
      </c>
      <c r="C69" s="51">
        <v>0</v>
      </c>
      <c r="D69" s="51">
        <v>0</v>
      </c>
      <c r="E69" s="51">
        <v>0</v>
      </c>
      <c r="F69" s="51">
        <v>0</v>
      </c>
      <c r="G69" s="51">
        <v>0</v>
      </c>
      <c r="H69" s="51">
        <v>0</v>
      </c>
      <c r="I69" s="51">
        <v>0</v>
      </c>
      <c r="J69" s="51">
        <v>0</v>
      </c>
      <c r="K69" s="38">
        <f t="shared" ref="K69:K76" si="4">SUM(C69:J69)</f>
        <v>0</v>
      </c>
      <c r="L69" s="38">
        <v>70.400000000000006</v>
      </c>
    </row>
    <row r="70" spans="2:12" x14ac:dyDescent="0.2">
      <c r="B70" s="38" t="s">
        <v>62</v>
      </c>
      <c r="C70" s="51">
        <v>0</v>
      </c>
      <c r="D70" s="51">
        <v>0</v>
      </c>
      <c r="E70" s="51">
        <v>0</v>
      </c>
      <c r="F70" s="51">
        <v>0</v>
      </c>
      <c r="G70" s="51">
        <v>1</v>
      </c>
      <c r="H70" s="51">
        <v>0</v>
      </c>
      <c r="I70" s="51">
        <v>0</v>
      </c>
      <c r="J70" s="51">
        <v>0</v>
      </c>
      <c r="K70" s="38">
        <f t="shared" si="4"/>
        <v>1</v>
      </c>
      <c r="L70" s="38">
        <v>272.8</v>
      </c>
    </row>
    <row r="71" spans="2:12" x14ac:dyDescent="0.2">
      <c r="B71" s="38" t="s">
        <v>63</v>
      </c>
      <c r="C71" s="51">
        <v>0</v>
      </c>
      <c r="D71" s="51">
        <v>1</v>
      </c>
      <c r="E71" s="51">
        <v>0</v>
      </c>
      <c r="F71" s="51">
        <v>0</v>
      </c>
      <c r="G71" s="51">
        <v>0</v>
      </c>
      <c r="H71" s="51">
        <v>0</v>
      </c>
      <c r="I71" s="51">
        <v>0</v>
      </c>
      <c r="J71" s="51">
        <v>0</v>
      </c>
      <c r="K71" s="38">
        <f t="shared" si="4"/>
        <v>1</v>
      </c>
      <c r="L71" s="38">
        <v>193.6</v>
      </c>
    </row>
    <row r="72" spans="2:12" x14ac:dyDescent="0.2">
      <c r="B72" s="38" t="s">
        <v>64</v>
      </c>
      <c r="C72" s="51">
        <v>0</v>
      </c>
      <c r="D72" s="51">
        <v>0</v>
      </c>
      <c r="E72" s="51">
        <v>0</v>
      </c>
      <c r="F72" s="51">
        <v>1</v>
      </c>
      <c r="G72" s="51">
        <v>0</v>
      </c>
      <c r="H72" s="51">
        <v>0</v>
      </c>
      <c r="I72" s="51">
        <v>0</v>
      </c>
      <c r="J72" s="51">
        <v>0</v>
      </c>
      <c r="K72" s="38">
        <f t="shared" si="4"/>
        <v>1</v>
      </c>
      <c r="L72" s="38">
        <v>158.4</v>
      </c>
    </row>
    <row r="73" spans="2:12" x14ac:dyDescent="0.2">
      <c r="B73" s="38" t="s">
        <v>65</v>
      </c>
      <c r="C73" s="51">
        <v>0</v>
      </c>
      <c r="D73" s="51">
        <v>0</v>
      </c>
      <c r="E73" s="51">
        <v>0</v>
      </c>
      <c r="F73" s="51">
        <v>0</v>
      </c>
      <c r="G73" s="51">
        <v>0</v>
      </c>
      <c r="H73" s="51">
        <v>0</v>
      </c>
      <c r="I73" s="51">
        <v>1</v>
      </c>
      <c r="J73" s="51">
        <v>0</v>
      </c>
      <c r="K73" s="38">
        <f t="shared" si="4"/>
        <v>1</v>
      </c>
      <c r="L73" s="38">
        <v>360.8</v>
      </c>
    </row>
    <row r="74" spans="2:12" x14ac:dyDescent="0.2">
      <c r="B74" s="38" t="s">
        <v>66</v>
      </c>
      <c r="C74" s="51">
        <v>0</v>
      </c>
      <c r="D74" s="51">
        <v>0</v>
      </c>
      <c r="E74" s="51">
        <v>1</v>
      </c>
      <c r="F74" s="51">
        <v>0</v>
      </c>
      <c r="G74" s="51">
        <v>0</v>
      </c>
      <c r="H74" s="51">
        <v>0</v>
      </c>
      <c r="I74" s="51">
        <v>0</v>
      </c>
      <c r="J74" s="51">
        <v>0</v>
      </c>
      <c r="K74" s="38">
        <f t="shared" si="4"/>
        <v>1</v>
      </c>
      <c r="L74" s="38">
        <v>246.4</v>
      </c>
    </row>
    <row r="75" spans="2:12" x14ac:dyDescent="0.2">
      <c r="B75" s="38" t="s">
        <v>67</v>
      </c>
      <c r="C75" s="51">
        <v>0</v>
      </c>
      <c r="D75" s="51">
        <v>0</v>
      </c>
      <c r="E75" s="51">
        <v>0</v>
      </c>
      <c r="F75" s="51">
        <v>0</v>
      </c>
      <c r="G75" s="51">
        <v>0</v>
      </c>
      <c r="H75" s="51">
        <v>1</v>
      </c>
      <c r="I75" s="51">
        <v>0</v>
      </c>
      <c r="J75" s="51">
        <v>0</v>
      </c>
      <c r="K75" s="38">
        <f t="shared" si="4"/>
        <v>1</v>
      </c>
      <c r="L75" s="38">
        <v>334.4</v>
      </c>
    </row>
    <row r="76" spans="2:12" x14ac:dyDescent="0.2">
      <c r="B76" s="38" t="s">
        <v>68</v>
      </c>
      <c r="C76" s="51">
        <v>0</v>
      </c>
      <c r="D76" s="51">
        <v>0</v>
      </c>
      <c r="E76" s="51">
        <v>0</v>
      </c>
      <c r="F76" s="51">
        <v>0</v>
      </c>
      <c r="G76" s="51">
        <v>0</v>
      </c>
      <c r="H76" s="51">
        <v>0</v>
      </c>
      <c r="I76" s="51">
        <v>0</v>
      </c>
      <c r="J76" s="51">
        <v>1</v>
      </c>
      <c r="K76" s="38">
        <f t="shared" si="4"/>
        <v>1</v>
      </c>
      <c r="L76" s="60">
        <v>229</v>
      </c>
    </row>
    <row r="77" spans="2:12" x14ac:dyDescent="0.2">
      <c r="C77">
        <f>SUM(C68:C76)</f>
        <v>1</v>
      </c>
      <c r="D77">
        <f t="shared" ref="D77:J77" si="5">SUM(D68:D76)</f>
        <v>1</v>
      </c>
      <c r="E77">
        <f t="shared" si="5"/>
        <v>1</v>
      </c>
      <c r="F77">
        <f t="shared" si="5"/>
        <v>1</v>
      </c>
      <c r="G77">
        <f t="shared" si="5"/>
        <v>1</v>
      </c>
      <c r="H77">
        <f t="shared" si="5"/>
        <v>1</v>
      </c>
      <c r="I77">
        <f t="shared" si="5"/>
        <v>1</v>
      </c>
      <c r="J77">
        <f t="shared" si="5"/>
        <v>1</v>
      </c>
    </row>
    <row r="79" spans="2:12" x14ac:dyDescent="0.2">
      <c r="I79" s="47" t="s">
        <v>51</v>
      </c>
    </row>
    <row r="80" spans="2:12" x14ac:dyDescent="0.2">
      <c r="I80" s="61">
        <f>SUMPRODUCT(K68:K76,L68:L76)</f>
        <v>1953.8000000000002</v>
      </c>
    </row>
    <row r="82" spans="1:2" ht="21" x14ac:dyDescent="0.25">
      <c r="A82" s="62" t="s">
        <v>73</v>
      </c>
      <c r="B82" s="62" t="s">
        <v>74</v>
      </c>
    </row>
    <row r="83" spans="1:2" ht="21" x14ac:dyDescent="0.25">
      <c r="A83" s="63"/>
      <c r="B83" s="62" t="s">
        <v>72</v>
      </c>
    </row>
  </sheetData>
  <mergeCells count="6">
    <mergeCell ref="O24:Q24"/>
    <mergeCell ref="A1:L1"/>
    <mergeCell ref="M3:N3"/>
    <mergeCell ref="M9:N9"/>
    <mergeCell ref="M26:M28"/>
    <mergeCell ref="D20:G20"/>
  </mergeCells>
  <conditionalFormatting sqref="N10:N13">
    <cfRule type="cellIs" dxfId="11" priority="24" operator="equal">
      <formula>1</formula>
    </cfRule>
  </conditionalFormatting>
  <conditionalFormatting sqref="N10:N13">
    <cfRule type="cellIs" dxfId="10" priority="23" operator="lessThan">
      <formula>1</formula>
    </cfRule>
  </conditionalFormatting>
  <conditionalFormatting sqref="H29:H32 H35:H37">
    <cfRule type="cellIs" dxfId="9" priority="33" operator="equal">
      <formula>MIN($K$22:$K$32)</formula>
    </cfRule>
    <cfRule type="cellIs" dxfId="8" priority="34" operator="equal">
      <formula>MAX($K$22:$K$32)</formula>
    </cfRule>
  </conditionalFormatting>
  <conditionalFormatting sqref="D41:F41">
    <cfRule type="cellIs" dxfId="7" priority="9" operator="greaterThan">
      <formula>4000</formula>
    </cfRule>
    <cfRule type="cellIs" dxfId="6" priority="10" operator="lessThan">
      <formula>4000</formula>
    </cfRule>
  </conditionalFormatting>
  <conditionalFormatting sqref="N14">
    <cfRule type="cellIs" dxfId="5" priority="5" operator="lessThan">
      <formula>1</formula>
    </cfRule>
    <cfRule type="cellIs" dxfId="4" priority="6" operator="greaterThan">
      <formula>0</formula>
    </cfRule>
  </conditionalFormatting>
  <conditionalFormatting sqref="M20:N20">
    <cfRule type="cellIs" dxfId="3" priority="3" operator="lessThan">
      <formula>1</formula>
    </cfRule>
    <cfRule type="cellIs" dxfId="2" priority="4" operator="equal">
      <formula>1</formula>
    </cfRule>
  </conditionalFormatting>
  <conditionalFormatting sqref="G41">
    <cfRule type="cellIs" dxfId="1" priority="1" operator="greaterThan">
      <formula>10000</formula>
    </cfRule>
    <cfRule type="cellIs" dxfId="0" priority="2" operator="lessThan">
      <formula>10000</formula>
    </cfRule>
  </conditionalFormatting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6A07-92E7-5543-8F82-6E4FA33608AD}">
  <dimension ref="A1"/>
  <sheetViews>
    <sheetView workbookViewId="0">
      <selection activeCell="K15" sqref="K15"/>
    </sheetView>
  </sheetViews>
  <sheetFormatPr baseColWidth="10" defaultColWidth="10.6640625" defaultRowHeight="16" x14ac:dyDescent="0.2"/>
  <cols>
    <col min="4" max="4" width="10.33203125" bestFit="1" customWidth="1"/>
  </cols>
  <sheetData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Model</vt:lpstr>
      <vt:lpstr>Approved Line Charts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2023-01-19T15:45:03Z</dcterms:created>
  <dcterms:modified xsi:type="dcterms:W3CDTF">2025-09-19T05:15:01Z</dcterms:modified>
  <cp:category/>
  <cp:contentStatus/>
</cp:coreProperties>
</file>