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zaki/Library/CloudStorage/GoogleDrive-izayoi7242@gmail.com/マイドライブ/学習面/高専/レポート/フィルタ/"/>
    </mc:Choice>
  </mc:AlternateContent>
  <xr:revisionPtr revIDLastSave="0" documentId="13_ncr:1_{406FCE10-D288-3645-9B66-EF2EC3554D20}" xr6:coauthVersionLast="47" xr6:coauthVersionMax="47" xr10:uidLastSave="{00000000-0000-0000-0000-000000000000}"/>
  <bookViews>
    <workbookView xWindow="2760" yWindow="1560" windowWidth="30040" windowHeight="15960" activeTab="1" xr2:uid="{F326C6A9-6576-4293-AF17-1B86EE4442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G6" i="2"/>
  <c r="G19" i="1"/>
  <c r="G18" i="1"/>
  <c r="G17" i="1"/>
  <c r="G15" i="1"/>
  <c r="G14" i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6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F20" i="2"/>
  <c r="G20" i="2" s="1"/>
  <c r="H20" i="2"/>
  <c r="F22" i="2"/>
  <c r="G22" i="2" s="1"/>
  <c r="H22" i="2"/>
  <c r="F19" i="2"/>
  <c r="G19" i="2" s="1"/>
  <c r="H19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1" i="2"/>
  <c r="G21" i="2" s="1"/>
  <c r="F18" i="2"/>
  <c r="G18" i="2" s="1"/>
  <c r="F17" i="2"/>
  <c r="G17" i="2" s="1"/>
  <c r="F16" i="2"/>
  <c r="G16" i="2" s="1"/>
  <c r="F15" i="2"/>
  <c r="G15" i="2" s="1"/>
  <c r="F14" i="2"/>
  <c r="G14" i="2" s="1"/>
  <c r="E14" i="2"/>
  <c r="I14" i="2" s="1"/>
  <c r="F13" i="2"/>
  <c r="G13" i="2" s="1"/>
  <c r="E13" i="2"/>
  <c r="I13" i="2" s="1"/>
  <c r="F12" i="2"/>
  <c r="G12" i="2" s="1"/>
  <c r="E12" i="2"/>
  <c r="I12" i="2" s="1"/>
  <c r="F11" i="2"/>
  <c r="G11" i="2" s="1"/>
  <c r="E11" i="2"/>
  <c r="I11" i="2" s="1"/>
  <c r="F10" i="2"/>
  <c r="G10" i="2" s="1"/>
  <c r="E10" i="2"/>
  <c r="I10" i="2" s="1"/>
  <c r="F9" i="2"/>
  <c r="G9" i="2" s="1"/>
  <c r="E9" i="2"/>
  <c r="I9" i="2" s="1"/>
  <c r="H36" i="2"/>
  <c r="H35" i="2"/>
  <c r="H33" i="2"/>
  <c r="H32" i="2"/>
  <c r="F8" i="2"/>
  <c r="G8" i="2" s="1"/>
  <c r="H31" i="2"/>
  <c r="E8" i="2"/>
  <c r="I8" i="2" s="1"/>
  <c r="H30" i="2"/>
  <c r="H29" i="2"/>
  <c r="H28" i="2"/>
  <c r="H27" i="2"/>
  <c r="H26" i="2"/>
  <c r="H25" i="2"/>
  <c r="H24" i="2"/>
  <c r="H23" i="2"/>
  <c r="F7" i="2"/>
  <c r="G7" i="2" s="1"/>
  <c r="E7" i="2"/>
  <c r="I7" i="2" s="1"/>
  <c r="H21" i="2"/>
  <c r="H18" i="2"/>
  <c r="H17" i="2"/>
  <c r="F6" i="2"/>
  <c r="H16" i="2"/>
  <c r="H15" i="2"/>
  <c r="H14" i="2"/>
  <c r="E6" i="2"/>
  <c r="I6" i="2" s="1"/>
  <c r="H13" i="2"/>
  <c r="H12" i="2"/>
  <c r="H11" i="2"/>
  <c r="H10" i="2"/>
  <c r="H9" i="2"/>
  <c r="H8" i="2"/>
  <c r="H7" i="2"/>
  <c r="H6" i="2"/>
  <c r="H5" i="2"/>
  <c r="F5" i="2"/>
  <c r="G5" i="2" s="1"/>
  <c r="E5" i="2"/>
  <c r="I5" i="2" s="1"/>
  <c r="H4" i="2"/>
  <c r="F4" i="2"/>
  <c r="G4" i="2" s="1"/>
  <c r="E4" i="2"/>
  <c r="I4" i="2" s="1"/>
  <c r="H3" i="2"/>
  <c r="F3" i="2"/>
  <c r="G3" i="2" s="1"/>
  <c r="E3" i="2"/>
  <c r="I3" i="2" s="1"/>
  <c r="F38" i="1"/>
  <c r="G38" i="1" s="1"/>
  <c r="E38" i="1"/>
  <c r="I38" i="1" s="1"/>
  <c r="F37" i="1"/>
  <c r="G37" i="1" s="1"/>
  <c r="E37" i="1"/>
  <c r="I37" i="1" s="1"/>
  <c r="F36" i="1"/>
  <c r="G36" i="1" s="1"/>
  <c r="E36" i="1"/>
  <c r="I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J15" i="2" l="1"/>
  <c r="J31" i="2"/>
  <c r="J37" i="1"/>
  <c r="J12" i="2"/>
  <c r="J14" i="2"/>
  <c r="J20" i="2"/>
  <c r="J6" i="2"/>
  <c r="J11" i="2"/>
  <c r="J7" i="2"/>
  <c r="J22" i="2"/>
  <c r="J16" i="2"/>
  <c r="J35" i="2"/>
  <c r="J5" i="1"/>
  <c r="J22" i="1"/>
  <c r="J16" i="1"/>
  <c r="L38" i="1"/>
  <c r="L36" i="1"/>
  <c r="L37" i="1"/>
  <c r="J23" i="1"/>
  <c r="J34" i="2"/>
  <c r="J17" i="2"/>
  <c r="J19" i="2"/>
  <c r="J10" i="2"/>
  <c r="J25" i="2"/>
  <c r="J18" i="2"/>
  <c r="J13" i="2"/>
  <c r="J27" i="2"/>
  <c r="J26" i="2"/>
  <c r="J28" i="2"/>
  <c r="J8" i="2"/>
  <c r="J21" i="2"/>
  <c r="J36" i="2"/>
  <c r="J9" i="2"/>
  <c r="J29" i="2"/>
  <c r="J24" i="2"/>
  <c r="J3" i="2"/>
  <c r="J32" i="2"/>
  <c r="J33" i="2"/>
  <c r="J30" i="2"/>
  <c r="J23" i="2"/>
  <c r="J5" i="2"/>
  <c r="J4" i="2"/>
  <c r="J13" i="1"/>
  <c r="J4" i="1"/>
  <c r="J3" i="1"/>
  <c r="J11" i="1"/>
  <c r="J25" i="1"/>
  <c r="J28" i="1"/>
  <c r="J6" i="1"/>
  <c r="J29" i="1"/>
  <c r="J30" i="1"/>
  <c r="J21" i="1"/>
  <c r="J24" i="1"/>
  <c r="J26" i="1"/>
  <c r="J12" i="1"/>
  <c r="J27" i="1"/>
  <c r="J32" i="1"/>
  <c r="J20" i="1"/>
  <c r="J8" i="1"/>
  <c r="J10" i="1"/>
  <c r="J36" i="1"/>
  <c r="J7" i="1"/>
  <c r="J9" i="1"/>
  <c r="J31" i="1"/>
  <c r="J34" i="1"/>
  <c r="J33" i="1"/>
  <c r="J35" i="1"/>
  <c r="J38" i="1"/>
</calcChain>
</file>

<file path=xl/sharedStrings.xml><?xml version="1.0" encoding="utf-8"?>
<sst xmlns="http://schemas.openxmlformats.org/spreadsheetml/2006/main" count="22" uniqueCount="16">
  <si>
    <t>f [Hz]</t>
    <phoneticPr fontId="1"/>
  </si>
  <si>
    <t>Vi</t>
    <phoneticPr fontId="1"/>
  </si>
  <si>
    <t>Vo</t>
    <phoneticPr fontId="1"/>
  </si>
  <si>
    <t>20log(Vo/Vi)</t>
    <phoneticPr fontId="1"/>
  </si>
  <si>
    <t>ΔT</t>
    <phoneticPr fontId="1"/>
  </si>
  <si>
    <t>振幅特性(dB)</t>
    <rPh sb="0" eb="4">
      <t>シンプクトクセイ</t>
    </rPh>
    <phoneticPr fontId="1"/>
  </si>
  <si>
    <t>T(1/f)</t>
    <phoneticPr fontId="1"/>
  </si>
  <si>
    <t>位相特性(°)</t>
  </si>
  <si>
    <t>位相特性(°)</t>
    <phoneticPr fontId="1"/>
  </si>
  <si>
    <t>T(f/1)</t>
    <phoneticPr fontId="1"/>
  </si>
  <si>
    <t>振幅特性(dB)</t>
  </si>
  <si>
    <t>振幅特性(dB)</t>
    <phoneticPr fontId="1"/>
  </si>
  <si>
    <t>ΔT[μs]</t>
    <phoneticPr fontId="1"/>
  </si>
  <si>
    <t>f [Hz]</t>
  </si>
  <si>
    <t>Vi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</si>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</sst>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低域フィルタ</a:t>
            </a:r>
            <a:r>
              <a:rPr lang="en-US" altLang="ja-JP"/>
              <a:t> </a:t>
            </a:r>
            <a:r>
              <a:rPr lang="ja-JP" altLang="en-US"/>
              <a:t>周波数</a:t>
            </a:r>
            <a:r>
              <a:rPr lang="en-US" altLang="ja-JP"/>
              <a:t>-</a:t>
            </a:r>
            <a:r>
              <a:rPr lang="ja-JP" altLang="en-US"/>
              <a:t>位相</a:t>
            </a:r>
            <a:r>
              <a:rPr lang="en-US" altLang="ja-JP"/>
              <a:t>,</a:t>
            </a:r>
            <a:r>
              <a:rPr lang="ja-JP" altLang="en-US"/>
              <a:t>振幅特性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振幅特性(dB)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Sheet1!$C$3:$C$38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575</c:v>
                </c:pt>
                <c:pt idx="13">
                  <c:v>600</c:v>
                </c:pt>
                <c:pt idx="14">
                  <c:v>610</c:v>
                </c:pt>
                <c:pt idx="15">
                  <c:v>625</c:v>
                </c:pt>
                <c:pt idx="16">
                  <c:v>650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30000</c:v>
                </c:pt>
                <c:pt idx="34">
                  <c:v>40000</c:v>
                </c:pt>
                <c:pt idx="35">
                  <c:v>50000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-1.2733815973875453</c:v>
                </c:pt>
                <c:pt idx="1">
                  <c:v>-1.1868379117991936</c:v>
                </c:pt>
                <c:pt idx="2">
                  <c:v>-1.2494790734498877</c:v>
                </c:pt>
                <c:pt idx="3">
                  <c:v>-1.2155166073526307</c:v>
                </c:pt>
                <c:pt idx="4">
                  <c:v>-1.1070842509909289</c:v>
                </c:pt>
                <c:pt idx="5">
                  <c:v>-1.1495901010335972</c:v>
                </c:pt>
                <c:pt idx="6">
                  <c:v>-1.0829246253392675</c:v>
                </c:pt>
                <c:pt idx="7">
                  <c:v>-0.95611363293847607</c:v>
                </c:pt>
                <c:pt idx="8">
                  <c:v>-0.48560752094159865</c:v>
                </c:pt>
                <c:pt idx="9">
                  <c:v>0</c:v>
                </c:pt>
                <c:pt idx="10">
                  <c:v>0.19968441813201845</c:v>
                </c:pt>
                <c:pt idx="11">
                  <c:v>0.45920066635009005</c:v>
                </c:pt>
                <c:pt idx="12">
                  <c:v>0.52026864729835987</c:v>
                </c:pt>
                <c:pt idx="13">
                  <c:v>0.5330438954288037</c:v>
                </c:pt>
                <c:pt idx="14">
                  <c:v>0.37400997332486741</c:v>
                </c:pt>
                <c:pt idx="15">
                  <c:v>0.16148400844928537</c:v>
                </c:pt>
                <c:pt idx="16">
                  <c:v>0</c:v>
                </c:pt>
                <c:pt idx="17">
                  <c:v>-0.11064977199922112</c:v>
                </c:pt>
                <c:pt idx="18">
                  <c:v>-0.83082012319023324</c:v>
                </c:pt>
                <c:pt idx="19">
                  <c:v>-2.3882232162811463</c:v>
                </c:pt>
                <c:pt idx="20">
                  <c:v>-4.197215808445689</c:v>
                </c:pt>
                <c:pt idx="21">
                  <c:v>-12.071664329742527</c:v>
                </c:pt>
                <c:pt idx="22">
                  <c:v>-17.279445824521755</c:v>
                </c:pt>
                <c:pt idx="23">
                  <c:v>-24.533519393164255</c:v>
                </c:pt>
                <c:pt idx="24">
                  <c:v>-29.673042437572406</c:v>
                </c:pt>
                <c:pt idx="25">
                  <c:v>-33.614323290380277</c:v>
                </c:pt>
                <c:pt idx="26">
                  <c:v>-36.81884160486198</c:v>
                </c:pt>
                <c:pt idx="27">
                  <c:v>-39.595932278234265</c:v>
                </c:pt>
                <c:pt idx="28">
                  <c:v>-41.733816956527406</c:v>
                </c:pt>
                <c:pt idx="29">
                  <c:v>-43.773607727274033</c:v>
                </c:pt>
                <c:pt idx="30">
                  <c:v>-45.575568369788911</c:v>
                </c:pt>
                <c:pt idx="31">
                  <c:v>-52.72597005078768</c:v>
                </c:pt>
                <c:pt idx="32">
                  <c:v>-57.849340294630231</c:v>
                </c:pt>
                <c:pt idx="33">
                  <c:v>-65.460025441274752</c:v>
                </c:pt>
                <c:pt idx="34">
                  <c:v>-71.450094955324928</c:v>
                </c:pt>
                <c:pt idx="35">
                  <c:v>-77.319632110795624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E-D342-A00D-9B192E74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1503"/>
        <c:axId val="367504751"/>
      </c:scatterChart>
      <c:scatterChart>
        <c:scatterStyle val="lineMarker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位相特性(°)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Sheet1!$C$3:$C$38</c:f>
              <c:numCache>
                <c:formatCode>General</c:formatCode>
                <c:ptCount val="3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575</c:v>
                </c:pt>
                <c:pt idx="13">
                  <c:v>600</c:v>
                </c:pt>
                <c:pt idx="14">
                  <c:v>610</c:v>
                </c:pt>
                <c:pt idx="15">
                  <c:v>625</c:v>
                </c:pt>
                <c:pt idx="16">
                  <c:v>650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15000</c:v>
                </c:pt>
                <c:pt idx="32">
                  <c:v>20000</c:v>
                </c:pt>
                <c:pt idx="33">
                  <c:v>30000</c:v>
                </c:pt>
                <c:pt idx="34">
                  <c:v>40000</c:v>
                </c:pt>
                <c:pt idx="35">
                  <c:v>50000</c:v>
                </c:pt>
              </c:numCache>
            </c:numRef>
          </c:xVal>
          <c:yVal>
            <c:numRef>
              <c:f>Sheet1!$J$3:$J$38</c:f>
              <c:numCache>
                <c:formatCode>General</c:formatCode>
                <c:ptCount val="36"/>
                <c:pt idx="0">
                  <c:v>-3.9599999999999995</c:v>
                </c:pt>
                <c:pt idx="1">
                  <c:v>-4.968</c:v>
                </c:pt>
                <c:pt idx="2">
                  <c:v>-5.04</c:v>
                </c:pt>
                <c:pt idx="3">
                  <c:v>-5.7599999999999989</c:v>
                </c:pt>
                <c:pt idx="4">
                  <c:v>-3.1103999999999998</c:v>
                </c:pt>
                <c:pt idx="5">
                  <c:v>-4.3128000000000002</c:v>
                </c:pt>
                <c:pt idx="6">
                  <c:v>-8.6939999999999973</c:v>
                </c:pt>
                <c:pt idx="7">
                  <c:v>-12.959999999999999</c:v>
                </c:pt>
                <c:pt idx="8">
                  <c:v>-22.032</c:v>
                </c:pt>
                <c:pt idx="9">
                  <c:v>-32.543999999999997</c:v>
                </c:pt>
                <c:pt idx="10">
                  <c:v>-44.279999999999994</c:v>
                </c:pt>
                <c:pt idx="13">
                  <c:v>-61.559999999999995</c:v>
                </c:pt>
                <c:pt idx="17">
                  <c:v>-80.388000000000005</c:v>
                </c:pt>
                <c:pt idx="18">
                  <c:v>-97.343999999999994</c:v>
                </c:pt>
                <c:pt idx="19">
                  <c:v>-111.45599999999999</c:v>
                </c:pt>
                <c:pt idx="20">
                  <c:v>-123.47999999999999</c:v>
                </c:pt>
                <c:pt idx="21">
                  <c:v>-151.19999999999999</c:v>
                </c:pt>
                <c:pt idx="22">
                  <c:v>-162</c:v>
                </c:pt>
                <c:pt idx="23">
                  <c:v>-166.10400000000001</c:v>
                </c:pt>
                <c:pt idx="24">
                  <c:v>-169.34399999999997</c:v>
                </c:pt>
                <c:pt idx="25">
                  <c:v>-172.79999999999998</c:v>
                </c:pt>
                <c:pt idx="26">
                  <c:v>-174.09599999999998</c:v>
                </c:pt>
                <c:pt idx="27">
                  <c:v>-173.87999999999997</c:v>
                </c:pt>
                <c:pt idx="28">
                  <c:v>-175.68</c:v>
                </c:pt>
                <c:pt idx="29">
                  <c:v>-174.95999999999998</c:v>
                </c:pt>
                <c:pt idx="30">
                  <c:v>-175.67999999999995</c:v>
                </c:pt>
                <c:pt idx="31">
                  <c:v>-178.19999999999996</c:v>
                </c:pt>
                <c:pt idx="32">
                  <c:v>-179.27999999999997</c:v>
                </c:pt>
                <c:pt idx="33">
                  <c:v>-183.816</c:v>
                </c:pt>
                <c:pt idx="34">
                  <c:v>-187.77599999999998</c:v>
                </c:pt>
                <c:pt idx="35">
                  <c:v>-194.39999999999998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E-D342-A00D-9B192E74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0544"/>
        <c:axId val="292994543"/>
      </c:scatterChart>
      <c:valAx>
        <c:axId val="367691503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 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504751"/>
        <c:crosses val="autoZero"/>
        <c:crossBetween val="midCat"/>
      </c:valAx>
      <c:valAx>
        <c:axId val="367504751"/>
        <c:scaling>
          <c:orientation val="minMax"/>
          <c:max val="1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振幅特性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691503"/>
        <c:crosses val="autoZero"/>
        <c:crossBetween val="midCat"/>
        <c:majorUnit val="10"/>
      </c:valAx>
      <c:valAx>
        <c:axId val="292994543"/>
        <c:scaling>
          <c:orientation val="minMax"/>
          <c:max val="0"/>
          <c:min val="-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位相特性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360544"/>
        <c:crosses val="max"/>
        <c:crossBetween val="midCat"/>
      </c:valAx>
      <c:valAx>
        <c:axId val="1920360544"/>
        <c:scaling>
          <c:logBase val="10"/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2929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高域フィルタ</a:t>
            </a:r>
            <a:r>
              <a:rPr lang="en-US" altLang="ja-JP"/>
              <a:t> </a:t>
            </a:r>
            <a:r>
              <a:rPr lang="ja-JP" altLang="en-US"/>
              <a:t>周波数</a:t>
            </a:r>
            <a:r>
              <a:rPr lang="en-US" altLang="ja-JP"/>
              <a:t>-</a:t>
            </a:r>
            <a:r>
              <a:rPr lang="ja-JP" altLang="en-US"/>
              <a:t>位相</a:t>
            </a:r>
            <a:r>
              <a:rPr lang="en-US" altLang="ja-JP"/>
              <a:t>,</a:t>
            </a:r>
            <a:r>
              <a:rPr lang="ja-JP" altLang="en-US"/>
              <a:t>振幅特性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Sheet2!$J$2</c:f>
              <c:strCache>
                <c:ptCount val="1"/>
                <c:pt idx="0">
                  <c:v>位相特性(°)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Sheet2!$C$3:$C$36</c:f>
              <c:numCache>
                <c:formatCode>General</c:formatCode>
                <c:ptCount val="3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1250</c:v>
                </c:pt>
                <c:pt idx="17">
                  <c:v>1375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15000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</c:numCache>
            </c:numRef>
          </c:xVal>
          <c:yVal>
            <c:numRef>
              <c:f>Sheet2!$J$3:$J$36</c:f>
              <c:numCache>
                <c:formatCode>General</c:formatCode>
                <c:ptCount val="34"/>
                <c:pt idx="0">
                  <c:v>97.92</c:v>
                </c:pt>
                <c:pt idx="1">
                  <c:v>98.927999999999997</c:v>
                </c:pt>
                <c:pt idx="2">
                  <c:v>99.287999999999997</c:v>
                </c:pt>
                <c:pt idx="3">
                  <c:v>100.8</c:v>
                </c:pt>
                <c:pt idx="4">
                  <c:v>102.38399999999999</c:v>
                </c:pt>
                <c:pt idx="5">
                  <c:v>104.4</c:v>
                </c:pt>
                <c:pt idx="6">
                  <c:v>111.24</c:v>
                </c:pt>
                <c:pt idx="7">
                  <c:v>116.496</c:v>
                </c:pt>
                <c:pt idx="8">
                  <c:v>124.84799999999998</c:v>
                </c:pt>
                <c:pt idx="9">
                  <c:v>129.31199999999998</c:v>
                </c:pt>
                <c:pt idx="10">
                  <c:v>131.39999999999998</c:v>
                </c:pt>
                <c:pt idx="11">
                  <c:v>129.59999999999997</c:v>
                </c:pt>
                <c:pt idx="12">
                  <c:v>126.50399999999999</c:v>
                </c:pt>
                <c:pt idx="13">
                  <c:v>123.83999999999999</c:v>
                </c:pt>
                <c:pt idx="14">
                  <c:v>115.34399999999999</c:v>
                </c:pt>
                <c:pt idx="15">
                  <c:v>106.55999999999999</c:v>
                </c:pt>
                <c:pt idx="16">
                  <c:v>76.949999999999989</c:v>
                </c:pt>
                <c:pt idx="17">
                  <c:v>61.082999999999998</c:v>
                </c:pt>
                <c:pt idx="18">
                  <c:v>48.6</c:v>
                </c:pt>
                <c:pt idx="19">
                  <c:v>33.39</c:v>
                </c:pt>
                <c:pt idx="20">
                  <c:v>23.904</c:v>
                </c:pt>
                <c:pt idx="21">
                  <c:v>12.182399999999999</c:v>
                </c:pt>
                <c:pt idx="22">
                  <c:v>8.0351999999999997</c:v>
                </c:pt>
                <c:pt idx="23">
                  <c:v>6.0839999999999987</c:v>
                </c:pt>
                <c:pt idx="24">
                  <c:v>4.7952000000000004</c:v>
                </c:pt>
                <c:pt idx="25">
                  <c:v>4.1227199999999993</c:v>
                </c:pt>
                <c:pt idx="26">
                  <c:v>3.5539199999999997</c:v>
                </c:pt>
                <c:pt idx="27">
                  <c:v>3.13632</c:v>
                </c:pt>
                <c:pt idx="28">
                  <c:v>2.8296000000000001</c:v>
                </c:pt>
                <c:pt idx="29">
                  <c:v>1.8575999999999999</c:v>
                </c:pt>
                <c:pt idx="30">
                  <c:v>1.3895999999999999</c:v>
                </c:pt>
                <c:pt idx="31">
                  <c:v>0.90503999999999996</c:v>
                </c:pt>
                <c:pt idx="32">
                  <c:v>0.67968000000000006</c:v>
                </c:pt>
                <c:pt idx="33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E-F545-BF45-0D72454C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1503"/>
        <c:axId val="367504751"/>
      </c:scatterChart>
      <c:scatterChart>
        <c:scatterStyle val="lineMarker"/>
        <c:varyColors val="0"/>
        <c:ser>
          <c:idx val="1"/>
          <c:order val="0"/>
          <c:tx>
            <c:strRef>
              <c:f>Sheet2!$I$2</c:f>
              <c:strCache>
                <c:ptCount val="1"/>
                <c:pt idx="0">
                  <c:v>振幅特性(dB)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Sheet2!$C$3:$C$36</c:f>
              <c:numCache>
                <c:formatCode>General</c:formatCode>
                <c:ptCount val="3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1250</c:v>
                </c:pt>
                <c:pt idx="17">
                  <c:v>1375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  <c:pt idx="29">
                  <c:v>15000</c:v>
                </c:pt>
                <c:pt idx="30">
                  <c:v>20000</c:v>
                </c:pt>
                <c:pt idx="31">
                  <c:v>30000</c:v>
                </c:pt>
                <c:pt idx="32">
                  <c:v>40000</c:v>
                </c:pt>
                <c:pt idx="33">
                  <c:v>50000</c:v>
                </c:pt>
              </c:numCache>
            </c:numRef>
          </c:xVal>
          <c:yVal>
            <c:numRef>
              <c:f>Sheet2!$I$3:$I$36</c:f>
              <c:numCache>
                <c:formatCode>General</c:formatCode>
                <c:ptCount val="34"/>
                <c:pt idx="0">
                  <c:v>-40.155804888525033</c:v>
                </c:pt>
                <c:pt idx="1">
                  <c:v>-38.548986657027761</c:v>
                </c:pt>
                <c:pt idx="2">
                  <c:v>-37.20676013141987</c:v>
                </c:pt>
                <c:pt idx="3">
                  <c:v>-35.870522239011954</c:v>
                </c:pt>
                <c:pt idx="4">
                  <c:v>-34.70530734397834</c:v>
                </c:pt>
                <c:pt idx="5">
                  <c:v>-33.74980373305177</c:v>
                </c:pt>
                <c:pt idx="6">
                  <c:v>-29.600803833085926</c:v>
                </c:pt>
                <c:pt idx="7">
                  <c:v>-26.426767451237883</c:v>
                </c:pt>
                <c:pt idx="8">
                  <c:v>-21.231446019788606</c:v>
                </c:pt>
                <c:pt idx="9">
                  <c:v>-16.971957779656194</c:v>
                </c:pt>
                <c:pt idx="10">
                  <c:v>-13.979400086720375</c:v>
                </c:pt>
                <c:pt idx="11">
                  <c:v>-10.247633818075567</c:v>
                </c:pt>
                <c:pt idx="12">
                  <c:v>-7.0936910790945706</c:v>
                </c:pt>
                <c:pt idx="13">
                  <c:v>-4.3971945580599563</c:v>
                </c:pt>
                <c:pt idx="14">
                  <c:v>-1.6698942674141501</c:v>
                </c:pt>
                <c:pt idx="15">
                  <c:v>0.48035956431250637</c:v>
                </c:pt>
                <c:pt idx="16">
                  <c:v>4.0438350110655179</c:v>
                </c:pt>
                <c:pt idx="17">
                  <c:v>4.4369749923271264</c:v>
                </c:pt>
                <c:pt idx="18">
                  <c:v>4.1845147875248232</c:v>
                </c:pt>
                <c:pt idx="19">
                  <c:v>3.3292837233640382</c:v>
                </c:pt>
                <c:pt idx="20">
                  <c:v>2.7634544093487645</c:v>
                </c:pt>
                <c:pt idx="21">
                  <c:v>1.2851908392392295</c:v>
                </c:pt>
                <c:pt idx="22">
                  <c:v>0.73187604552912733</c:v>
                </c:pt>
                <c:pt idx="23">
                  <c:v>0.43868591699800252</c:v>
                </c:pt>
                <c:pt idx="24">
                  <c:v>0.33729165881518142</c:v>
                </c:pt>
                <c:pt idx="25">
                  <c:v>-4.4604706080115339E-2</c:v>
                </c:pt>
                <c:pt idx="26">
                  <c:v>0.29275379966579512</c:v>
                </c:pt>
                <c:pt idx="27">
                  <c:v>0.29187866123462641</c:v>
                </c:pt>
                <c:pt idx="28">
                  <c:v>0.33411387005705429</c:v>
                </c:pt>
                <c:pt idx="29">
                  <c:v>0.1646351342323118</c:v>
                </c:pt>
                <c:pt idx="30">
                  <c:v>3.9797960293000062E-2</c:v>
                </c:pt>
                <c:pt idx="31">
                  <c:v>4.2505850042667791E-2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E-F545-BF45-0D72454C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03568"/>
        <c:axId val="220291119"/>
      </c:scatterChart>
      <c:valAx>
        <c:axId val="367691503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 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504751"/>
        <c:crosses val="autoZero"/>
        <c:crossBetween val="midCat"/>
      </c:valAx>
      <c:valAx>
        <c:axId val="367504751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位相特性</a:t>
                </a:r>
                <a:r>
                  <a:rPr lang="en-US" altLang="ja-JP"/>
                  <a:t>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691503"/>
        <c:crosses val="autoZero"/>
        <c:crossBetween val="midCat"/>
        <c:majorUnit val="10"/>
        <c:minorUnit val="10"/>
      </c:valAx>
      <c:valAx>
        <c:axId val="220291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振幅特性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[dB]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603568"/>
        <c:crosses val="max"/>
        <c:crossBetween val="midCat"/>
        <c:minorUnit val="0.5"/>
      </c:valAx>
      <c:valAx>
        <c:axId val="18376035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29111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283361</xdr:colOff>
      <xdr:row>1</xdr:row>
      <xdr:rowOff>37474</xdr:rowOff>
    </xdr:from>
    <xdr:to>
      <xdr:col>30</xdr:col>
      <xdr:colOff>537883</xdr:colOff>
      <xdr:row>33</xdr:row>
      <xdr:rowOff>59764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EE55596-72FB-C017-ADAC-11F3A48F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669889</xdr:colOff>
      <xdr:row>3</xdr:row>
      <xdr:rowOff>0</xdr:rowOff>
    </xdr:from>
    <xdr:to>
      <xdr:col>30</xdr:col>
      <xdr:colOff>348900</xdr:colOff>
      <xdr:row>34</xdr:row>
      <xdr:rowOff>102040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88EA60-5DB3-0944-88E1-37F13AEB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085F-54E0-426A-A2FD-59A6F416B4ED}">
  <dimension ref="C2:L40"/>
  <sheetViews>
    <sheetView topLeftCell="F1" zoomScale="75" zoomScaleNormal="93" workbookViewId="0">
      <selection activeCell="AI25" sqref="AI25"/>
    </sheetView>
  </sheetViews>
  <sheetFormatPr baseColWidth="10" defaultColWidth="8.83203125" defaultRowHeight="18"/>
  <cols>
    <col min="5" max="5" width="10.6640625" customWidth="1"/>
    <col min="6" max="7" width="12.1640625" customWidth="1"/>
    <col min="8" max="8" width="10.83203125" customWidth="1"/>
    <col min="9" max="9" width="13" customWidth="1"/>
    <col min="10" max="10" width="14.6640625" customWidth="1"/>
    <col min="12" max="12" width="12" customWidth="1"/>
  </cols>
  <sheetData>
    <row r="2" spans="3:12">
      <c r="C2" s="2" t="s">
        <v>0</v>
      </c>
      <c r="D2" s="2" t="s">
        <v>1</v>
      </c>
      <c r="E2" s="2" t="s">
        <v>2</v>
      </c>
      <c r="F2" s="2" t="s">
        <v>4</v>
      </c>
      <c r="G2" s="2" t="s">
        <v>12</v>
      </c>
      <c r="H2" s="2" t="s">
        <v>6</v>
      </c>
      <c r="I2" s="2" t="s">
        <v>5</v>
      </c>
      <c r="J2" s="2" t="s">
        <v>8</v>
      </c>
      <c r="L2" s="1" t="s">
        <v>3</v>
      </c>
    </row>
    <row r="3" spans="3:12">
      <c r="C3" s="2">
        <v>50</v>
      </c>
      <c r="D3" s="3">
        <v>3.0249999999999999</v>
      </c>
      <c r="E3" s="3">
        <v>2.6124999999999998</v>
      </c>
      <c r="F3" s="3">
        <f>-220*10^-6</f>
        <v>-2.1999999999999998E-4</v>
      </c>
      <c r="G3" s="3">
        <f t="shared" ref="G3:G38" si="0">F3*10^6</f>
        <v>-219.99999999999997</v>
      </c>
      <c r="H3" s="3">
        <f>1/50</f>
        <v>0.02</v>
      </c>
      <c r="I3" s="3">
        <f>20*LOG10($E3/$D3)</f>
        <v>-1.2733815973875453</v>
      </c>
      <c r="J3" s="3">
        <f t="shared" ref="J3:J13" si="1">360*F3/H3</f>
        <v>-3.9599999999999995</v>
      </c>
      <c r="L3">
        <f>20*LOG10(E3/D3)</f>
        <v>-1.2733815973875453</v>
      </c>
    </row>
    <row r="4" spans="3:12">
      <c r="C4" s="2">
        <v>60</v>
      </c>
      <c r="D4" s="3">
        <v>3.0379999999999998</v>
      </c>
      <c r="E4" s="3">
        <v>2.65</v>
      </c>
      <c r="F4" s="3">
        <f>-230*10^-6</f>
        <v>-2.2999999999999998E-4</v>
      </c>
      <c r="G4" s="3">
        <f t="shared" si="0"/>
        <v>-229.99999999999997</v>
      </c>
      <c r="H4" s="3">
        <f>1/60</f>
        <v>1.6666666666666666E-2</v>
      </c>
      <c r="I4" s="3">
        <f t="shared" ref="I4:I38" si="2">20*LOG10($E4/$D4)</f>
        <v>-1.1868379117991936</v>
      </c>
      <c r="J4" s="3">
        <f t="shared" si="1"/>
        <v>-4.968</v>
      </c>
      <c r="L4">
        <f t="shared" ref="L4:L38" si="3">20*LOG10(E4/D4)</f>
        <v>-1.1868379117991936</v>
      </c>
    </row>
    <row r="5" spans="3:12">
      <c r="C5" s="2">
        <v>70</v>
      </c>
      <c r="D5" s="3">
        <v>3.0750000000000002</v>
      </c>
      <c r="E5" s="3">
        <v>2.6629999999999998</v>
      </c>
      <c r="F5" s="3">
        <f>-200*10^-6</f>
        <v>-1.9999999999999998E-4</v>
      </c>
      <c r="G5" s="3">
        <f t="shared" si="0"/>
        <v>-199.99999999999997</v>
      </c>
      <c r="H5" s="3">
        <f>1/70</f>
        <v>1.4285714285714285E-2</v>
      </c>
      <c r="I5" s="3">
        <f t="shared" si="2"/>
        <v>-1.2494790734498877</v>
      </c>
      <c r="J5" s="3">
        <f t="shared" si="1"/>
        <v>-5.04</v>
      </c>
      <c r="L5">
        <f t="shared" si="3"/>
        <v>-1.2494790734498877</v>
      </c>
    </row>
    <row r="6" spans="3:12">
      <c r="C6" s="2">
        <v>80</v>
      </c>
      <c r="D6" s="3">
        <v>3.0630000000000002</v>
      </c>
      <c r="E6" s="3">
        <v>2.6629999999999998</v>
      </c>
      <c r="F6" s="3">
        <f>-200*10^-6</f>
        <v>-1.9999999999999998E-4</v>
      </c>
      <c r="G6" s="3">
        <f t="shared" si="0"/>
        <v>-199.99999999999997</v>
      </c>
      <c r="H6" s="3">
        <f>1/80</f>
        <v>1.2500000000000001E-2</v>
      </c>
      <c r="I6" s="3">
        <f t="shared" si="2"/>
        <v>-1.2155166073526307</v>
      </c>
      <c r="J6" s="3">
        <f t="shared" si="1"/>
        <v>-5.7599999999999989</v>
      </c>
      <c r="L6">
        <f t="shared" si="3"/>
        <v>-1.2155166073526307</v>
      </c>
    </row>
    <row r="7" spans="3:12">
      <c r="C7" s="2">
        <v>90</v>
      </c>
      <c r="D7" s="3">
        <v>3.0249999999999999</v>
      </c>
      <c r="E7" s="3">
        <v>2.6629999999999998</v>
      </c>
      <c r="F7" s="3">
        <f>-96*10^-6</f>
        <v>-9.6000000000000002E-5</v>
      </c>
      <c r="G7" s="3">
        <f t="shared" si="0"/>
        <v>-96</v>
      </c>
      <c r="H7" s="3">
        <f>1/90</f>
        <v>1.1111111111111112E-2</v>
      </c>
      <c r="I7" s="3">
        <f t="shared" si="2"/>
        <v>-1.1070842509909289</v>
      </c>
      <c r="J7" s="3">
        <f t="shared" si="1"/>
        <v>-3.1103999999999998</v>
      </c>
      <c r="L7">
        <f t="shared" si="3"/>
        <v>-1.1070842509909289</v>
      </c>
    </row>
    <row r="8" spans="3:12">
      <c r="C8" s="2">
        <v>100</v>
      </c>
      <c r="D8" s="3">
        <v>3.0249999999999999</v>
      </c>
      <c r="E8" s="3">
        <v>2.65</v>
      </c>
      <c r="F8" s="3">
        <f>-119.8*10^-6</f>
        <v>-1.198E-4</v>
      </c>
      <c r="G8" s="3">
        <f t="shared" si="0"/>
        <v>-119.8</v>
      </c>
      <c r="H8" s="3">
        <f>1/100</f>
        <v>0.01</v>
      </c>
      <c r="I8" s="3">
        <f t="shared" si="2"/>
        <v>-1.1495901010335972</v>
      </c>
      <c r="J8" s="3">
        <f t="shared" si="1"/>
        <v>-4.3128000000000002</v>
      </c>
      <c r="L8">
        <f t="shared" si="3"/>
        <v>-1.1495901010335972</v>
      </c>
    </row>
    <row r="9" spans="3:12">
      <c r="C9" s="2">
        <v>150</v>
      </c>
      <c r="D9" s="3">
        <v>2.875</v>
      </c>
      <c r="E9" s="3">
        <v>2.5379999999999998</v>
      </c>
      <c r="F9" s="3">
        <f>-161*10^-6</f>
        <v>-1.6099999999999998E-4</v>
      </c>
      <c r="G9" s="3">
        <f t="shared" si="0"/>
        <v>-160.99999999999997</v>
      </c>
      <c r="H9" s="3">
        <f>1/150</f>
        <v>6.6666666666666671E-3</v>
      </c>
      <c r="I9" s="3">
        <f t="shared" si="2"/>
        <v>-1.0829246253392675</v>
      </c>
      <c r="J9" s="3">
        <f t="shared" si="1"/>
        <v>-8.6939999999999973</v>
      </c>
      <c r="L9">
        <f t="shared" si="3"/>
        <v>-1.0829246253392675</v>
      </c>
    </row>
    <row r="10" spans="3:12">
      <c r="C10" s="2">
        <v>200</v>
      </c>
      <c r="D10" s="3">
        <v>2.7629999999999999</v>
      </c>
      <c r="E10" s="3">
        <v>2.4750000000000001</v>
      </c>
      <c r="F10" s="3">
        <f>-180*10^-6</f>
        <v>-1.7999999999999998E-4</v>
      </c>
      <c r="G10" s="3">
        <f t="shared" si="0"/>
        <v>-179.99999999999997</v>
      </c>
      <c r="H10" s="3">
        <f>1/200</f>
        <v>5.0000000000000001E-3</v>
      </c>
      <c r="I10" s="3">
        <f t="shared" si="2"/>
        <v>-0.95611363293847607</v>
      </c>
      <c r="J10" s="3">
        <f t="shared" si="1"/>
        <v>-12.959999999999999</v>
      </c>
      <c r="L10">
        <f t="shared" si="3"/>
        <v>-0.95611363293847607</v>
      </c>
    </row>
    <row r="11" spans="3:12">
      <c r="C11" s="2">
        <v>300</v>
      </c>
      <c r="D11" s="3">
        <v>2.5379999999999998</v>
      </c>
      <c r="E11" s="3">
        <v>2.4</v>
      </c>
      <c r="F11" s="3">
        <f>-204*10^-6</f>
        <v>-2.04E-4</v>
      </c>
      <c r="G11" s="3">
        <f t="shared" si="0"/>
        <v>-204</v>
      </c>
      <c r="H11" s="3">
        <f>1/300</f>
        <v>3.3333333333333335E-3</v>
      </c>
      <c r="I11" s="3">
        <f t="shared" si="2"/>
        <v>-0.48560752094159865</v>
      </c>
      <c r="J11" s="3">
        <f t="shared" si="1"/>
        <v>-22.032</v>
      </c>
      <c r="L11">
        <f t="shared" si="3"/>
        <v>-0.48560752094159865</v>
      </c>
    </row>
    <row r="12" spans="3:12">
      <c r="C12" s="2">
        <v>400</v>
      </c>
      <c r="D12" s="3">
        <v>2.3130000000000002</v>
      </c>
      <c r="E12" s="3">
        <v>2.3130000000000002</v>
      </c>
      <c r="F12" s="3">
        <f>-226*10^-6</f>
        <v>-2.2599999999999999E-4</v>
      </c>
      <c r="G12" s="3">
        <f t="shared" si="0"/>
        <v>-226</v>
      </c>
      <c r="H12" s="3">
        <f>1/400</f>
        <v>2.5000000000000001E-3</v>
      </c>
      <c r="I12" s="3">
        <f t="shared" si="2"/>
        <v>0</v>
      </c>
      <c r="J12" s="3">
        <f t="shared" si="1"/>
        <v>-32.543999999999997</v>
      </c>
      <c r="L12">
        <f t="shared" si="3"/>
        <v>0</v>
      </c>
    </row>
    <row r="13" spans="3:12">
      <c r="C13" s="2">
        <v>500</v>
      </c>
      <c r="D13" s="3">
        <v>2.15</v>
      </c>
      <c r="E13" s="3">
        <v>2.2000000000000002</v>
      </c>
      <c r="F13" s="3">
        <f>-246*10^-6</f>
        <v>-2.4599999999999996E-4</v>
      </c>
      <c r="G13" s="3">
        <f t="shared" si="0"/>
        <v>-245.99999999999997</v>
      </c>
      <c r="H13" s="3">
        <f>1/500</f>
        <v>2E-3</v>
      </c>
      <c r="I13" s="3">
        <f t="shared" si="2"/>
        <v>0.19968441813201845</v>
      </c>
      <c r="J13" s="3">
        <f t="shared" si="1"/>
        <v>-44.279999999999994</v>
      </c>
      <c r="L13">
        <f t="shared" si="3"/>
        <v>0.19968441813201845</v>
      </c>
    </row>
    <row r="14" spans="3:12">
      <c r="C14" s="2">
        <v>550</v>
      </c>
      <c r="D14" s="3">
        <v>2.0630000000000002</v>
      </c>
      <c r="E14" s="3">
        <v>2.1749999999999998</v>
      </c>
      <c r="F14" s="3"/>
      <c r="G14" s="3">
        <f t="shared" si="0"/>
        <v>0</v>
      </c>
      <c r="H14" s="3"/>
      <c r="I14" s="3">
        <f t="shared" si="2"/>
        <v>0.45920066635009005</v>
      </c>
      <c r="J14" s="3"/>
      <c r="L14">
        <f t="shared" si="3"/>
        <v>0.45920066635009005</v>
      </c>
    </row>
    <row r="15" spans="3:12">
      <c r="C15" s="2">
        <v>575</v>
      </c>
      <c r="D15" s="3">
        <v>2.0249999999999999</v>
      </c>
      <c r="E15" s="3">
        <v>2.15</v>
      </c>
      <c r="F15" s="3"/>
      <c r="G15" s="3">
        <f t="shared" si="0"/>
        <v>0</v>
      </c>
      <c r="H15" s="3"/>
      <c r="I15" s="3">
        <f t="shared" si="2"/>
        <v>0.52026864729835987</v>
      </c>
      <c r="J15" s="3"/>
      <c r="L15">
        <f t="shared" si="3"/>
        <v>0.52026864729835987</v>
      </c>
    </row>
    <row r="16" spans="3:12">
      <c r="C16" s="2">
        <v>600</v>
      </c>
      <c r="D16" s="3">
        <v>1.9750000000000001</v>
      </c>
      <c r="E16" s="3">
        <v>2.1</v>
      </c>
      <c r="F16" s="3">
        <f>-285*10^-6</f>
        <v>-2.8499999999999999E-4</v>
      </c>
      <c r="G16" s="3">
        <f t="shared" si="0"/>
        <v>-285</v>
      </c>
      <c r="H16" s="3">
        <f>1/600</f>
        <v>1.6666666666666668E-3</v>
      </c>
      <c r="I16" s="3">
        <f t="shared" si="2"/>
        <v>0.5330438954288037</v>
      </c>
      <c r="J16" s="3">
        <f>360*F16/H16</f>
        <v>-61.559999999999995</v>
      </c>
      <c r="L16">
        <f t="shared" si="3"/>
        <v>0.5330438954288037</v>
      </c>
    </row>
    <row r="17" spans="3:12">
      <c r="C17" s="2">
        <v>610</v>
      </c>
      <c r="D17" s="3">
        <v>2</v>
      </c>
      <c r="E17" s="3">
        <v>2.0880000000000001</v>
      </c>
      <c r="F17" s="3"/>
      <c r="G17" s="3">
        <f t="shared" si="0"/>
        <v>0</v>
      </c>
      <c r="H17" s="3"/>
      <c r="I17" s="3">
        <f t="shared" si="2"/>
        <v>0.37400997332486741</v>
      </c>
      <c r="J17" s="3"/>
      <c r="L17">
        <f t="shared" si="3"/>
        <v>0.37400997332486741</v>
      </c>
    </row>
    <row r="18" spans="3:12">
      <c r="C18" s="2">
        <v>625</v>
      </c>
      <c r="D18" s="3">
        <v>2.0249999999999999</v>
      </c>
      <c r="E18" s="3">
        <v>2.0630000000000002</v>
      </c>
      <c r="F18" s="3"/>
      <c r="G18" s="3">
        <f t="shared" si="0"/>
        <v>0</v>
      </c>
      <c r="H18" s="3"/>
      <c r="I18" s="3">
        <f t="shared" si="2"/>
        <v>0.16148400844928537</v>
      </c>
      <c r="J18" s="3"/>
      <c r="L18">
        <f t="shared" si="3"/>
        <v>0.16148400844928537</v>
      </c>
    </row>
    <row r="19" spans="3:12">
      <c r="C19" s="2">
        <v>650</v>
      </c>
      <c r="D19" s="3">
        <v>2.0249999999999999</v>
      </c>
      <c r="E19" s="3">
        <v>2.0249999999999999</v>
      </c>
      <c r="F19" s="3"/>
      <c r="G19" s="3">
        <f t="shared" si="0"/>
        <v>0</v>
      </c>
      <c r="H19" s="3"/>
      <c r="I19" s="3">
        <f t="shared" si="2"/>
        <v>0</v>
      </c>
      <c r="J19" s="3"/>
      <c r="L19">
        <f t="shared" si="3"/>
        <v>0</v>
      </c>
    </row>
    <row r="20" spans="3:12">
      <c r="C20" s="2">
        <v>700</v>
      </c>
      <c r="D20" s="3">
        <v>1.9750000000000001</v>
      </c>
      <c r="E20" s="3">
        <v>1.95</v>
      </c>
      <c r="F20" s="3">
        <f>-319*10^-6</f>
        <v>-3.19E-4</v>
      </c>
      <c r="G20" s="3">
        <f t="shared" si="0"/>
        <v>-319</v>
      </c>
      <c r="H20" s="3">
        <f>1/700</f>
        <v>1.4285714285714286E-3</v>
      </c>
      <c r="I20" s="3">
        <f t="shared" si="2"/>
        <v>-0.11064977199922112</v>
      </c>
      <c r="J20" s="3">
        <f t="shared" ref="J20:J38" si="4">360*F20/H20</f>
        <v>-80.388000000000005</v>
      </c>
      <c r="L20">
        <f t="shared" si="3"/>
        <v>-0.11064977199922112</v>
      </c>
    </row>
    <row r="21" spans="3:12">
      <c r="C21" s="2">
        <v>800</v>
      </c>
      <c r="D21" s="3">
        <v>2.0499999999999998</v>
      </c>
      <c r="E21" s="3">
        <v>1.863</v>
      </c>
      <c r="F21" s="3">
        <f>-338*10^-6</f>
        <v>-3.3799999999999998E-4</v>
      </c>
      <c r="G21" s="3">
        <f t="shared" si="0"/>
        <v>-338</v>
      </c>
      <c r="H21" s="3">
        <f>1/800</f>
        <v>1.25E-3</v>
      </c>
      <c r="I21" s="3">
        <f t="shared" si="2"/>
        <v>-0.83082012319023324</v>
      </c>
      <c r="J21" s="3">
        <f t="shared" si="4"/>
        <v>-97.343999999999994</v>
      </c>
      <c r="L21">
        <f t="shared" si="3"/>
        <v>-0.83082012319023324</v>
      </c>
    </row>
    <row r="22" spans="3:12">
      <c r="C22" s="2">
        <v>900</v>
      </c>
      <c r="D22" s="3">
        <v>2.238</v>
      </c>
      <c r="E22" s="3">
        <v>1.7</v>
      </c>
      <c r="F22" s="3">
        <f>-344*10^-6</f>
        <v>-3.4399999999999996E-4</v>
      </c>
      <c r="G22" s="3">
        <f t="shared" si="0"/>
        <v>-343.99999999999994</v>
      </c>
      <c r="H22" s="3">
        <f>1/900</f>
        <v>1.1111111111111111E-3</v>
      </c>
      <c r="I22" s="3">
        <f t="shared" si="2"/>
        <v>-2.3882232162811463</v>
      </c>
      <c r="J22" s="3">
        <f t="shared" si="4"/>
        <v>-111.45599999999999</v>
      </c>
      <c r="L22">
        <f t="shared" si="3"/>
        <v>-2.3882232162811463</v>
      </c>
    </row>
    <row r="23" spans="3:12">
      <c r="C23" s="2">
        <v>1000</v>
      </c>
      <c r="D23" s="3">
        <v>2.5129999999999999</v>
      </c>
      <c r="E23" s="3">
        <v>1.55</v>
      </c>
      <c r="F23" s="3">
        <f>-343*10^-6</f>
        <v>-3.4299999999999999E-4</v>
      </c>
      <c r="G23" s="3">
        <f t="shared" si="0"/>
        <v>-343</v>
      </c>
      <c r="H23" s="3">
        <f>1/1000</f>
        <v>1E-3</v>
      </c>
      <c r="I23" s="3">
        <f t="shared" si="2"/>
        <v>-4.197215808445689</v>
      </c>
      <c r="J23" s="3">
        <f t="shared" si="4"/>
        <v>-123.47999999999999</v>
      </c>
      <c r="L23">
        <f t="shared" si="3"/>
        <v>-4.197215808445689</v>
      </c>
    </row>
    <row r="24" spans="3:12">
      <c r="C24" s="2">
        <v>1500</v>
      </c>
      <c r="D24" s="3">
        <v>3.7130000000000001</v>
      </c>
      <c r="E24" s="3">
        <v>0.92500000000000004</v>
      </c>
      <c r="F24" s="3">
        <f>-280*10^-6</f>
        <v>-2.7999999999999998E-4</v>
      </c>
      <c r="G24" s="3">
        <f t="shared" si="0"/>
        <v>-280</v>
      </c>
      <c r="H24" s="3">
        <f>1/1500</f>
        <v>6.6666666666666664E-4</v>
      </c>
      <c r="I24" s="3">
        <f t="shared" si="2"/>
        <v>-12.071664329742527</v>
      </c>
      <c r="J24" s="3">
        <f t="shared" si="4"/>
        <v>-151.19999999999999</v>
      </c>
      <c r="L24">
        <f t="shared" si="3"/>
        <v>-12.071664329742527</v>
      </c>
    </row>
    <row r="25" spans="3:12">
      <c r="C25" s="2">
        <v>2000</v>
      </c>
      <c r="D25" s="3">
        <v>4.3499999999999996</v>
      </c>
      <c r="E25" s="3">
        <v>0.59499999999999997</v>
      </c>
      <c r="F25" s="3">
        <f>-225*10^-6</f>
        <v>-2.2499999999999999E-4</v>
      </c>
      <c r="G25" s="3">
        <f t="shared" si="0"/>
        <v>-225</v>
      </c>
      <c r="H25" s="3">
        <f>1/2000</f>
        <v>5.0000000000000001E-4</v>
      </c>
      <c r="I25" s="3">
        <f t="shared" si="2"/>
        <v>-17.279445824521755</v>
      </c>
      <c r="J25" s="3">
        <f t="shared" si="4"/>
        <v>-162</v>
      </c>
      <c r="L25">
        <f t="shared" si="3"/>
        <v>-17.279445824521755</v>
      </c>
    </row>
    <row r="26" spans="3:12">
      <c r="C26" s="2">
        <v>3000</v>
      </c>
      <c r="D26" s="3">
        <v>4.8250000000000002</v>
      </c>
      <c r="E26" s="3">
        <v>0.2863</v>
      </c>
      <c r="F26" s="3">
        <f>-153.8*10^-6</f>
        <v>-1.538E-4</v>
      </c>
      <c r="G26" s="3">
        <f t="shared" si="0"/>
        <v>-153.80000000000001</v>
      </c>
      <c r="H26" s="3">
        <f>1/3000</f>
        <v>3.3333333333333332E-4</v>
      </c>
      <c r="I26" s="3">
        <f t="shared" si="2"/>
        <v>-24.533519393164255</v>
      </c>
      <c r="J26" s="3">
        <f t="shared" si="4"/>
        <v>-166.10400000000001</v>
      </c>
      <c r="L26">
        <f t="shared" si="3"/>
        <v>-24.533519393164255</v>
      </c>
    </row>
    <row r="27" spans="3:12">
      <c r="C27" s="2">
        <v>4000</v>
      </c>
      <c r="D27" s="3">
        <v>5.0250000000000004</v>
      </c>
      <c r="E27" s="3">
        <v>0.16500000000000001</v>
      </c>
      <c r="F27" s="3">
        <f>-117.6*10^-6</f>
        <v>-1.1759999999999999E-4</v>
      </c>
      <c r="G27" s="3">
        <f t="shared" si="0"/>
        <v>-117.59999999999998</v>
      </c>
      <c r="H27" s="3">
        <f>1/4000</f>
        <v>2.5000000000000001E-4</v>
      </c>
      <c r="I27" s="3">
        <f t="shared" si="2"/>
        <v>-29.673042437572406</v>
      </c>
      <c r="J27" s="3">
        <f t="shared" si="4"/>
        <v>-169.34399999999997</v>
      </c>
      <c r="L27">
        <f t="shared" si="3"/>
        <v>-29.673042437572406</v>
      </c>
    </row>
    <row r="28" spans="3:12">
      <c r="C28" s="2">
        <v>5000</v>
      </c>
      <c r="D28" s="3">
        <v>5.125</v>
      </c>
      <c r="E28" s="3">
        <v>0.1069</v>
      </c>
      <c r="F28" s="3">
        <f>-96*10^-6</f>
        <v>-9.6000000000000002E-5</v>
      </c>
      <c r="G28" s="3">
        <f t="shared" si="0"/>
        <v>-96</v>
      </c>
      <c r="H28" s="3">
        <f>1/5000</f>
        <v>2.0000000000000001E-4</v>
      </c>
      <c r="I28" s="3">
        <f t="shared" si="2"/>
        <v>-33.614323290380277</v>
      </c>
      <c r="J28" s="3">
        <f t="shared" si="4"/>
        <v>-172.79999999999998</v>
      </c>
      <c r="L28">
        <f t="shared" si="3"/>
        <v>-33.614323290380277</v>
      </c>
    </row>
    <row r="29" spans="3:12">
      <c r="C29" s="2">
        <v>6000</v>
      </c>
      <c r="D29" s="3">
        <v>5.2</v>
      </c>
      <c r="E29" s="3">
        <v>7.4999999999999997E-2</v>
      </c>
      <c r="F29" s="3">
        <f>-80.6*10^-6</f>
        <v>-8.0599999999999994E-5</v>
      </c>
      <c r="G29" s="3">
        <f t="shared" si="0"/>
        <v>-80.599999999999994</v>
      </c>
      <c r="H29" s="3">
        <f>1/6000</f>
        <v>1.6666666666666666E-4</v>
      </c>
      <c r="I29" s="3">
        <f t="shared" si="2"/>
        <v>-36.81884160486198</v>
      </c>
      <c r="J29" s="3">
        <f t="shared" si="4"/>
        <v>-174.09599999999998</v>
      </c>
      <c r="L29">
        <f t="shared" si="3"/>
        <v>-36.81884160486198</v>
      </c>
    </row>
    <row r="30" spans="3:12">
      <c r="C30" s="2">
        <v>7000</v>
      </c>
      <c r="D30" s="3">
        <v>5.25</v>
      </c>
      <c r="E30" s="3">
        <v>5.5E-2</v>
      </c>
      <c r="F30" s="3">
        <f>-69*10^-6</f>
        <v>-6.8999999999999997E-5</v>
      </c>
      <c r="G30" s="3">
        <f t="shared" si="0"/>
        <v>-69</v>
      </c>
      <c r="H30" s="3">
        <f>1/7000</f>
        <v>1.4285714285714287E-4</v>
      </c>
      <c r="I30" s="3">
        <f t="shared" si="2"/>
        <v>-39.595932278234265</v>
      </c>
      <c r="J30" s="3">
        <f t="shared" si="4"/>
        <v>-173.87999999999997</v>
      </c>
      <c r="L30">
        <f t="shared" si="3"/>
        <v>-39.595932278234265</v>
      </c>
    </row>
    <row r="31" spans="3:12">
      <c r="C31" s="2">
        <v>8000</v>
      </c>
      <c r="D31" s="3">
        <v>5.25</v>
      </c>
      <c r="E31" s="3">
        <v>4.2999999999999997E-2</v>
      </c>
      <c r="F31" s="3">
        <f>-61*10^-6</f>
        <v>-6.0999999999999999E-5</v>
      </c>
      <c r="G31" s="3">
        <f t="shared" si="0"/>
        <v>-61</v>
      </c>
      <c r="H31" s="3">
        <f>1/8000</f>
        <v>1.25E-4</v>
      </c>
      <c r="I31" s="3">
        <f t="shared" si="2"/>
        <v>-41.733816956527406</v>
      </c>
      <c r="J31" s="3">
        <f t="shared" si="4"/>
        <v>-175.68</v>
      </c>
      <c r="L31">
        <f t="shared" si="3"/>
        <v>-41.733816956527406</v>
      </c>
    </row>
    <row r="32" spans="3:12">
      <c r="C32" s="2">
        <v>9000</v>
      </c>
      <c r="D32" s="3">
        <v>5.25</v>
      </c>
      <c r="E32" s="3">
        <v>3.4000000000000002E-2</v>
      </c>
      <c r="F32" s="3">
        <f>-54*10^-6</f>
        <v>-5.3999999999999998E-5</v>
      </c>
      <c r="G32" s="3">
        <f t="shared" si="0"/>
        <v>-54</v>
      </c>
      <c r="H32" s="3">
        <f>1/9000</f>
        <v>1.1111111111111112E-4</v>
      </c>
      <c r="I32" s="3">
        <f t="shared" si="2"/>
        <v>-43.773607727274033</v>
      </c>
      <c r="J32" s="3">
        <f t="shared" si="4"/>
        <v>-174.95999999999998</v>
      </c>
      <c r="L32">
        <f t="shared" si="3"/>
        <v>-43.773607727274033</v>
      </c>
    </row>
    <row r="33" spans="3:12">
      <c r="C33" s="2">
        <v>10000</v>
      </c>
      <c r="D33" s="3">
        <v>5.25</v>
      </c>
      <c r="E33" s="3">
        <v>2.7629999999999998E-2</v>
      </c>
      <c r="F33" s="3">
        <f>-48.8*10^-6</f>
        <v>-4.8799999999999994E-5</v>
      </c>
      <c r="G33" s="3">
        <f t="shared" si="0"/>
        <v>-48.79999999999999</v>
      </c>
      <c r="H33" s="3">
        <f>1/10000</f>
        <v>1E-4</v>
      </c>
      <c r="I33" s="3">
        <f t="shared" si="2"/>
        <v>-45.575568369788911</v>
      </c>
      <c r="J33" s="3">
        <f t="shared" si="4"/>
        <v>-175.67999999999995</v>
      </c>
      <c r="L33">
        <f t="shared" si="3"/>
        <v>-45.575568369788911</v>
      </c>
    </row>
    <row r="34" spans="3:12">
      <c r="C34" s="2">
        <v>15000</v>
      </c>
      <c r="D34" s="3">
        <v>5.25</v>
      </c>
      <c r="E34" s="3">
        <v>1.213E-2</v>
      </c>
      <c r="F34" s="3">
        <f>-33*10^-6</f>
        <v>-3.2999999999999996E-5</v>
      </c>
      <c r="G34" s="3">
        <f t="shared" si="0"/>
        <v>-32.999999999999993</v>
      </c>
      <c r="H34" s="3">
        <f>1/15000</f>
        <v>6.666666666666667E-5</v>
      </c>
      <c r="I34" s="3">
        <f t="shared" si="2"/>
        <v>-52.72597005078768</v>
      </c>
      <c r="J34" s="3">
        <f t="shared" si="4"/>
        <v>-178.19999999999996</v>
      </c>
      <c r="L34">
        <f t="shared" si="3"/>
        <v>-52.72597005078768</v>
      </c>
    </row>
    <row r="35" spans="3:12">
      <c r="C35" s="2">
        <v>20000</v>
      </c>
      <c r="D35" s="3">
        <v>5.25</v>
      </c>
      <c r="E35" s="3">
        <v>6.7250000000000001E-3</v>
      </c>
      <c r="F35" s="3">
        <f>-24.9*10^-6</f>
        <v>-2.4899999999999999E-5</v>
      </c>
      <c r="G35" s="3">
        <f t="shared" si="0"/>
        <v>-24.9</v>
      </c>
      <c r="H35" s="3">
        <f>1/20000</f>
        <v>5.0000000000000002E-5</v>
      </c>
      <c r="I35" s="3">
        <f t="shared" si="2"/>
        <v>-57.849340294630231</v>
      </c>
      <c r="J35" s="3">
        <f t="shared" si="4"/>
        <v>-179.27999999999997</v>
      </c>
      <c r="L35">
        <f t="shared" si="3"/>
        <v>-57.849340294630231</v>
      </c>
    </row>
    <row r="36" spans="3:12">
      <c r="C36" s="2">
        <v>30000</v>
      </c>
      <c r="D36" s="3">
        <v>5.25</v>
      </c>
      <c r="E36" s="3">
        <f>2.8*10^-3</f>
        <v>2.8E-3</v>
      </c>
      <c r="F36" s="3">
        <f>-17.02*10^-6</f>
        <v>-1.702E-5</v>
      </c>
      <c r="G36" s="3">
        <f t="shared" si="0"/>
        <v>-17.02</v>
      </c>
      <c r="H36" s="3">
        <f>1/30000</f>
        <v>3.3333333333333335E-5</v>
      </c>
      <c r="I36" s="3">
        <f t="shared" si="2"/>
        <v>-65.460025441274752</v>
      </c>
      <c r="J36" s="3">
        <f t="shared" si="4"/>
        <v>-183.816</v>
      </c>
      <c r="L36">
        <f t="shared" si="3"/>
        <v>-65.460025441274752</v>
      </c>
    </row>
    <row r="37" spans="3:12">
      <c r="C37" s="2">
        <v>40000</v>
      </c>
      <c r="D37" s="3">
        <v>5.3250000000000002</v>
      </c>
      <c r="E37" s="3">
        <f>1.425*10^-3</f>
        <v>1.4250000000000001E-3</v>
      </c>
      <c r="F37" s="3">
        <f>-13.04*10^-6</f>
        <v>-1.3039999999999999E-5</v>
      </c>
      <c r="G37" s="3">
        <f t="shared" si="0"/>
        <v>-13.04</v>
      </c>
      <c r="H37" s="3">
        <f>1/40000</f>
        <v>2.5000000000000001E-5</v>
      </c>
      <c r="I37" s="3">
        <f t="shared" si="2"/>
        <v>-71.450094955324928</v>
      </c>
      <c r="J37" s="3">
        <f t="shared" si="4"/>
        <v>-187.77599999999998</v>
      </c>
      <c r="L37">
        <f t="shared" si="3"/>
        <v>-71.450094955324928</v>
      </c>
    </row>
    <row r="38" spans="3:12">
      <c r="C38" s="2">
        <v>50000</v>
      </c>
      <c r="D38" s="3">
        <v>5.3250000000000002</v>
      </c>
      <c r="E38" s="3">
        <f>725*10^-6</f>
        <v>7.2499999999999995E-4</v>
      </c>
      <c r="F38" s="3">
        <f>-10.8*10^-6</f>
        <v>-1.08E-5</v>
      </c>
      <c r="G38" s="3">
        <f t="shared" si="0"/>
        <v>-10.8</v>
      </c>
      <c r="H38" s="3">
        <f>1/50000</f>
        <v>2.0000000000000002E-5</v>
      </c>
      <c r="I38" s="3">
        <f t="shared" si="2"/>
        <v>-77.319632110795624</v>
      </c>
      <c r="J38" s="3">
        <f t="shared" si="4"/>
        <v>-194.39999999999998</v>
      </c>
      <c r="L38">
        <f t="shared" si="3"/>
        <v>-77.319632110795624</v>
      </c>
    </row>
    <row r="40" spans="3:12">
      <c r="C40" s="1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E25A-4F88-45DC-9CDE-6C22BE39BC50}">
  <dimension ref="C1:AK37"/>
  <sheetViews>
    <sheetView tabSelected="1" topLeftCell="O1" zoomScale="75" zoomScaleNormal="57" workbookViewId="0">
      <selection activeCell="AE23" sqref="AE23"/>
    </sheetView>
  </sheetViews>
  <sheetFormatPr baseColWidth="10" defaultColWidth="8.83203125" defaultRowHeight="18"/>
  <cols>
    <col min="6" max="7" width="15" customWidth="1"/>
    <col min="8" max="8" width="14" customWidth="1"/>
    <col min="9" max="9" width="15.5" customWidth="1"/>
    <col min="10" max="10" width="25.1640625" customWidth="1"/>
  </cols>
  <sheetData>
    <row r="1" spans="3:37">
      <c r="F1" s="1"/>
      <c r="G1" s="1"/>
      <c r="I1" s="1"/>
      <c r="J1" s="1"/>
    </row>
    <row r="2" spans="3:37">
      <c r="C2" s="1" t="s">
        <v>0</v>
      </c>
      <c r="D2" s="1" t="s">
        <v>1</v>
      </c>
      <c r="E2" s="1" t="s">
        <v>2</v>
      </c>
      <c r="F2" s="1" t="s">
        <v>4</v>
      </c>
      <c r="G2" s="1"/>
      <c r="H2" s="1" t="s">
        <v>9</v>
      </c>
      <c r="I2" s="1" t="s">
        <v>11</v>
      </c>
      <c r="J2" s="1" t="s">
        <v>8</v>
      </c>
    </row>
    <row r="3" spans="3:37">
      <c r="C3" s="1">
        <v>50</v>
      </c>
      <c r="D3">
        <v>5.625</v>
      </c>
      <c r="E3">
        <f>55.25*10^-3</f>
        <v>5.525E-2</v>
      </c>
      <c r="F3">
        <f>5.44*10^-3</f>
        <v>5.4400000000000004E-3</v>
      </c>
      <c r="G3">
        <f>F3*10^6</f>
        <v>5440</v>
      </c>
      <c r="H3">
        <f>1/50</f>
        <v>0.02</v>
      </c>
      <c r="I3">
        <f>20*LOG10($E3/$D3)</f>
        <v>-40.155804888525033</v>
      </c>
      <c r="J3">
        <f>360*F3/H3</f>
        <v>97.92</v>
      </c>
      <c r="AF3" s="5" t="s">
        <v>13</v>
      </c>
      <c r="AG3" s="5" t="s">
        <v>14</v>
      </c>
      <c r="AH3" s="5" t="s">
        <v>15</v>
      </c>
      <c r="AI3" s="5" t="s">
        <v>12</v>
      </c>
      <c r="AJ3" s="5" t="s">
        <v>10</v>
      </c>
      <c r="AK3" s="5" t="s">
        <v>7</v>
      </c>
    </row>
    <row r="4" spans="3:37">
      <c r="C4" s="1">
        <v>60</v>
      </c>
      <c r="D4">
        <v>5.7750000000000004</v>
      </c>
      <c r="E4">
        <f>68.25*10^-3</f>
        <v>6.8250000000000005E-2</v>
      </c>
      <c r="F4">
        <f>4.58*10^-3</f>
        <v>4.5799999999999999E-3</v>
      </c>
      <c r="G4">
        <f t="shared" ref="G4:G36" si="0">F4*10^6</f>
        <v>4580</v>
      </c>
      <c r="H4">
        <f>1/60</f>
        <v>1.6666666666666666E-2</v>
      </c>
      <c r="I4">
        <f t="shared" ref="I4:I36" si="1">20*LOG10($E4/$D4)</f>
        <v>-38.548986657027761</v>
      </c>
      <c r="J4">
        <f t="shared" ref="J4:J36" si="2">360*F4/H4</f>
        <v>98.927999999999997</v>
      </c>
      <c r="AF4" s="5">
        <v>50</v>
      </c>
      <c r="AG4" s="4">
        <v>5.625</v>
      </c>
      <c r="AH4" s="4">
        <v>5.525E-2</v>
      </c>
      <c r="AI4" s="4">
        <v>5440</v>
      </c>
      <c r="AJ4" s="4">
        <v>-40.155804889999999</v>
      </c>
      <c r="AK4" s="4">
        <v>97.92</v>
      </c>
    </row>
    <row r="5" spans="3:37">
      <c r="C5" s="1">
        <v>70</v>
      </c>
      <c r="D5">
        <v>5.8</v>
      </c>
      <c r="E5">
        <f>80*10^-3</f>
        <v>0.08</v>
      </c>
      <c r="F5">
        <f>3.94*10^-3</f>
        <v>3.9399999999999999E-3</v>
      </c>
      <c r="G5">
        <f t="shared" si="0"/>
        <v>3940</v>
      </c>
      <c r="H5">
        <f>1/70</f>
        <v>1.4285714285714285E-2</v>
      </c>
      <c r="I5">
        <f t="shared" si="1"/>
        <v>-37.20676013141987</v>
      </c>
      <c r="J5">
        <f t="shared" si="2"/>
        <v>99.287999999999997</v>
      </c>
      <c r="AF5" s="5">
        <v>60</v>
      </c>
      <c r="AG5" s="4">
        <v>5.7750000000000004</v>
      </c>
      <c r="AH5" s="4">
        <v>6.8250000000000005E-2</v>
      </c>
      <c r="AI5" s="4">
        <v>4580</v>
      </c>
      <c r="AJ5" s="4">
        <v>-38.548986659999997</v>
      </c>
      <c r="AK5" s="4">
        <v>98.927999999999997</v>
      </c>
    </row>
    <row r="6" spans="3:37">
      <c r="C6" s="1">
        <v>80</v>
      </c>
      <c r="D6">
        <v>5.75</v>
      </c>
      <c r="E6">
        <f>92.5*10^-3</f>
        <v>9.2499999999999999E-2</v>
      </c>
      <c r="F6">
        <f>3.5*10^-3</f>
        <v>3.5000000000000001E-3</v>
      </c>
      <c r="G6">
        <f t="shared" si="0"/>
        <v>3500</v>
      </c>
      <c r="H6">
        <f>1/80</f>
        <v>1.2500000000000001E-2</v>
      </c>
      <c r="I6">
        <f t="shared" si="1"/>
        <v>-35.870522239011954</v>
      </c>
      <c r="J6">
        <f t="shared" si="2"/>
        <v>100.8</v>
      </c>
      <c r="AF6" s="5">
        <v>70</v>
      </c>
      <c r="AG6" s="4">
        <v>5.8</v>
      </c>
      <c r="AH6" s="4">
        <v>0.08</v>
      </c>
      <c r="AI6" s="4">
        <v>3940</v>
      </c>
      <c r="AJ6" s="4">
        <v>-37.206760129999999</v>
      </c>
      <c r="AK6" s="4">
        <v>99.287999999999997</v>
      </c>
    </row>
    <row r="7" spans="3:37">
      <c r="C7" s="1">
        <v>90</v>
      </c>
      <c r="D7">
        <v>5.6749999999999998</v>
      </c>
      <c r="E7">
        <f>104.4*10^-3</f>
        <v>0.10440000000000001</v>
      </c>
      <c r="F7">
        <f>3.16*10^-3</f>
        <v>3.16E-3</v>
      </c>
      <c r="G7">
        <f t="shared" si="0"/>
        <v>3160</v>
      </c>
      <c r="H7">
        <f>1/90</f>
        <v>1.1111111111111112E-2</v>
      </c>
      <c r="I7">
        <f t="shared" si="1"/>
        <v>-34.70530734397834</v>
      </c>
      <c r="J7">
        <f t="shared" si="2"/>
        <v>102.38399999999999</v>
      </c>
      <c r="AF7" s="5">
        <v>80</v>
      </c>
      <c r="AG7" s="4">
        <v>5.75</v>
      </c>
      <c r="AH7" s="4">
        <v>9.2499999999999999E-2</v>
      </c>
      <c r="AI7" s="4">
        <v>3500</v>
      </c>
      <c r="AJ7" s="4">
        <v>-35.87052224</v>
      </c>
      <c r="AK7" s="4">
        <v>100.8</v>
      </c>
    </row>
    <row r="8" spans="3:37">
      <c r="C8" s="1">
        <v>100</v>
      </c>
      <c r="D8">
        <v>5.6</v>
      </c>
      <c r="E8">
        <f>115*10^-3</f>
        <v>0.115</v>
      </c>
      <c r="F8">
        <f>2.9*10^-3</f>
        <v>2.8999999999999998E-3</v>
      </c>
      <c r="G8">
        <f t="shared" si="0"/>
        <v>2900</v>
      </c>
      <c r="H8">
        <f>1/100</f>
        <v>0.01</v>
      </c>
      <c r="I8">
        <f t="shared" si="1"/>
        <v>-33.74980373305177</v>
      </c>
      <c r="J8">
        <f t="shared" si="2"/>
        <v>104.4</v>
      </c>
      <c r="AF8" s="5">
        <v>90</v>
      </c>
      <c r="AG8" s="4">
        <v>5.6749999999999998</v>
      </c>
      <c r="AH8" s="4">
        <v>0.10440000000000001</v>
      </c>
      <c r="AI8" s="4">
        <v>3160</v>
      </c>
      <c r="AJ8" s="4">
        <v>-34.705307339999997</v>
      </c>
      <c r="AK8" s="4">
        <v>102.384</v>
      </c>
    </row>
    <row r="9" spans="3:37">
      <c r="C9" s="1">
        <v>150</v>
      </c>
      <c r="D9">
        <v>5.2249999999999996</v>
      </c>
      <c r="E9">
        <f>173*10^-3</f>
        <v>0.17300000000000001</v>
      </c>
      <c r="F9">
        <f>2.06*10^-3</f>
        <v>2.0600000000000002E-3</v>
      </c>
      <c r="G9">
        <f t="shared" si="0"/>
        <v>2060</v>
      </c>
      <c r="H9">
        <f>1/150</f>
        <v>6.6666666666666671E-3</v>
      </c>
      <c r="I9">
        <f t="shared" si="1"/>
        <v>-29.600803833085926</v>
      </c>
      <c r="J9">
        <f t="shared" si="2"/>
        <v>111.24</v>
      </c>
      <c r="AF9" s="5">
        <v>100</v>
      </c>
      <c r="AG9" s="4">
        <v>5.6</v>
      </c>
      <c r="AH9" s="4">
        <v>0.115</v>
      </c>
      <c r="AI9" s="4">
        <v>2900</v>
      </c>
      <c r="AJ9" s="4">
        <v>-33.749803729999996</v>
      </c>
      <c r="AK9" s="4">
        <v>104.4</v>
      </c>
    </row>
    <row r="10" spans="3:37">
      <c r="C10" s="1">
        <v>200</v>
      </c>
      <c r="D10">
        <v>4.9249999999999998</v>
      </c>
      <c r="E10">
        <f>235*10^-3</f>
        <v>0.23500000000000001</v>
      </c>
      <c r="F10">
        <f>1.618*10^-3</f>
        <v>1.6180000000000001E-3</v>
      </c>
      <c r="G10">
        <f t="shared" si="0"/>
        <v>1618</v>
      </c>
      <c r="H10">
        <f>1/200</f>
        <v>5.0000000000000001E-3</v>
      </c>
      <c r="I10">
        <f t="shared" si="1"/>
        <v>-26.426767451237883</v>
      </c>
      <c r="J10">
        <f t="shared" si="2"/>
        <v>116.496</v>
      </c>
      <c r="AF10" s="5">
        <v>150</v>
      </c>
      <c r="AG10" s="4">
        <v>5.2249999999999996</v>
      </c>
      <c r="AH10" s="4">
        <v>0.17299999999999999</v>
      </c>
      <c r="AI10" s="4">
        <v>2060</v>
      </c>
      <c r="AJ10" s="4">
        <v>-29.60080383</v>
      </c>
      <c r="AK10" s="4">
        <v>111.24</v>
      </c>
    </row>
    <row r="11" spans="3:37">
      <c r="C11" s="1">
        <v>300</v>
      </c>
      <c r="D11">
        <v>4.3499999999999996</v>
      </c>
      <c r="E11">
        <f>377.5*10^-3</f>
        <v>0.3775</v>
      </c>
      <c r="F11">
        <f>1.156*10^-3</f>
        <v>1.1559999999999999E-3</v>
      </c>
      <c r="G11">
        <f t="shared" si="0"/>
        <v>1156</v>
      </c>
      <c r="H11">
        <f>1/300</f>
        <v>3.3333333333333335E-3</v>
      </c>
      <c r="I11">
        <f t="shared" si="1"/>
        <v>-21.231446019788606</v>
      </c>
      <c r="J11">
        <f t="shared" si="2"/>
        <v>124.84799999999998</v>
      </c>
      <c r="AF11" s="5">
        <v>200</v>
      </c>
      <c r="AG11" s="4">
        <v>4.9249999999999998</v>
      </c>
      <c r="AH11" s="4">
        <v>0.23499999999999999</v>
      </c>
      <c r="AI11" s="4">
        <v>1618</v>
      </c>
      <c r="AJ11" s="4">
        <v>-26.42676745</v>
      </c>
      <c r="AK11" s="4">
        <v>116.496</v>
      </c>
    </row>
    <row r="12" spans="3:37">
      <c r="C12" s="1">
        <v>400</v>
      </c>
      <c r="D12">
        <v>3.8</v>
      </c>
      <c r="E12">
        <f>538.5*10^-3</f>
        <v>0.53849999999999998</v>
      </c>
      <c r="F12">
        <f>898*10^-6</f>
        <v>8.9799999999999993E-4</v>
      </c>
      <c r="G12">
        <f t="shared" si="0"/>
        <v>897.99999999999989</v>
      </c>
      <c r="H12">
        <f>1/400</f>
        <v>2.5000000000000001E-3</v>
      </c>
      <c r="I12">
        <f t="shared" si="1"/>
        <v>-16.971957779656194</v>
      </c>
      <c r="J12">
        <f t="shared" si="2"/>
        <v>129.31199999999998</v>
      </c>
      <c r="AF12" s="5">
        <v>300</v>
      </c>
      <c r="AG12" s="4">
        <v>4.3499999999999996</v>
      </c>
      <c r="AH12" s="4">
        <v>0.3775</v>
      </c>
      <c r="AI12" s="4">
        <v>1156</v>
      </c>
      <c r="AJ12" s="4">
        <v>-21.23144602</v>
      </c>
      <c r="AK12" s="4">
        <v>124.848</v>
      </c>
    </row>
    <row r="13" spans="3:37">
      <c r="C13" s="1">
        <v>500</v>
      </c>
      <c r="D13">
        <v>3.25</v>
      </c>
      <c r="E13">
        <f>650*10^-3</f>
        <v>0.65</v>
      </c>
      <c r="F13">
        <f>730*10^-6</f>
        <v>7.2999999999999996E-4</v>
      </c>
      <c r="G13">
        <f t="shared" si="0"/>
        <v>730</v>
      </c>
      <c r="H13">
        <f>1/500</f>
        <v>2E-3</v>
      </c>
      <c r="I13">
        <f t="shared" si="1"/>
        <v>-13.979400086720375</v>
      </c>
      <c r="J13">
        <f t="shared" si="2"/>
        <v>131.39999999999998</v>
      </c>
      <c r="AF13" s="5">
        <v>400</v>
      </c>
      <c r="AG13" s="4">
        <v>3.8</v>
      </c>
      <c r="AH13" s="4">
        <v>0.53849999999999998</v>
      </c>
      <c r="AI13" s="4">
        <v>898</v>
      </c>
      <c r="AJ13" s="4">
        <v>-16.97195778</v>
      </c>
      <c r="AK13" s="4">
        <v>129.31200000000001</v>
      </c>
    </row>
    <row r="14" spans="3:37">
      <c r="C14" s="1">
        <v>600</v>
      </c>
      <c r="D14">
        <v>2.7250000000000001</v>
      </c>
      <c r="E14">
        <f>837.5*10^-3</f>
        <v>0.83750000000000002</v>
      </c>
      <c r="F14">
        <f>600*10^-6</f>
        <v>5.9999999999999995E-4</v>
      </c>
      <c r="G14">
        <f t="shared" si="0"/>
        <v>600</v>
      </c>
      <c r="H14">
        <f>1/600</f>
        <v>1.6666666666666668E-3</v>
      </c>
      <c r="I14">
        <f t="shared" si="1"/>
        <v>-10.247633818075567</v>
      </c>
      <c r="J14">
        <f t="shared" si="2"/>
        <v>129.59999999999997</v>
      </c>
      <c r="AF14" s="5">
        <v>500</v>
      </c>
      <c r="AG14" s="4">
        <v>3.25</v>
      </c>
      <c r="AH14" s="4">
        <v>0.65</v>
      </c>
      <c r="AI14" s="4">
        <v>730</v>
      </c>
      <c r="AJ14" s="4">
        <v>-13.97940009</v>
      </c>
      <c r="AK14" s="4">
        <v>131.4</v>
      </c>
    </row>
    <row r="15" spans="3:37">
      <c r="C15" s="1">
        <v>700</v>
      </c>
      <c r="D15">
        <v>2.2629999999999999</v>
      </c>
      <c r="E15">
        <v>1</v>
      </c>
      <c r="F15">
        <f>502*10^-6</f>
        <v>5.0199999999999995E-4</v>
      </c>
      <c r="G15">
        <f t="shared" si="0"/>
        <v>501.99999999999994</v>
      </c>
      <c r="H15">
        <f>1/700</f>
        <v>1.4285714285714286E-3</v>
      </c>
      <c r="I15">
        <f t="shared" si="1"/>
        <v>-7.0936910790945706</v>
      </c>
      <c r="J15">
        <f t="shared" si="2"/>
        <v>126.50399999999999</v>
      </c>
      <c r="AF15" s="5">
        <v>600</v>
      </c>
      <c r="AG15" s="4">
        <v>2.7250000000000001</v>
      </c>
      <c r="AH15" s="4">
        <v>0.83750000000000002</v>
      </c>
      <c r="AI15" s="4">
        <v>600</v>
      </c>
      <c r="AJ15" s="4">
        <v>-10.247633820000001</v>
      </c>
      <c r="AK15" s="4">
        <v>129.6</v>
      </c>
    </row>
    <row r="16" spans="3:37">
      <c r="C16" s="1">
        <v>800</v>
      </c>
      <c r="D16">
        <v>1.8879999999999999</v>
      </c>
      <c r="E16">
        <v>1.1379999999999999</v>
      </c>
      <c r="F16">
        <f>430*10^-6</f>
        <v>4.2999999999999999E-4</v>
      </c>
      <c r="G16">
        <f t="shared" si="0"/>
        <v>430</v>
      </c>
      <c r="H16">
        <f>1/800</f>
        <v>1.25E-3</v>
      </c>
      <c r="I16">
        <f t="shared" si="1"/>
        <v>-4.3971945580599563</v>
      </c>
      <c r="J16">
        <f t="shared" si="2"/>
        <v>123.83999999999999</v>
      </c>
      <c r="AF16" s="5">
        <v>700</v>
      </c>
      <c r="AG16" s="4">
        <v>2.2629999999999999</v>
      </c>
      <c r="AH16" s="4">
        <v>1</v>
      </c>
      <c r="AI16" s="4">
        <v>502</v>
      </c>
      <c r="AJ16" s="4">
        <v>-7.0936910790000001</v>
      </c>
      <c r="AK16" s="4">
        <v>126.504</v>
      </c>
    </row>
    <row r="17" spans="3:37">
      <c r="C17" s="1">
        <v>900</v>
      </c>
      <c r="D17">
        <v>1.538</v>
      </c>
      <c r="E17">
        <v>1.2689999999999999</v>
      </c>
      <c r="F17">
        <f>356*10^-6</f>
        <v>3.5599999999999998E-4</v>
      </c>
      <c r="G17">
        <f t="shared" si="0"/>
        <v>356</v>
      </c>
      <c r="H17">
        <f>1/900</f>
        <v>1.1111111111111111E-3</v>
      </c>
      <c r="I17">
        <f t="shared" si="1"/>
        <v>-1.6698942674141501</v>
      </c>
      <c r="J17">
        <f t="shared" si="2"/>
        <v>115.34399999999999</v>
      </c>
      <c r="AF17" s="5">
        <v>800</v>
      </c>
      <c r="AG17" s="4">
        <v>1.8879999999999999</v>
      </c>
      <c r="AH17" s="4">
        <v>1.1379999999999999</v>
      </c>
      <c r="AI17" s="4">
        <v>430</v>
      </c>
      <c r="AJ17" s="4">
        <v>-4.3971945579999998</v>
      </c>
      <c r="AK17" s="4">
        <v>123.84</v>
      </c>
    </row>
    <row r="18" spans="3:37">
      <c r="C18" s="1">
        <v>1000</v>
      </c>
      <c r="D18">
        <v>1.319</v>
      </c>
      <c r="E18">
        <v>1.3939999999999999</v>
      </c>
      <c r="F18">
        <f>296*10^-6</f>
        <v>2.9599999999999998E-4</v>
      </c>
      <c r="G18">
        <f t="shared" si="0"/>
        <v>296</v>
      </c>
      <c r="H18">
        <f>1/1000</f>
        <v>1E-3</v>
      </c>
      <c r="I18">
        <f t="shared" si="1"/>
        <v>0.48035956431250637</v>
      </c>
      <c r="J18">
        <f t="shared" si="2"/>
        <v>106.55999999999999</v>
      </c>
      <c r="AF18" s="5">
        <v>900</v>
      </c>
      <c r="AG18" s="4">
        <v>1.538</v>
      </c>
      <c r="AH18" s="4">
        <v>1.2689999999999999</v>
      </c>
      <c r="AI18" s="4">
        <v>356</v>
      </c>
      <c r="AJ18" s="4">
        <v>-1.6698942670000001</v>
      </c>
      <c r="AK18" s="4">
        <v>115.34399999999999</v>
      </c>
    </row>
    <row r="19" spans="3:37">
      <c r="C19" s="1">
        <v>1250</v>
      </c>
      <c r="D19">
        <v>1.044</v>
      </c>
      <c r="E19">
        <v>1.663</v>
      </c>
      <c r="F19">
        <f>171*10^-6</f>
        <v>1.7099999999999998E-4</v>
      </c>
      <c r="G19">
        <f t="shared" si="0"/>
        <v>170.99999999999997</v>
      </c>
      <c r="H19">
        <f>1/1250</f>
        <v>8.0000000000000004E-4</v>
      </c>
      <c r="I19">
        <f t="shared" si="1"/>
        <v>4.0438350110655179</v>
      </c>
      <c r="J19">
        <f t="shared" si="2"/>
        <v>76.949999999999989</v>
      </c>
      <c r="AF19" s="5">
        <v>1000</v>
      </c>
      <c r="AG19" s="4">
        <v>1.319</v>
      </c>
      <c r="AH19" s="4">
        <v>1.3939999999999999</v>
      </c>
      <c r="AI19" s="4">
        <v>296</v>
      </c>
      <c r="AJ19" s="4">
        <v>0.48035956400000002</v>
      </c>
      <c r="AK19" s="4">
        <v>106.56</v>
      </c>
    </row>
    <row r="20" spans="3:37">
      <c r="C20" s="1">
        <v>1375</v>
      </c>
      <c r="D20">
        <v>1.05</v>
      </c>
      <c r="E20">
        <v>1.75</v>
      </c>
      <c r="F20">
        <f>123.4*10^-6</f>
        <v>1.2339999999999999E-4</v>
      </c>
      <c r="G20">
        <f t="shared" si="0"/>
        <v>123.39999999999999</v>
      </c>
      <c r="H20">
        <f>1/1375</f>
        <v>7.2727272727272723E-4</v>
      </c>
      <c r="I20">
        <f t="shared" si="1"/>
        <v>4.4369749923271264</v>
      </c>
      <c r="J20">
        <f t="shared" si="2"/>
        <v>61.082999999999998</v>
      </c>
      <c r="AF20" s="5">
        <v>1250</v>
      </c>
      <c r="AG20" s="4">
        <v>1.044</v>
      </c>
      <c r="AH20" s="4">
        <v>1.663</v>
      </c>
      <c r="AI20" s="4">
        <v>171</v>
      </c>
      <c r="AJ20" s="4">
        <v>4.0438350109999996</v>
      </c>
      <c r="AK20" s="4">
        <v>76.95</v>
      </c>
    </row>
    <row r="21" spans="3:37">
      <c r="C21" s="1">
        <v>1500</v>
      </c>
      <c r="D21">
        <v>1.131</v>
      </c>
      <c r="E21">
        <v>1.831</v>
      </c>
      <c r="F21">
        <f>90*10^-6</f>
        <v>8.9999999999999992E-5</v>
      </c>
      <c r="G21">
        <f t="shared" si="0"/>
        <v>89.999999999999986</v>
      </c>
      <c r="H21">
        <f>1/1500</f>
        <v>6.6666666666666664E-4</v>
      </c>
      <c r="I21">
        <f t="shared" si="1"/>
        <v>4.1845147875248232</v>
      </c>
      <c r="J21">
        <f t="shared" si="2"/>
        <v>48.6</v>
      </c>
      <c r="AF21" s="5">
        <v>1375</v>
      </c>
      <c r="AG21" s="4">
        <v>1.05</v>
      </c>
      <c r="AH21" s="4">
        <v>1.75</v>
      </c>
      <c r="AI21" s="4">
        <v>123.4</v>
      </c>
      <c r="AJ21" s="4">
        <v>4.4369749919999997</v>
      </c>
      <c r="AK21" s="4">
        <v>61.082999999999998</v>
      </c>
    </row>
    <row r="22" spans="3:37">
      <c r="C22" s="1">
        <v>1750</v>
      </c>
      <c r="D22">
        <v>1.3380000000000001</v>
      </c>
      <c r="E22">
        <v>1.9630000000000001</v>
      </c>
      <c r="F22">
        <f>53*10^-6</f>
        <v>5.3000000000000001E-5</v>
      </c>
      <c r="G22">
        <f t="shared" si="0"/>
        <v>53</v>
      </c>
      <c r="H22">
        <f>1/1750</f>
        <v>5.7142857142857147E-4</v>
      </c>
      <c r="I22">
        <f t="shared" si="1"/>
        <v>3.3292837233640382</v>
      </c>
      <c r="J22">
        <f t="shared" si="2"/>
        <v>33.39</v>
      </c>
      <c r="AF22" s="5">
        <v>1500</v>
      </c>
      <c r="AG22" s="4">
        <v>1.131</v>
      </c>
      <c r="AH22" s="4">
        <v>1.831</v>
      </c>
      <c r="AI22" s="4">
        <v>90</v>
      </c>
      <c r="AJ22" s="4">
        <v>4.1845147880000004</v>
      </c>
      <c r="AK22" s="4">
        <v>48.6</v>
      </c>
    </row>
    <row r="23" spans="3:37">
      <c r="C23" s="1">
        <v>2000</v>
      </c>
      <c r="D23">
        <v>1.5189999999999999</v>
      </c>
      <c r="E23">
        <v>2.0880000000000001</v>
      </c>
      <c r="F23">
        <f>33.2*10^-6</f>
        <v>3.3200000000000001E-5</v>
      </c>
      <c r="G23">
        <f t="shared" si="0"/>
        <v>33.200000000000003</v>
      </c>
      <c r="H23">
        <f>1/2000</f>
        <v>5.0000000000000001E-4</v>
      </c>
      <c r="I23">
        <f t="shared" si="1"/>
        <v>2.7634544093487645</v>
      </c>
      <c r="J23">
        <f t="shared" si="2"/>
        <v>23.904</v>
      </c>
      <c r="AF23" s="5">
        <v>1750</v>
      </c>
      <c r="AG23" s="4">
        <v>1.3380000000000001</v>
      </c>
      <c r="AH23" s="4">
        <v>1.9630000000000001</v>
      </c>
      <c r="AI23" s="4">
        <v>53</v>
      </c>
      <c r="AJ23" s="4">
        <v>3.3292837230000001</v>
      </c>
      <c r="AK23" s="4">
        <v>33.39</v>
      </c>
    </row>
    <row r="24" spans="3:37">
      <c r="C24" s="1">
        <v>3000</v>
      </c>
      <c r="D24">
        <v>2.0379999999999998</v>
      </c>
      <c r="E24">
        <v>2.363</v>
      </c>
      <c r="F24">
        <f>11.28*10^-6</f>
        <v>1.1279999999999999E-5</v>
      </c>
      <c r="G24">
        <f t="shared" si="0"/>
        <v>11.28</v>
      </c>
      <c r="H24">
        <f>1/3000</f>
        <v>3.3333333333333332E-4</v>
      </c>
      <c r="I24">
        <f t="shared" si="1"/>
        <v>1.2851908392392295</v>
      </c>
      <c r="J24">
        <f t="shared" si="2"/>
        <v>12.182399999999999</v>
      </c>
      <c r="AF24" s="5">
        <v>2000</v>
      </c>
      <c r="AG24" s="4">
        <v>1.5189999999999999</v>
      </c>
      <c r="AH24" s="4">
        <v>2.0880000000000001</v>
      </c>
      <c r="AI24" s="4">
        <v>33.200000000000003</v>
      </c>
      <c r="AJ24" s="4">
        <v>2.7634544089999999</v>
      </c>
      <c r="AK24" s="4">
        <v>23.904</v>
      </c>
    </row>
    <row r="25" spans="3:37">
      <c r="C25" s="1">
        <v>4000</v>
      </c>
      <c r="D25">
        <v>2.2749999999999999</v>
      </c>
      <c r="E25">
        <v>2.4750000000000001</v>
      </c>
      <c r="F25">
        <f>5.58*10^-6</f>
        <v>5.5799999999999999E-6</v>
      </c>
      <c r="G25">
        <f t="shared" si="0"/>
        <v>5.58</v>
      </c>
      <c r="H25">
        <f>1/4000</f>
        <v>2.5000000000000001E-4</v>
      </c>
      <c r="I25">
        <f t="shared" si="1"/>
        <v>0.73187604552912733</v>
      </c>
      <c r="J25">
        <f t="shared" si="2"/>
        <v>8.0351999999999997</v>
      </c>
      <c r="AF25" s="5">
        <v>3000</v>
      </c>
      <c r="AG25" s="4">
        <v>2.0379999999999998</v>
      </c>
      <c r="AH25" s="4">
        <v>2.363</v>
      </c>
      <c r="AI25" s="4">
        <v>11.28</v>
      </c>
      <c r="AJ25" s="4">
        <v>1.285190839</v>
      </c>
      <c r="AK25" s="4">
        <v>12.182399999999999</v>
      </c>
    </row>
    <row r="26" spans="3:37">
      <c r="C26" s="1">
        <v>5000</v>
      </c>
      <c r="D26">
        <v>2.4129999999999998</v>
      </c>
      <c r="E26">
        <v>2.5379999999999998</v>
      </c>
      <c r="F26">
        <f>3.38*10^-6</f>
        <v>3.3799999999999998E-6</v>
      </c>
      <c r="G26">
        <f t="shared" si="0"/>
        <v>3.38</v>
      </c>
      <c r="H26">
        <f>1/5000</f>
        <v>2.0000000000000001E-4</v>
      </c>
      <c r="I26">
        <f t="shared" si="1"/>
        <v>0.43868591699800252</v>
      </c>
      <c r="J26">
        <f t="shared" si="2"/>
        <v>6.0839999999999987</v>
      </c>
      <c r="AF26" s="5">
        <v>4000</v>
      </c>
      <c r="AG26" s="4">
        <v>2.2749999999999999</v>
      </c>
      <c r="AH26" s="4">
        <v>2.4750000000000001</v>
      </c>
      <c r="AI26" s="4">
        <v>5.58</v>
      </c>
      <c r="AJ26" s="4">
        <v>0.731876046</v>
      </c>
      <c r="AK26" s="4">
        <v>8.0351999999999997</v>
      </c>
    </row>
    <row r="27" spans="3:37">
      <c r="C27" s="1">
        <v>6000</v>
      </c>
      <c r="D27">
        <v>2.4750000000000001</v>
      </c>
      <c r="E27">
        <v>2.573</v>
      </c>
      <c r="F27">
        <f>2.22*10^-6</f>
        <v>2.2199999999999999E-6</v>
      </c>
      <c r="G27">
        <f t="shared" si="0"/>
        <v>2.2199999999999998</v>
      </c>
      <c r="H27">
        <f>1/6000</f>
        <v>1.6666666666666666E-4</v>
      </c>
      <c r="I27">
        <f t="shared" si="1"/>
        <v>0.33729165881518142</v>
      </c>
      <c r="J27">
        <f t="shared" si="2"/>
        <v>4.7952000000000004</v>
      </c>
      <c r="AF27" s="5">
        <v>5000</v>
      </c>
      <c r="AG27" s="4">
        <v>2.4129999999999998</v>
      </c>
      <c r="AH27" s="4">
        <v>2.5379999999999998</v>
      </c>
      <c r="AI27" s="4">
        <v>3.38</v>
      </c>
      <c r="AJ27" s="4">
        <v>0.43868591699999998</v>
      </c>
      <c r="AK27" s="4">
        <v>6.0839999999999996</v>
      </c>
    </row>
    <row r="28" spans="3:37">
      <c r="C28" s="1">
        <v>7000</v>
      </c>
      <c r="D28">
        <v>2.5379999999999998</v>
      </c>
      <c r="E28">
        <v>2.5249999999999999</v>
      </c>
      <c r="F28">
        <f>1.636*10^-6</f>
        <v>1.6359999999999999E-6</v>
      </c>
      <c r="G28">
        <f t="shared" si="0"/>
        <v>1.6359999999999999</v>
      </c>
      <c r="H28">
        <f>1/7000</f>
        <v>1.4285714285714287E-4</v>
      </c>
      <c r="I28">
        <f t="shared" si="1"/>
        <v>-4.4604706080115339E-2</v>
      </c>
      <c r="J28">
        <f t="shared" si="2"/>
        <v>4.1227199999999993</v>
      </c>
      <c r="AF28" s="5">
        <v>6000</v>
      </c>
      <c r="AG28" s="4">
        <v>2.4750000000000001</v>
      </c>
      <c r="AH28" s="4">
        <v>2.573</v>
      </c>
      <c r="AI28" s="4">
        <v>2.2200000000000002</v>
      </c>
      <c r="AJ28" s="4">
        <v>0.33729165900000002</v>
      </c>
      <c r="AK28" s="4">
        <v>4.7952000000000004</v>
      </c>
    </row>
    <row r="29" spans="3:37">
      <c r="C29" s="1">
        <v>8000</v>
      </c>
      <c r="D29">
        <v>2.5379999999999998</v>
      </c>
      <c r="E29">
        <v>2.625</v>
      </c>
      <c r="F29">
        <f>1.234*10^-6</f>
        <v>1.234E-6</v>
      </c>
      <c r="G29">
        <f t="shared" si="0"/>
        <v>1.234</v>
      </c>
      <c r="H29">
        <f>1/8000</f>
        <v>1.25E-4</v>
      </c>
      <c r="I29">
        <f t="shared" si="1"/>
        <v>0.29275379966579512</v>
      </c>
      <c r="J29">
        <f t="shared" si="2"/>
        <v>3.5539199999999997</v>
      </c>
      <c r="AF29" s="5">
        <v>7000</v>
      </c>
      <c r="AG29" s="4">
        <v>2.5379999999999998</v>
      </c>
      <c r="AH29" s="4">
        <v>2.5249999999999999</v>
      </c>
      <c r="AI29" s="4">
        <v>1.6359999999999999</v>
      </c>
      <c r="AJ29" s="4">
        <v>-4.4604706000000001E-2</v>
      </c>
      <c r="AK29" s="4">
        <v>4.1227200000000002</v>
      </c>
    </row>
    <row r="30" spans="3:37">
      <c r="C30" s="1">
        <v>9000</v>
      </c>
      <c r="D30">
        <v>2.5750000000000002</v>
      </c>
      <c r="E30">
        <v>2.6629999999999998</v>
      </c>
      <c r="F30">
        <f>968*10^-9</f>
        <v>9.6800000000000009E-7</v>
      </c>
      <c r="G30">
        <f t="shared" si="0"/>
        <v>0.96800000000000008</v>
      </c>
      <c r="H30">
        <f>1/9000</f>
        <v>1.1111111111111112E-4</v>
      </c>
      <c r="I30">
        <f t="shared" si="1"/>
        <v>0.29187866123462641</v>
      </c>
      <c r="J30">
        <f t="shared" si="2"/>
        <v>3.13632</v>
      </c>
      <c r="AF30" s="5">
        <v>8000</v>
      </c>
      <c r="AG30" s="4">
        <v>2.5379999999999998</v>
      </c>
      <c r="AH30" s="4">
        <v>2.625</v>
      </c>
      <c r="AI30" s="4">
        <v>1.234</v>
      </c>
      <c r="AJ30" s="4">
        <v>0.29275380000000001</v>
      </c>
      <c r="AK30" s="4">
        <v>3.5539200000000002</v>
      </c>
    </row>
    <row r="31" spans="3:37">
      <c r="C31" s="1">
        <v>10000</v>
      </c>
      <c r="D31">
        <v>2.5499999999999998</v>
      </c>
      <c r="E31">
        <v>2.65</v>
      </c>
      <c r="F31">
        <f>786*10^-9</f>
        <v>7.8600000000000008E-7</v>
      </c>
      <c r="G31">
        <f t="shared" si="0"/>
        <v>0.78600000000000003</v>
      </c>
      <c r="H31">
        <f>1/10000</f>
        <v>1E-4</v>
      </c>
      <c r="I31">
        <f t="shared" si="1"/>
        <v>0.33411387005705429</v>
      </c>
      <c r="J31">
        <f t="shared" si="2"/>
        <v>2.8296000000000001</v>
      </c>
      <c r="AF31" s="5">
        <v>9000</v>
      </c>
      <c r="AG31" s="4">
        <v>2.5750000000000002</v>
      </c>
      <c r="AH31" s="4">
        <v>2.6629999999999998</v>
      </c>
      <c r="AI31" s="4">
        <v>0.96799999999999997</v>
      </c>
      <c r="AJ31" s="4">
        <v>0.29187866099999998</v>
      </c>
      <c r="AK31" s="4">
        <v>3.13632</v>
      </c>
    </row>
    <row r="32" spans="3:37">
      <c r="C32" s="1">
        <v>15000</v>
      </c>
      <c r="D32">
        <v>2.613</v>
      </c>
      <c r="E32">
        <v>2.6629999999999998</v>
      </c>
      <c r="F32">
        <f>344*10^-9</f>
        <v>3.4400000000000001E-7</v>
      </c>
      <c r="G32">
        <f t="shared" si="0"/>
        <v>0.34400000000000003</v>
      </c>
      <c r="H32">
        <f>1/15000</f>
        <v>6.666666666666667E-5</v>
      </c>
      <c r="I32">
        <f t="shared" si="1"/>
        <v>0.1646351342323118</v>
      </c>
      <c r="J32">
        <f t="shared" si="2"/>
        <v>1.8575999999999999</v>
      </c>
      <c r="AF32" s="5">
        <v>10000</v>
      </c>
      <c r="AG32" s="4">
        <v>2.5499999999999998</v>
      </c>
      <c r="AH32" s="4">
        <v>2.65</v>
      </c>
      <c r="AI32" s="4">
        <v>0.78600000000000003</v>
      </c>
      <c r="AJ32" s="4">
        <v>0.33411386999999998</v>
      </c>
      <c r="AK32" s="4">
        <v>2.8296000000000001</v>
      </c>
    </row>
    <row r="33" spans="3:37">
      <c r="C33" s="1">
        <v>20000</v>
      </c>
      <c r="D33">
        <v>2.613</v>
      </c>
      <c r="E33">
        <v>2.625</v>
      </c>
      <c r="F33">
        <f>193*10^-9</f>
        <v>1.9300000000000002E-7</v>
      </c>
      <c r="G33">
        <f t="shared" si="0"/>
        <v>0.19300000000000003</v>
      </c>
      <c r="H33">
        <f>1/20000</f>
        <v>5.0000000000000002E-5</v>
      </c>
      <c r="I33">
        <f t="shared" si="1"/>
        <v>3.9797960293000062E-2</v>
      </c>
      <c r="J33">
        <f t="shared" si="2"/>
        <v>1.3895999999999999</v>
      </c>
      <c r="AF33" s="5">
        <v>15000</v>
      </c>
      <c r="AG33" s="4">
        <v>2.613</v>
      </c>
      <c r="AH33" s="4">
        <v>2.6629999999999998</v>
      </c>
      <c r="AI33" s="4">
        <v>0.34399999999999997</v>
      </c>
      <c r="AJ33" s="4">
        <v>0.16463513399999999</v>
      </c>
      <c r="AK33" s="4">
        <v>1.8575999999999999</v>
      </c>
    </row>
    <row r="34" spans="3:37">
      <c r="C34" s="1">
        <v>30000</v>
      </c>
      <c r="D34">
        <v>2.65</v>
      </c>
      <c r="E34">
        <v>2.6629999999999998</v>
      </c>
      <c r="F34">
        <f>83.8*10^-9</f>
        <v>8.3799999999999996E-8</v>
      </c>
      <c r="G34">
        <f t="shared" si="0"/>
        <v>8.3799999999999999E-2</v>
      </c>
      <c r="H34">
        <f>1/30000</f>
        <v>3.3333333333333335E-5</v>
      </c>
      <c r="I34">
        <f t="shared" si="1"/>
        <v>4.2505850042667791E-2</v>
      </c>
      <c r="J34">
        <f t="shared" si="2"/>
        <v>0.90503999999999996</v>
      </c>
      <c r="AF34" s="5">
        <v>20000</v>
      </c>
      <c r="AG34" s="4">
        <v>2.613</v>
      </c>
      <c r="AH34" s="4">
        <v>2.625</v>
      </c>
      <c r="AI34" s="4">
        <v>0.193</v>
      </c>
      <c r="AJ34" s="4">
        <v>3.979796E-2</v>
      </c>
      <c r="AK34" s="4">
        <v>1.3895999999999999</v>
      </c>
    </row>
    <row r="35" spans="3:37">
      <c r="C35" s="1">
        <v>40000</v>
      </c>
      <c r="D35">
        <v>2.6749999999999998</v>
      </c>
      <c r="E35">
        <v>2.6749999999999998</v>
      </c>
      <c r="F35">
        <f>47.2*10^-9</f>
        <v>4.7200000000000006E-8</v>
      </c>
      <c r="G35">
        <f t="shared" si="0"/>
        <v>4.7200000000000006E-2</v>
      </c>
      <c r="H35">
        <f>1/40000</f>
        <v>2.5000000000000001E-5</v>
      </c>
      <c r="I35">
        <f t="shared" si="1"/>
        <v>0</v>
      </c>
      <c r="J35">
        <f t="shared" si="2"/>
        <v>0.67968000000000006</v>
      </c>
      <c r="AF35" s="5">
        <v>30000</v>
      </c>
      <c r="AG35" s="4">
        <v>2.65</v>
      </c>
      <c r="AH35" s="4">
        <v>2.6629999999999998</v>
      </c>
      <c r="AI35" s="4">
        <v>8.3799999999999999E-2</v>
      </c>
      <c r="AJ35" s="4">
        <v>4.2505849999999998E-2</v>
      </c>
      <c r="AK35" s="4">
        <v>0.90503999999999996</v>
      </c>
    </row>
    <row r="36" spans="3:37">
      <c r="C36" s="1">
        <v>50000</v>
      </c>
      <c r="D36">
        <v>2.6629999999999998</v>
      </c>
      <c r="E36">
        <v>2.6629999999999998</v>
      </c>
      <c r="F36">
        <f>28.9*10^-9</f>
        <v>2.8900000000000001E-8</v>
      </c>
      <c r="G36">
        <f t="shared" si="0"/>
        <v>2.8900000000000002E-2</v>
      </c>
      <c r="H36">
        <f>1/50000</f>
        <v>2.0000000000000002E-5</v>
      </c>
      <c r="I36">
        <f t="shared" si="1"/>
        <v>0</v>
      </c>
      <c r="J36">
        <f t="shared" si="2"/>
        <v>0.5202</v>
      </c>
      <c r="AF36" s="5">
        <v>40000</v>
      </c>
      <c r="AG36" s="4">
        <v>2.6749999999999998</v>
      </c>
      <c r="AH36" s="4">
        <v>2.6749999999999998</v>
      </c>
      <c r="AI36" s="4">
        <v>4.7199999999999999E-2</v>
      </c>
      <c r="AJ36" s="4">
        <v>0</v>
      </c>
      <c r="AK36" s="4">
        <v>0.67967999999999995</v>
      </c>
    </row>
    <row r="37" spans="3:37">
      <c r="AF37" s="5">
        <v>50000</v>
      </c>
      <c r="AG37" s="4">
        <v>2.6629999999999998</v>
      </c>
      <c r="AH37" s="4">
        <v>2.6629999999999998</v>
      </c>
      <c r="AI37" s="4">
        <v>2.8899999999999999E-2</v>
      </c>
      <c r="AJ37" s="4">
        <v>0</v>
      </c>
      <c r="AK37" s="4">
        <v>0.5202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 Seiga</dc:creator>
  <cp:lastModifiedBy>岡﨑　英之介</cp:lastModifiedBy>
  <dcterms:created xsi:type="dcterms:W3CDTF">2024-12-15T23:44:22Z</dcterms:created>
  <dcterms:modified xsi:type="dcterms:W3CDTF">2024-12-22T11:23:35Z</dcterms:modified>
</cp:coreProperties>
</file>