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Box\Berkeley_new\PySulfSat\PySulfSat_Structure\Benchmarking\Masotta_Keppler_2015_SCAS\"/>
    </mc:Choice>
  </mc:AlternateContent>
  <xr:revisionPtr revIDLastSave="0" documentId="8_{8BB0384B-D0D7-4B10-BE9E-21B8C69D8DEE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Pinatubo 850˚C" sheetId="2" r:id="rId1"/>
    <sheet name="DATASET" sheetId="1" r:id="rId2"/>
    <sheet name="PySulfSatFormat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4" i="2" l="1"/>
  <c r="BW4" i="2"/>
  <c r="BV4" i="2"/>
  <c r="BU4" i="2"/>
  <c r="BU5" i="2"/>
  <c r="BT4" i="2"/>
  <c r="AC4" i="2"/>
  <c r="V4" i="2"/>
  <c r="U4" i="2"/>
  <c r="T4" i="2"/>
  <c r="BS4" i="2"/>
  <c r="BR4" i="2"/>
  <c r="AJ4" i="2"/>
  <c r="AM4" i="2"/>
  <c r="BJ4" i="2"/>
  <c r="Q4" i="2"/>
  <c r="BM4" i="2"/>
  <c r="BN4" i="2"/>
  <c r="AB4" i="2"/>
  <c r="BX4" i="2"/>
  <c r="CG4" i="2"/>
  <c r="CD4" i="2"/>
  <c r="BY4" i="2"/>
  <c r="CH4" i="2"/>
  <c r="CE4" i="2"/>
  <c r="P4" i="2"/>
  <c r="R4" i="2"/>
  <c r="BZ2" i="2"/>
  <c r="CC2" i="2"/>
  <c r="BY2" i="2"/>
  <c r="CB2" i="2"/>
  <c r="BX2" i="2"/>
  <c r="CA2" i="2"/>
  <c r="CF3" i="2"/>
  <c r="CL3" i="2"/>
  <c r="CE3" i="2"/>
  <c r="CK3" i="2"/>
  <c r="CD3" i="2"/>
  <c r="CJ3" i="2"/>
  <c r="CI3" i="2"/>
  <c r="CH3" i="2"/>
  <c r="CG3" i="2"/>
  <c r="G5" i="2"/>
  <c r="O5" i="2"/>
  <c r="H5" i="2"/>
  <c r="U5" i="2"/>
  <c r="I5" i="2"/>
  <c r="J5" i="2"/>
  <c r="K5" i="2"/>
  <c r="L5" i="2"/>
  <c r="M5" i="2"/>
  <c r="N5" i="2"/>
  <c r="G6" i="2"/>
  <c r="H6" i="2"/>
  <c r="I6" i="2"/>
  <c r="AR6" i="2"/>
  <c r="J6" i="2"/>
  <c r="W6" i="2"/>
  <c r="K6" i="2"/>
  <c r="L6" i="2"/>
  <c r="M6" i="2"/>
  <c r="AV6" i="2"/>
  <c r="N6" i="2"/>
  <c r="AW6" i="2"/>
  <c r="G7" i="2"/>
  <c r="T7" i="2"/>
  <c r="H7" i="2"/>
  <c r="U7" i="2"/>
  <c r="I7" i="2"/>
  <c r="J7" i="2"/>
  <c r="K7" i="2"/>
  <c r="L7" i="2"/>
  <c r="M7" i="2"/>
  <c r="N7" i="2"/>
  <c r="G8" i="2"/>
  <c r="H8" i="2"/>
  <c r="I8" i="2"/>
  <c r="J8" i="2"/>
  <c r="K8" i="2"/>
  <c r="X8" i="2"/>
  <c r="L8" i="2"/>
  <c r="Y8" i="2"/>
  <c r="M8" i="2"/>
  <c r="N8" i="2"/>
  <c r="AA8" i="2"/>
  <c r="G9" i="2"/>
  <c r="T9" i="2"/>
  <c r="H9" i="2"/>
  <c r="U9" i="2"/>
  <c r="I9" i="2"/>
  <c r="J9" i="2"/>
  <c r="K9" i="2"/>
  <c r="L9" i="2"/>
  <c r="M9" i="2"/>
  <c r="N9" i="2"/>
  <c r="G10" i="2"/>
  <c r="H10" i="2"/>
  <c r="I10" i="2"/>
  <c r="J10" i="2"/>
  <c r="K10" i="2"/>
  <c r="X10" i="2"/>
  <c r="L10" i="2"/>
  <c r="Y10" i="2"/>
  <c r="M10" i="2"/>
  <c r="Z10" i="2"/>
  <c r="N10" i="2"/>
  <c r="AA10" i="2"/>
  <c r="G11" i="2"/>
  <c r="H11" i="2"/>
  <c r="AQ11" i="2"/>
  <c r="I11" i="2"/>
  <c r="J11" i="2"/>
  <c r="AS11" i="2"/>
  <c r="K11" i="2"/>
  <c r="L11" i="2"/>
  <c r="M11" i="2"/>
  <c r="N11" i="2"/>
  <c r="G12" i="2"/>
  <c r="H12" i="2"/>
  <c r="I12" i="2"/>
  <c r="J12" i="2"/>
  <c r="AS12" i="2"/>
  <c r="K12" i="2"/>
  <c r="AT12" i="2"/>
  <c r="L12" i="2"/>
  <c r="M12" i="2"/>
  <c r="N12" i="2"/>
  <c r="G13" i="2"/>
  <c r="H13" i="2"/>
  <c r="I13" i="2"/>
  <c r="V13" i="2"/>
  <c r="J13" i="2"/>
  <c r="AS13" i="2"/>
  <c r="K13" i="2"/>
  <c r="L13" i="2"/>
  <c r="M13" i="2"/>
  <c r="N13" i="2"/>
  <c r="G14" i="2"/>
  <c r="H14" i="2"/>
  <c r="I14" i="2"/>
  <c r="AR14" i="2"/>
  <c r="J14" i="2"/>
  <c r="K14" i="2"/>
  <c r="L14" i="2"/>
  <c r="M14" i="2"/>
  <c r="N14" i="2"/>
  <c r="AW14" i="2"/>
  <c r="G15" i="2"/>
  <c r="T15" i="2"/>
  <c r="AC15" i="2"/>
  <c r="H15" i="2"/>
  <c r="U15" i="2"/>
  <c r="I15" i="2"/>
  <c r="J15" i="2"/>
  <c r="W15" i="2"/>
  <c r="K15" i="2"/>
  <c r="L15" i="2"/>
  <c r="M15" i="2"/>
  <c r="N15" i="2"/>
  <c r="G16" i="2"/>
  <c r="H16" i="2"/>
  <c r="I16" i="2"/>
  <c r="V16" i="2"/>
  <c r="J16" i="2"/>
  <c r="W16" i="2"/>
  <c r="K16" i="2"/>
  <c r="X16" i="2"/>
  <c r="L16" i="2"/>
  <c r="Y16" i="2"/>
  <c r="M16" i="2"/>
  <c r="N16" i="2"/>
  <c r="G17" i="2"/>
  <c r="AP17" i="2"/>
  <c r="H17" i="2"/>
  <c r="U17" i="2"/>
  <c r="I17" i="2"/>
  <c r="J17" i="2"/>
  <c r="K17" i="2"/>
  <c r="L17" i="2"/>
  <c r="M17" i="2"/>
  <c r="N17" i="2"/>
  <c r="G18" i="2"/>
  <c r="H18" i="2"/>
  <c r="I18" i="2"/>
  <c r="J18" i="2"/>
  <c r="W18" i="2"/>
  <c r="K18" i="2"/>
  <c r="L18" i="2"/>
  <c r="BR18" i="2"/>
  <c r="M18" i="2"/>
  <c r="Z18" i="2"/>
  <c r="N18" i="2"/>
  <c r="AA18" i="2"/>
  <c r="G19" i="2"/>
  <c r="H19" i="2"/>
  <c r="AQ19" i="2"/>
  <c r="I19" i="2"/>
  <c r="AR19" i="2"/>
  <c r="J19" i="2"/>
  <c r="AS19" i="2"/>
  <c r="K19" i="2"/>
  <c r="L19" i="2"/>
  <c r="M19" i="2"/>
  <c r="N19" i="2"/>
  <c r="G20" i="2"/>
  <c r="H20" i="2"/>
  <c r="I20" i="2"/>
  <c r="J20" i="2"/>
  <c r="AS20" i="2"/>
  <c r="K20" i="2"/>
  <c r="AT20" i="2"/>
  <c r="L20" i="2"/>
  <c r="M20" i="2"/>
  <c r="AV20" i="2"/>
  <c r="N20" i="2"/>
  <c r="AA20" i="2"/>
  <c r="G21" i="2"/>
  <c r="H21" i="2"/>
  <c r="I21" i="2"/>
  <c r="AR21" i="2"/>
  <c r="J21" i="2"/>
  <c r="AS21" i="2"/>
  <c r="K21" i="2"/>
  <c r="L21" i="2"/>
  <c r="AU21" i="2"/>
  <c r="M21" i="2"/>
  <c r="N21" i="2"/>
  <c r="G22" i="2"/>
  <c r="H22" i="2"/>
  <c r="I22" i="2"/>
  <c r="AR22" i="2"/>
  <c r="J22" i="2"/>
  <c r="K22" i="2"/>
  <c r="L22" i="2"/>
  <c r="M22" i="2"/>
  <c r="N22" i="2"/>
  <c r="AW22" i="2"/>
  <c r="G23" i="2"/>
  <c r="T23" i="2"/>
  <c r="H23" i="2"/>
  <c r="U23" i="2"/>
  <c r="I23" i="2"/>
  <c r="J23" i="2"/>
  <c r="W23" i="2"/>
  <c r="K23" i="2"/>
  <c r="X23" i="2"/>
  <c r="L23" i="2"/>
  <c r="M23" i="2"/>
  <c r="Z23" i="2"/>
  <c r="N23" i="2"/>
  <c r="N4" i="2"/>
  <c r="M4" i="2"/>
  <c r="H4" i="2"/>
  <c r="AQ4" i="2"/>
  <c r="I4" i="2"/>
  <c r="AR4" i="2"/>
  <c r="J4" i="2"/>
  <c r="AS4" i="2"/>
  <c r="K4" i="2"/>
  <c r="AT4" i="2"/>
  <c r="G4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3" i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P5" i="2"/>
  <c r="P6" i="2"/>
  <c r="P7" i="2"/>
  <c r="P8" i="2"/>
  <c r="AB8" i="2"/>
  <c r="P9" i="2"/>
  <c r="AB9" i="2"/>
  <c r="P10" i="2"/>
  <c r="P11" i="2"/>
  <c r="P12" i="2"/>
  <c r="R12" i="2"/>
  <c r="P13" i="2"/>
  <c r="R13" i="2"/>
  <c r="P14" i="2"/>
  <c r="R14" i="2"/>
  <c r="P15" i="2"/>
  <c r="P16" i="2"/>
  <c r="AB16" i="2"/>
  <c r="P17" i="2"/>
  <c r="P18" i="2"/>
  <c r="P19" i="2"/>
  <c r="P20" i="2"/>
  <c r="P21" i="2"/>
  <c r="P22" i="2"/>
  <c r="P23" i="2"/>
  <c r="AB23" i="2"/>
  <c r="O1" i="2"/>
  <c r="AR23" i="2"/>
  <c r="AS23" i="2"/>
  <c r="AT23" i="2"/>
  <c r="AU23" i="2"/>
  <c r="AV23" i="2"/>
  <c r="AW23" i="2"/>
  <c r="BR23" i="2"/>
  <c r="V23" i="2"/>
  <c r="Y23" i="2"/>
  <c r="AA23" i="2"/>
  <c r="BQ23" i="2"/>
  <c r="CA23" i="2"/>
  <c r="R23" i="2"/>
  <c r="O23" i="2"/>
  <c r="AP22" i="2"/>
  <c r="AQ22" i="2"/>
  <c r="T22" i="2"/>
  <c r="U22" i="2"/>
  <c r="AA22" i="2"/>
  <c r="AB22" i="2"/>
  <c r="BQ22" i="2"/>
  <c r="CB22" i="2"/>
  <c r="CA22" i="2"/>
  <c r="R22" i="2"/>
  <c r="O22" i="2"/>
  <c r="AT21" i="2"/>
  <c r="AV21" i="2"/>
  <c r="AW21" i="2"/>
  <c r="BR21" i="2"/>
  <c r="X21" i="2"/>
  <c r="Y21" i="2"/>
  <c r="Z21" i="2"/>
  <c r="AA21" i="2"/>
  <c r="AB21" i="2"/>
  <c r="BQ21" i="2"/>
  <c r="CB21" i="2"/>
  <c r="CA21" i="2"/>
  <c r="R21" i="2"/>
  <c r="AP20" i="2"/>
  <c r="AQ20" i="2"/>
  <c r="T20" i="2"/>
  <c r="U20" i="2"/>
  <c r="V20" i="2"/>
  <c r="W20" i="2"/>
  <c r="AB20" i="2"/>
  <c r="BQ20" i="2"/>
  <c r="CC20" i="2"/>
  <c r="CB20" i="2"/>
  <c r="R20" i="2"/>
  <c r="AT19" i="2"/>
  <c r="AU19" i="2"/>
  <c r="AV19" i="2"/>
  <c r="AW19" i="2"/>
  <c r="BR19" i="2"/>
  <c r="V19" i="2"/>
  <c r="W19" i="2"/>
  <c r="X19" i="2"/>
  <c r="Y19" i="2"/>
  <c r="Z19" i="2"/>
  <c r="AA19" i="2"/>
  <c r="AB19" i="2"/>
  <c r="BQ19" i="2"/>
  <c r="CC19" i="2"/>
  <c r="CB19" i="2"/>
  <c r="R19" i="2"/>
  <c r="AP18" i="2"/>
  <c r="AQ18" i="2"/>
  <c r="AR18" i="2"/>
  <c r="AS18" i="2"/>
  <c r="AT18" i="2"/>
  <c r="AU18" i="2"/>
  <c r="AX18" i="2"/>
  <c r="AV18" i="2"/>
  <c r="AW18" i="2"/>
  <c r="T18" i="2"/>
  <c r="U18" i="2"/>
  <c r="V18" i="2"/>
  <c r="X18" i="2"/>
  <c r="Y18" i="2"/>
  <c r="AB18" i="2"/>
  <c r="BQ18" i="2"/>
  <c r="CC18" i="2"/>
  <c r="R18" i="2"/>
  <c r="AR17" i="2"/>
  <c r="AS17" i="2"/>
  <c r="AT17" i="2"/>
  <c r="AU17" i="2"/>
  <c r="AV17" i="2"/>
  <c r="AW17" i="2"/>
  <c r="BR17" i="2"/>
  <c r="V17" i="2"/>
  <c r="W17" i="2"/>
  <c r="X17" i="2"/>
  <c r="Y17" i="2"/>
  <c r="Z17" i="2"/>
  <c r="AA17" i="2"/>
  <c r="AB17" i="2"/>
  <c r="BQ17" i="2"/>
  <c r="CC17" i="2"/>
  <c r="R17" i="2"/>
  <c r="AP16" i="2"/>
  <c r="AQ16" i="2"/>
  <c r="AR16" i="2"/>
  <c r="AS16" i="2"/>
  <c r="BR16" i="2"/>
  <c r="T16" i="2"/>
  <c r="U16" i="2"/>
  <c r="BQ16" i="2"/>
  <c r="CA16" i="2"/>
  <c r="R16" i="2"/>
  <c r="O16" i="2"/>
  <c r="AR15" i="2"/>
  <c r="AS15" i="2"/>
  <c r="AT15" i="2"/>
  <c r="AU15" i="2"/>
  <c r="AV15" i="2"/>
  <c r="AW15" i="2"/>
  <c r="BR15" i="2"/>
  <c r="V15" i="2"/>
  <c r="X15" i="2"/>
  <c r="Y15" i="2"/>
  <c r="Z15" i="2"/>
  <c r="AA15" i="2"/>
  <c r="AB15" i="2"/>
  <c r="BQ15" i="2"/>
  <c r="CA15" i="2"/>
  <c r="R15" i="2"/>
  <c r="AP14" i="2"/>
  <c r="AQ14" i="2"/>
  <c r="T14" i="2"/>
  <c r="U14" i="2"/>
  <c r="AA14" i="2"/>
  <c r="AB14" i="2"/>
  <c r="BQ14" i="2"/>
  <c r="CB14" i="2"/>
  <c r="CA14" i="2"/>
  <c r="AR13" i="2"/>
  <c r="AT13" i="2"/>
  <c r="AU13" i="2"/>
  <c r="AV13" i="2"/>
  <c r="AW13" i="2"/>
  <c r="BR13" i="2"/>
  <c r="X13" i="2"/>
  <c r="Y13" i="2"/>
  <c r="Z13" i="2"/>
  <c r="AA13" i="2"/>
  <c r="BQ13" i="2"/>
  <c r="CB13" i="2"/>
  <c r="CA13" i="2"/>
  <c r="AP12" i="2"/>
  <c r="AQ12" i="2"/>
  <c r="AV12" i="2"/>
  <c r="AW12" i="2"/>
  <c r="T12" i="2"/>
  <c r="U12" i="2"/>
  <c r="V12" i="2"/>
  <c r="W12" i="2"/>
  <c r="X12" i="2"/>
  <c r="Y12" i="2"/>
  <c r="Z12" i="2"/>
  <c r="AA12" i="2"/>
  <c r="AL12" i="2"/>
  <c r="AB12" i="2"/>
  <c r="AC12" i="2"/>
  <c r="AK12" i="2"/>
  <c r="BQ12" i="2"/>
  <c r="CC12" i="2"/>
  <c r="CB12" i="2"/>
  <c r="AM12" i="2"/>
  <c r="AR11" i="2"/>
  <c r="AT11" i="2"/>
  <c r="AU11" i="2"/>
  <c r="AV11" i="2"/>
  <c r="AW11" i="2"/>
  <c r="BR11" i="2"/>
  <c r="U11" i="2"/>
  <c r="V11" i="2"/>
  <c r="W11" i="2"/>
  <c r="X11" i="2"/>
  <c r="Y11" i="2"/>
  <c r="Z11" i="2"/>
  <c r="AA11" i="2"/>
  <c r="BQ11" i="2"/>
  <c r="CC11" i="2"/>
  <c r="CB11" i="2"/>
  <c r="AP10" i="2"/>
  <c r="AQ10" i="2"/>
  <c r="AR10" i="2"/>
  <c r="AS10" i="2"/>
  <c r="AT10" i="2"/>
  <c r="AX10" i="2"/>
  <c r="AU10" i="2"/>
  <c r="AV10" i="2"/>
  <c r="AW10" i="2"/>
  <c r="BR10" i="2"/>
  <c r="T10" i="2"/>
  <c r="U10" i="2"/>
  <c r="V10" i="2"/>
  <c r="W10" i="2"/>
  <c r="BQ10" i="2"/>
  <c r="CC10" i="2"/>
  <c r="AR9" i="2"/>
  <c r="AS9" i="2"/>
  <c r="AT9" i="2"/>
  <c r="AU9" i="2"/>
  <c r="AV9" i="2"/>
  <c r="AW9" i="2"/>
  <c r="BR9" i="2"/>
  <c r="V9" i="2"/>
  <c r="W9" i="2"/>
  <c r="X9" i="2"/>
  <c r="Y9" i="2"/>
  <c r="Z9" i="2"/>
  <c r="AA9" i="2"/>
  <c r="BQ9" i="2"/>
  <c r="CC9" i="2"/>
  <c r="R9" i="2"/>
  <c r="O9" i="2"/>
  <c r="AP8" i="2"/>
  <c r="AQ8" i="2"/>
  <c r="AR8" i="2"/>
  <c r="AS8" i="2"/>
  <c r="AT8" i="2"/>
  <c r="BR8" i="2"/>
  <c r="T8" i="2"/>
  <c r="U8" i="2"/>
  <c r="V8" i="2"/>
  <c r="W8" i="2"/>
  <c r="BQ8" i="2"/>
  <c r="CC8" i="2"/>
  <c r="CA8" i="2"/>
  <c r="AR7" i="2"/>
  <c r="AS7" i="2"/>
  <c r="AT7" i="2"/>
  <c r="AU7" i="2"/>
  <c r="AV7" i="2"/>
  <c r="AW7" i="2"/>
  <c r="BR7" i="2"/>
  <c r="V7" i="2"/>
  <c r="W7" i="2"/>
  <c r="X7" i="2"/>
  <c r="Y7" i="2"/>
  <c r="Z7" i="2"/>
  <c r="AA7" i="2"/>
  <c r="AB7" i="2"/>
  <c r="BQ7" i="2"/>
  <c r="CA7" i="2"/>
  <c r="CB7" i="2"/>
  <c r="R7" i="2"/>
  <c r="AP6" i="2"/>
  <c r="AQ6" i="2"/>
  <c r="AS6" i="2"/>
  <c r="BR6" i="2"/>
  <c r="T6" i="2"/>
  <c r="U6" i="2"/>
  <c r="Z6" i="2"/>
  <c r="AB6" i="2"/>
  <c r="BQ6" i="2"/>
  <c r="CA6" i="2"/>
  <c r="R6" i="2"/>
  <c r="O6" i="2"/>
  <c r="AQ5" i="2"/>
  <c r="AR5" i="2"/>
  <c r="AS5" i="2"/>
  <c r="AT5" i="2"/>
  <c r="AU5" i="2"/>
  <c r="AV5" i="2"/>
  <c r="AW5" i="2"/>
  <c r="BR5" i="2"/>
  <c r="V5" i="2"/>
  <c r="W5" i="2"/>
  <c r="X5" i="2"/>
  <c r="Y5" i="2"/>
  <c r="Z5" i="2"/>
  <c r="AA5" i="2"/>
  <c r="AB5" i="2"/>
  <c r="BQ5" i="2"/>
  <c r="CA5" i="2"/>
  <c r="R5" i="2"/>
  <c r="L4" i="2"/>
  <c r="AU4" i="2"/>
  <c r="AV4" i="2"/>
  <c r="AW4" i="2"/>
  <c r="W4" i="2"/>
  <c r="X4" i="2"/>
  <c r="Y4" i="2"/>
  <c r="Z4" i="2"/>
  <c r="AA4" i="2"/>
  <c r="CC4" i="2"/>
  <c r="CB4" i="2"/>
  <c r="CA4" i="2"/>
  <c r="N109" i="1"/>
  <c r="O109" i="1"/>
  <c r="N108" i="1"/>
  <c r="O108" i="1"/>
  <c r="N107" i="1"/>
  <c r="O107" i="1"/>
  <c r="N106" i="1"/>
  <c r="O106" i="1"/>
  <c r="O33" i="1"/>
  <c r="O32" i="1"/>
  <c r="O31" i="1"/>
  <c r="O30" i="1"/>
  <c r="O20" i="1"/>
  <c r="O19" i="1"/>
  <c r="O18" i="1"/>
  <c r="O17" i="1"/>
  <c r="O16" i="1"/>
  <c r="O13" i="1"/>
  <c r="O12" i="1"/>
  <c r="O11" i="1"/>
  <c r="O10" i="1"/>
  <c r="O9" i="1"/>
  <c r="O8" i="1"/>
  <c r="O6" i="1"/>
  <c r="O5" i="1"/>
  <c r="O4" i="1"/>
  <c r="O3" i="1"/>
  <c r="AC7" i="2"/>
  <c r="AJ15" i="2"/>
  <c r="AK15" i="2"/>
  <c r="AM15" i="2"/>
  <c r="AL15" i="2"/>
  <c r="AG15" i="2"/>
  <c r="AC9" i="2"/>
  <c r="AE9" i="2"/>
  <c r="BS15" i="2"/>
  <c r="AC23" i="2"/>
  <c r="AF23" i="2"/>
  <c r="AE23" i="2"/>
  <c r="BA10" i="2"/>
  <c r="AZ10" i="2"/>
  <c r="BA18" i="2"/>
  <c r="AZ18" i="2"/>
  <c r="U19" i="2"/>
  <c r="AH15" i="2"/>
  <c r="BF18" i="2"/>
  <c r="AQ21" i="2"/>
  <c r="U21" i="2"/>
  <c r="AF15" i="2"/>
  <c r="AQ13" i="2"/>
  <c r="U13" i="2"/>
  <c r="BE18" i="2"/>
  <c r="AE7" i="2"/>
  <c r="AF12" i="2"/>
  <c r="AQ15" i="2"/>
  <c r="O17" i="2"/>
  <c r="BD18" i="2"/>
  <c r="AW16" i="2"/>
  <c r="AA16" i="2"/>
  <c r="AP21" i="2"/>
  <c r="O21" i="2"/>
  <c r="T21" i="2"/>
  <c r="AP5" i="2"/>
  <c r="T5" i="2"/>
  <c r="AE12" i="2"/>
  <c r="AI15" i="2"/>
  <c r="AP15" i="2"/>
  <c r="BB17" i="2"/>
  <c r="BC18" i="2"/>
  <c r="AQ23" i="2"/>
  <c r="AB11" i="2"/>
  <c r="R11" i="2"/>
  <c r="AP4" i="2"/>
  <c r="O4" i="2"/>
  <c r="AV22" i="2"/>
  <c r="Z22" i="2"/>
  <c r="AV16" i="2"/>
  <c r="Z16" i="2"/>
  <c r="Z14" i="2"/>
  <c r="AV14" i="2"/>
  <c r="AV8" i="2"/>
  <c r="Z8" i="2"/>
  <c r="BG18" i="2"/>
  <c r="AP11" i="2"/>
  <c r="O11" i="2"/>
  <c r="BG10" i="2"/>
  <c r="T11" i="2"/>
  <c r="AJ12" i="2"/>
  <c r="BJ12" i="2"/>
  <c r="BL12" i="2"/>
  <c r="AQ17" i="2"/>
  <c r="BB18" i="2"/>
  <c r="AP23" i="2"/>
  <c r="AB10" i="2"/>
  <c r="R10" i="2"/>
  <c r="BR22" i="2"/>
  <c r="AU22" i="2"/>
  <c r="Y22" i="2"/>
  <c r="BR20" i="2"/>
  <c r="AU20" i="2"/>
  <c r="BR14" i="2"/>
  <c r="AU14" i="2"/>
  <c r="Y14" i="2"/>
  <c r="BR12" i="2"/>
  <c r="BS12" i="2"/>
  <c r="AU12" i="2"/>
  <c r="AU6" i="2"/>
  <c r="Y6" i="2"/>
  <c r="BF10" i="2"/>
  <c r="AM9" i="2"/>
  <c r="AT22" i="2"/>
  <c r="X22" i="2"/>
  <c r="AT14" i="2"/>
  <c r="X14" i="2"/>
  <c r="AT6" i="2"/>
  <c r="X6" i="2"/>
  <c r="AH12" i="2"/>
  <c r="AS22" i="2"/>
  <c r="AX22" i="2"/>
  <c r="W22" i="2"/>
  <c r="AS14" i="2"/>
  <c r="W14" i="2"/>
  <c r="AP19" i="2"/>
  <c r="O19" i="2"/>
  <c r="T19" i="2"/>
  <c r="O20" i="2"/>
  <c r="O18" i="2"/>
  <c r="O12" i="2"/>
  <c r="O10" i="2"/>
  <c r="BD10" i="2"/>
  <c r="AQ7" i="2"/>
  <c r="AI9" i="2"/>
  <c r="AQ9" i="2"/>
  <c r="BC10" i="2"/>
  <c r="AB13" i="2"/>
  <c r="AW20" i="2"/>
  <c r="AI12" i="2"/>
  <c r="AP13" i="2"/>
  <c r="O13" i="2"/>
  <c r="T13" i="2"/>
  <c r="AI7" i="2"/>
  <c r="AP7" i="2"/>
  <c r="AP9" i="2"/>
  <c r="BB10" i="2"/>
  <c r="AG12" i="2"/>
  <c r="O8" i="2"/>
  <c r="AW8" i="2"/>
  <c r="BA14" i="2"/>
  <c r="T17" i="2"/>
  <c r="AX17" i="2"/>
  <c r="BE17" i="2"/>
  <c r="AZ17" i="2"/>
  <c r="AA6" i="2"/>
  <c r="O7" i="2"/>
  <c r="R8" i="2"/>
  <c r="AU8" i="2"/>
  <c r="O14" i="2"/>
  <c r="AX14" i="2"/>
  <c r="BG14" i="2"/>
  <c r="AC18" i="2"/>
  <c r="BS18" i="2"/>
  <c r="Z20" i="2"/>
  <c r="CA20" i="2"/>
  <c r="CA12" i="2"/>
  <c r="CA19" i="2"/>
  <c r="CA11" i="2"/>
  <c r="CA18" i="2"/>
  <c r="CA10" i="2"/>
  <c r="CA17" i="2"/>
  <c r="CA9" i="2"/>
  <c r="AE15" i="2"/>
  <c r="BE10" i="2"/>
  <c r="O15" i="2"/>
  <c r="AU16" i="2"/>
  <c r="AX16" i="2"/>
  <c r="Y20" i="2"/>
  <c r="CB6" i="2"/>
  <c r="CB18" i="2"/>
  <c r="CB10" i="2"/>
  <c r="CB5" i="2"/>
  <c r="CB17" i="2"/>
  <c r="CB9" i="2"/>
  <c r="CB16" i="2"/>
  <c r="CB8" i="2"/>
  <c r="CB23" i="2"/>
  <c r="CB15" i="2"/>
  <c r="BS9" i="2"/>
  <c r="AT16" i="2"/>
  <c r="X20" i="2"/>
  <c r="CC16" i="2"/>
  <c r="CC23" i="2"/>
  <c r="CC15" i="2"/>
  <c r="CC7" i="2"/>
  <c r="CC22" i="2"/>
  <c r="CC14" i="2"/>
  <c r="CC6" i="2"/>
  <c r="CC21" i="2"/>
  <c r="CC13" i="2"/>
  <c r="CC5" i="2"/>
  <c r="W13" i="2"/>
  <c r="W21" i="2"/>
  <c r="V21" i="2"/>
  <c r="V6" i="2"/>
  <c r="AR12" i="2"/>
  <c r="V14" i="2"/>
  <c r="AR20" i="2"/>
  <c r="V22" i="2"/>
  <c r="BA16" i="2"/>
  <c r="AZ16" i="2"/>
  <c r="BC16" i="2"/>
  <c r="BB16" i="2"/>
  <c r="BG22" i="2"/>
  <c r="AZ22" i="2"/>
  <c r="BB22" i="2"/>
  <c r="BA22" i="2"/>
  <c r="AX23" i="2"/>
  <c r="AZ23" i="2"/>
  <c r="AF19" i="2"/>
  <c r="AX9" i="2"/>
  <c r="AZ9" i="2"/>
  <c r="AX19" i="2"/>
  <c r="BD14" i="2"/>
  <c r="BF17" i="2"/>
  <c r="AX7" i="2"/>
  <c r="AZ7" i="2"/>
  <c r="AK23" i="2"/>
  <c r="AF18" i="2"/>
  <c r="BC14" i="2"/>
  <c r="BD22" i="2"/>
  <c r="BF14" i="2"/>
  <c r="AX15" i="2"/>
  <c r="AZ15" i="2"/>
  <c r="BG17" i="2"/>
  <c r="BH17" i="2"/>
  <c r="AK8" i="2"/>
  <c r="AC17" i="2"/>
  <c r="BA17" i="2"/>
  <c r="AK14" i="2"/>
  <c r="BJ15" i="2"/>
  <c r="BL15" i="2"/>
  <c r="AM18" i="2"/>
  <c r="AG18" i="2"/>
  <c r="AE18" i="2"/>
  <c r="AC13" i="2"/>
  <c r="BC22" i="2"/>
  <c r="AN12" i="2"/>
  <c r="BC17" i="2"/>
  <c r="AK18" i="2"/>
  <c r="AH18" i="2"/>
  <c r="AX8" i="2"/>
  <c r="AJ14" i="2"/>
  <c r="AC11" i="2"/>
  <c r="AE11" i="2"/>
  <c r="BF16" i="2"/>
  <c r="AN9" i="2"/>
  <c r="AL18" i="2"/>
  <c r="AI22" i="2"/>
  <c r="AZ14" i="2"/>
  <c r="AX13" i="2"/>
  <c r="BA13" i="2"/>
  <c r="BE14" i="2"/>
  <c r="AC8" i="2"/>
  <c r="AH9" i="2"/>
  <c r="AJ9" i="2"/>
  <c r="BJ9" i="2"/>
  <c r="BL9" i="2"/>
  <c r="AG9" i="2"/>
  <c r="AK9" i="2"/>
  <c r="AL9" i="2"/>
  <c r="AJ23" i="2"/>
  <c r="BJ23" i="2"/>
  <c r="BL23" i="2"/>
  <c r="AL23" i="2"/>
  <c r="AG23" i="2"/>
  <c r="AN23" i="2"/>
  <c r="BS23" i="2"/>
  <c r="AN15" i="2"/>
  <c r="BS14" i="2"/>
  <c r="AK22" i="2"/>
  <c r="BN10" i="2"/>
  <c r="BM10" i="2"/>
  <c r="BH10" i="2"/>
  <c r="AH14" i="2"/>
  <c r="AC22" i="2"/>
  <c r="BG8" i="2"/>
  <c r="AC16" i="2"/>
  <c r="BF22" i="2"/>
  <c r="AC5" i="2"/>
  <c r="BN18" i="2"/>
  <c r="BM18" i="2"/>
  <c r="BT18" i="2"/>
  <c r="BU18" i="2"/>
  <c r="BV18" i="2"/>
  <c r="BH18" i="2"/>
  <c r="AL16" i="2"/>
  <c r="AJ6" i="2"/>
  <c r="AX20" i="2"/>
  <c r="AE4" i="2"/>
  <c r="AX5" i="2"/>
  <c r="AZ5" i="2"/>
  <c r="AH7" i="2"/>
  <c r="AK7" i="2"/>
  <c r="AL7" i="2"/>
  <c r="AM7" i="2"/>
  <c r="AJ7" i="2"/>
  <c r="BJ7" i="2"/>
  <c r="BL7" i="2"/>
  <c r="BS7" i="2"/>
  <c r="AG7" i="2"/>
  <c r="BN17" i="2"/>
  <c r="BM17" i="2"/>
  <c r="AG14" i="2"/>
  <c r="AC14" i="2"/>
  <c r="AI23" i="2"/>
  <c r="AC10" i="2"/>
  <c r="AM10" i="2"/>
  <c r="AM23" i="2"/>
  <c r="AJ22" i="2"/>
  <c r="AX11" i="2"/>
  <c r="AZ11" i="2"/>
  <c r="AC21" i="2"/>
  <c r="AF21" i="2"/>
  <c r="AE21" i="2"/>
  <c r="BB14" i="2"/>
  <c r="AF7" i="2"/>
  <c r="AN7" i="2"/>
  <c r="BG16" i="2"/>
  <c r="BB12" i="2"/>
  <c r="AX12" i="2"/>
  <c r="BE8" i="2"/>
  <c r="AX6" i="2"/>
  <c r="BE6" i="2"/>
  <c r="AI18" i="2"/>
  <c r="BD17" i="2"/>
  <c r="BE22" i="2"/>
  <c r="AX4" i="2"/>
  <c r="AZ4" i="2"/>
  <c r="AF9" i="2"/>
  <c r="AC6" i="2"/>
  <c r="AC20" i="2"/>
  <c r="AI20" i="2"/>
  <c r="BS22" i="2"/>
  <c r="AX21" i="2"/>
  <c r="AH23" i="2"/>
  <c r="AC19" i="2"/>
  <c r="AE19" i="2"/>
  <c r="AM11" i="2"/>
  <c r="BE16" i="2"/>
  <c r="BA7" i="2"/>
  <c r="AH21" i="2"/>
  <c r="BD16" i="2"/>
  <c r="AL6" i="2"/>
  <c r="AI14" i="2"/>
  <c r="AJ18" i="2"/>
  <c r="BH14" i="2"/>
  <c r="BN14" i="2"/>
  <c r="BM14" i="2"/>
  <c r="BT14" i="2"/>
  <c r="BU14" i="2"/>
  <c r="BV14" i="2"/>
  <c r="BS13" i="2"/>
  <c r="AL13" i="2"/>
  <c r="AI13" i="2"/>
  <c r="AJ13" i="2"/>
  <c r="BJ13" i="2"/>
  <c r="BL13" i="2"/>
  <c r="AK13" i="2"/>
  <c r="AG13" i="2"/>
  <c r="BA9" i="2"/>
  <c r="BH9" i="2"/>
  <c r="BA19" i="2"/>
  <c r="BB19" i="2"/>
  <c r="BC19" i="2"/>
  <c r="BG19" i="2"/>
  <c r="BE19" i="2"/>
  <c r="BF19" i="2"/>
  <c r="BD19" i="2"/>
  <c r="AJ20" i="2"/>
  <c r="BJ20" i="2"/>
  <c r="BL20" i="2"/>
  <c r="BJ6" i="2"/>
  <c r="BL6" i="2"/>
  <c r="BD6" i="2"/>
  <c r="BA12" i="2"/>
  <c r="AZ12" i="2"/>
  <c r="BC12" i="2"/>
  <c r="BG12" i="2"/>
  <c r="BF12" i="2"/>
  <c r="BD12" i="2"/>
  <c r="AE13" i="2"/>
  <c r="AZ20" i="2"/>
  <c r="BA20" i="2"/>
  <c r="BC20" i="2"/>
  <c r="BD20" i="2"/>
  <c r="BF20" i="2"/>
  <c r="BW18" i="2"/>
  <c r="BY18" i="2"/>
  <c r="BX18" i="2"/>
  <c r="BZ18" i="2"/>
  <c r="AH13" i="2"/>
  <c r="AF13" i="2"/>
  <c r="AF6" i="2"/>
  <c r="AM6" i="2"/>
  <c r="AH6" i="2"/>
  <c r="BS6" i="2"/>
  <c r="AE6" i="2"/>
  <c r="AK6" i="2"/>
  <c r="AG5" i="2"/>
  <c r="AH5" i="2"/>
  <c r="BS5" i="2"/>
  <c r="AM5" i="2"/>
  <c r="AI5" i="2"/>
  <c r="AF5" i="2"/>
  <c r="AK5" i="2"/>
  <c r="AJ5" i="2"/>
  <c r="BJ5" i="2"/>
  <c r="BL5" i="2"/>
  <c r="AL5" i="2"/>
  <c r="AG6" i="2"/>
  <c r="AE5" i="2"/>
  <c r="AE20" i="2"/>
  <c r="AF20" i="2"/>
  <c r="AM20" i="2"/>
  <c r="AG20" i="2"/>
  <c r="AL20" i="2"/>
  <c r="AH20" i="2"/>
  <c r="BS11" i="2"/>
  <c r="AK11" i="2"/>
  <c r="AL11" i="2"/>
  <c r="AI11" i="2"/>
  <c r="AF11" i="2"/>
  <c r="AN11" i="2"/>
  <c r="AH11" i="2"/>
  <c r="AG11" i="2"/>
  <c r="AJ11" i="2"/>
  <c r="BJ11" i="2"/>
  <c r="BL11" i="2"/>
  <c r="BE23" i="2"/>
  <c r="BF23" i="2"/>
  <c r="BG23" i="2"/>
  <c r="BC23" i="2"/>
  <c r="BD23" i="2"/>
  <c r="BB23" i="2"/>
  <c r="BA6" i="2"/>
  <c r="BB6" i="2"/>
  <c r="BG6" i="2"/>
  <c r="BC6" i="2"/>
  <c r="BF6" i="2"/>
  <c r="AZ6" i="2"/>
  <c r="BS21" i="2"/>
  <c r="AI21" i="2"/>
  <c r="AM21" i="2"/>
  <c r="AL21" i="2"/>
  <c r="AJ21" i="2"/>
  <c r="BJ21" i="2"/>
  <c r="BL21" i="2"/>
  <c r="AK21" i="2"/>
  <c r="BE20" i="2"/>
  <c r="BJ14" i="2"/>
  <c r="BL14" i="2"/>
  <c r="BG21" i="2"/>
  <c r="BC21" i="2"/>
  <c r="BD21" i="2"/>
  <c r="BE21" i="2"/>
  <c r="BF21" i="2"/>
  <c r="BB21" i="2"/>
  <c r="BG9" i="2"/>
  <c r="BB9" i="2"/>
  <c r="BN9" i="2"/>
  <c r="BM9" i="2"/>
  <c r="BT9" i="2"/>
  <c r="BU9" i="2"/>
  <c r="BV9" i="2"/>
  <c r="BD9" i="2"/>
  <c r="BE9" i="2"/>
  <c r="BF9" i="2"/>
  <c r="BC9" i="2"/>
  <c r="AM19" i="2"/>
  <c r="BS19" i="2"/>
  <c r="AI19" i="2"/>
  <c r="AJ19" i="2"/>
  <c r="BJ19" i="2"/>
  <c r="BL19" i="2"/>
  <c r="AG19" i="2"/>
  <c r="AL19" i="2"/>
  <c r="AK19" i="2"/>
  <c r="AH19" i="2"/>
  <c r="AN19" i="2"/>
  <c r="AJ16" i="2"/>
  <c r="BJ16" i="2"/>
  <c r="BL16" i="2"/>
  <c r="AH16" i="2"/>
  <c r="AM16" i="2"/>
  <c r="AG16" i="2"/>
  <c r="BS16" i="2"/>
  <c r="AE16" i="2"/>
  <c r="AF16" i="2"/>
  <c r="AI16" i="2"/>
  <c r="BC8" i="2"/>
  <c r="BA8" i="2"/>
  <c r="BB8" i="2"/>
  <c r="AZ8" i="2"/>
  <c r="BD8" i="2"/>
  <c r="BG13" i="2"/>
  <c r="BE13" i="2"/>
  <c r="BD13" i="2"/>
  <c r="BC13" i="2"/>
  <c r="BB13" i="2"/>
  <c r="BF13" i="2"/>
  <c r="BD15" i="2"/>
  <c r="BE15" i="2"/>
  <c r="BF15" i="2"/>
  <c r="BG15" i="2"/>
  <c r="BC15" i="2"/>
  <c r="BB15" i="2"/>
  <c r="BN15" i="2"/>
  <c r="BM15" i="2"/>
  <c r="BT15" i="2"/>
  <c r="BU15" i="2"/>
  <c r="BV15" i="2"/>
  <c r="AM13" i="2"/>
  <c r="BC4" i="2"/>
  <c r="BA4" i="2"/>
  <c r="BD4" i="2"/>
  <c r="BE4" i="2"/>
  <c r="BG4" i="2"/>
  <c r="BB4" i="2"/>
  <c r="BF4" i="2"/>
  <c r="BA11" i="2"/>
  <c r="BN11" i="2"/>
  <c r="BM11" i="2"/>
  <c r="BT11" i="2"/>
  <c r="BU11" i="2"/>
  <c r="BV11" i="2"/>
  <c r="BB11" i="2"/>
  <c r="BF11" i="2"/>
  <c r="BC11" i="2"/>
  <c r="BG11" i="2"/>
  <c r="BE11" i="2"/>
  <c r="BD11" i="2"/>
  <c r="BE12" i="2"/>
  <c r="BH22" i="2"/>
  <c r="BN22" i="2"/>
  <c r="BM22" i="2"/>
  <c r="BT22" i="2"/>
  <c r="BU22" i="2"/>
  <c r="BV22" i="2"/>
  <c r="AN18" i="2"/>
  <c r="AG21" i="2"/>
  <c r="AN21" i="2"/>
  <c r="BJ22" i="2"/>
  <c r="BL22" i="2"/>
  <c r="BG5" i="2"/>
  <c r="BB5" i="2"/>
  <c r="BN5" i="2"/>
  <c r="BM5" i="2"/>
  <c r="BT5" i="2"/>
  <c r="BV5" i="2"/>
  <c r="BC5" i="2"/>
  <c r="BD5" i="2"/>
  <c r="BE5" i="2"/>
  <c r="BF5" i="2"/>
  <c r="BA5" i="2"/>
  <c r="BH5" i="2"/>
  <c r="AF22" i="2"/>
  <c r="AM22" i="2"/>
  <c r="AE22" i="2"/>
  <c r="AL22" i="2"/>
  <c r="AH22" i="2"/>
  <c r="BG7" i="2"/>
  <c r="BE7" i="2"/>
  <c r="BC7" i="2"/>
  <c r="BD7" i="2"/>
  <c r="BF7" i="2"/>
  <c r="BB7" i="2"/>
  <c r="BH7" i="2"/>
  <c r="AG22" i="2"/>
  <c r="BA15" i="2"/>
  <c r="BH15" i="2"/>
  <c r="BA21" i="2"/>
  <c r="AM17" i="2"/>
  <c r="AG17" i="2"/>
  <c r="AH17" i="2"/>
  <c r="AJ17" i="2"/>
  <c r="BJ17" i="2"/>
  <c r="BL17" i="2"/>
  <c r="AK17" i="2"/>
  <c r="AL17" i="2"/>
  <c r="AF17" i="2"/>
  <c r="AI17" i="2"/>
  <c r="BS17" i="2"/>
  <c r="BT17" i="2"/>
  <c r="BU17" i="2"/>
  <c r="BV17" i="2"/>
  <c r="BJ18" i="2"/>
  <c r="BL18" i="2"/>
  <c r="AI6" i="2"/>
  <c r="AH10" i="2"/>
  <c r="AG10" i="2"/>
  <c r="AK10" i="2"/>
  <c r="BS10" i="2"/>
  <c r="AI10" i="2"/>
  <c r="AE10" i="2"/>
  <c r="AL10" i="2"/>
  <c r="AF10" i="2"/>
  <c r="AJ10" i="2"/>
  <c r="BJ10" i="2"/>
  <c r="BL10" i="2"/>
  <c r="AF4" i="2"/>
  <c r="AG4" i="2"/>
  <c r="AH4" i="2"/>
  <c r="AI4" i="2"/>
  <c r="AK4" i="2"/>
  <c r="AL4" i="2"/>
  <c r="AN4" i="2"/>
  <c r="BL4" i="2"/>
  <c r="AG8" i="2"/>
  <c r="AJ8" i="2"/>
  <c r="BS8" i="2"/>
  <c r="AL8" i="2"/>
  <c r="AI8" i="2"/>
  <c r="AF8" i="2"/>
  <c r="AE8" i="2"/>
  <c r="AM8" i="2"/>
  <c r="AH8" i="2"/>
  <c r="AE17" i="2"/>
  <c r="BA23" i="2"/>
  <c r="BH23" i="2"/>
  <c r="BS20" i="2"/>
  <c r="AK20" i="2"/>
  <c r="BH16" i="2"/>
  <c r="BN16" i="2"/>
  <c r="BM16" i="2"/>
  <c r="AZ21" i="2"/>
  <c r="BG20" i="2"/>
  <c r="AF14" i="2"/>
  <c r="AL14" i="2"/>
  <c r="AM14" i="2"/>
  <c r="AE14" i="2"/>
  <c r="BB20" i="2"/>
  <c r="BT10" i="2"/>
  <c r="BU10" i="2"/>
  <c r="BV10" i="2"/>
  <c r="AZ13" i="2"/>
  <c r="AK16" i="2"/>
  <c r="BF8" i="2"/>
  <c r="AZ19" i="2"/>
  <c r="BW5" i="2"/>
  <c r="BZ5" i="2"/>
  <c r="BY5" i="2"/>
  <c r="BX5" i="2"/>
  <c r="BZ9" i="2"/>
  <c r="BW9" i="2"/>
  <c r="BY9" i="2"/>
  <c r="BX9" i="2"/>
  <c r="BW11" i="2"/>
  <c r="BZ11" i="2"/>
  <c r="BY11" i="2"/>
  <c r="BX11" i="2"/>
  <c r="BY17" i="2"/>
  <c r="BX17" i="2"/>
  <c r="BW17" i="2"/>
  <c r="BZ17" i="2"/>
  <c r="BZ4" i="2"/>
  <c r="BZ15" i="2"/>
  <c r="BY15" i="2"/>
  <c r="BX15" i="2"/>
  <c r="BW15" i="2"/>
  <c r="AN5" i="2"/>
  <c r="BN21" i="2"/>
  <c r="BM21" i="2"/>
  <c r="BT21" i="2"/>
  <c r="BU21" i="2"/>
  <c r="BV21" i="2"/>
  <c r="BH21" i="2"/>
  <c r="BN12" i="2"/>
  <c r="BM12" i="2"/>
  <c r="BT12" i="2"/>
  <c r="BU12" i="2"/>
  <c r="BV12" i="2"/>
  <c r="BH12" i="2"/>
  <c r="BT16" i="2"/>
  <c r="BU16" i="2"/>
  <c r="BV16" i="2"/>
  <c r="BH6" i="2"/>
  <c r="BN6" i="2"/>
  <c r="BM6" i="2"/>
  <c r="BT6" i="2"/>
  <c r="BU6" i="2"/>
  <c r="BV6" i="2"/>
  <c r="BW14" i="2"/>
  <c r="BZ14" i="2"/>
  <c r="BY14" i="2"/>
  <c r="BX14" i="2"/>
  <c r="BN19" i="2"/>
  <c r="BM19" i="2"/>
  <c r="BT19" i="2"/>
  <c r="BU19" i="2"/>
  <c r="BV19" i="2"/>
  <c r="BH19" i="2"/>
  <c r="BW22" i="2"/>
  <c r="BZ22" i="2"/>
  <c r="BY22" i="2"/>
  <c r="BX22" i="2"/>
  <c r="CH18" i="2"/>
  <c r="CE18" i="2"/>
  <c r="CG18" i="2"/>
  <c r="CD18" i="2"/>
  <c r="CI18" i="2"/>
  <c r="CF18" i="2"/>
  <c r="AN17" i="2"/>
  <c r="BH4" i="2"/>
  <c r="BN7" i="2"/>
  <c r="BM7" i="2"/>
  <c r="BT7" i="2"/>
  <c r="BU7" i="2"/>
  <c r="BV7" i="2"/>
  <c r="BN13" i="2"/>
  <c r="BM13" i="2"/>
  <c r="BT13" i="2"/>
  <c r="BU13" i="2"/>
  <c r="BV13" i="2"/>
  <c r="BH13" i="2"/>
  <c r="AN22" i="2"/>
  <c r="BH8" i="2"/>
  <c r="BN8" i="2"/>
  <c r="BM8" i="2"/>
  <c r="BT8" i="2"/>
  <c r="BU8" i="2"/>
  <c r="BV8" i="2"/>
  <c r="BY10" i="2"/>
  <c r="BW10" i="2"/>
  <c r="BZ10" i="2"/>
  <c r="BX10" i="2"/>
  <c r="AN8" i="2"/>
  <c r="BN20" i="2"/>
  <c r="BM20" i="2"/>
  <c r="BT20" i="2"/>
  <c r="BU20" i="2"/>
  <c r="BV20" i="2"/>
  <c r="BH20" i="2"/>
  <c r="AN14" i="2"/>
  <c r="AN20" i="2"/>
  <c r="AN6" i="2"/>
  <c r="AN13" i="2"/>
  <c r="AN10" i="2"/>
  <c r="BN23" i="2"/>
  <c r="BM23" i="2"/>
  <c r="BT23" i="2"/>
  <c r="BU23" i="2"/>
  <c r="BV23" i="2"/>
  <c r="BH11" i="2"/>
  <c r="BJ8" i="2"/>
  <c r="BL8" i="2"/>
  <c r="AN16" i="2"/>
  <c r="BX20" i="2"/>
  <c r="BW20" i="2"/>
  <c r="BZ20" i="2"/>
  <c r="BY20" i="2"/>
  <c r="CL18" i="2"/>
  <c r="BZ6" i="2"/>
  <c r="BY6" i="2"/>
  <c r="BX6" i="2"/>
  <c r="BW6" i="2"/>
  <c r="CJ18" i="2"/>
  <c r="BW12" i="2"/>
  <c r="BZ12" i="2"/>
  <c r="BY12" i="2"/>
  <c r="BX12" i="2"/>
  <c r="CK18" i="2"/>
  <c r="CH10" i="2"/>
  <c r="CE10" i="2"/>
  <c r="CK10" i="2"/>
  <c r="CG10" i="2"/>
  <c r="CD10" i="2"/>
  <c r="CJ10" i="2"/>
  <c r="CI10" i="2"/>
  <c r="CF10" i="2"/>
  <c r="BW21" i="2"/>
  <c r="BZ21" i="2"/>
  <c r="BY21" i="2"/>
  <c r="BX21" i="2"/>
  <c r="CH11" i="2"/>
  <c r="CE11" i="2"/>
  <c r="CG11" i="2"/>
  <c r="CD11" i="2"/>
  <c r="CI11" i="2"/>
  <c r="CF11" i="2"/>
  <c r="BX16" i="2"/>
  <c r="BW16" i="2"/>
  <c r="BZ16" i="2"/>
  <c r="BY16" i="2"/>
  <c r="BX8" i="2"/>
  <c r="BW8" i="2"/>
  <c r="BZ8" i="2"/>
  <c r="BY8" i="2"/>
  <c r="CI15" i="2"/>
  <c r="CF15" i="2"/>
  <c r="CH15" i="2"/>
  <c r="CE15" i="2"/>
  <c r="CG15" i="2"/>
  <c r="CD15" i="2"/>
  <c r="CI22" i="2"/>
  <c r="CF22" i="2"/>
  <c r="CH22" i="2"/>
  <c r="CG22" i="2"/>
  <c r="CD22" i="2"/>
  <c r="CI9" i="2"/>
  <c r="CH9" i="2"/>
  <c r="CE9" i="2"/>
  <c r="CF9" i="2"/>
  <c r="CG9" i="2"/>
  <c r="CD9" i="2"/>
  <c r="BY23" i="2"/>
  <c r="BX23" i="2"/>
  <c r="BW23" i="2"/>
  <c r="BZ23" i="2"/>
  <c r="BW19" i="2"/>
  <c r="BZ19" i="2"/>
  <c r="BY19" i="2"/>
  <c r="BX19" i="2"/>
  <c r="BW13" i="2"/>
  <c r="BZ13" i="2"/>
  <c r="BY13" i="2"/>
  <c r="BX13" i="2"/>
  <c r="BZ7" i="2"/>
  <c r="BX7" i="2"/>
  <c r="BW7" i="2"/>
  <c r="BY7" i="2"/>
  <c r="CI17" i="2"/>
  <c r="CF17" i="2"/>
  <c r="CH17" i="2"/>
  <c r="CE17" i="2"/>
  <c r="CG17" i="2"/>
  <c r="CD17" i="2"/>
  <c r="CI14" i="2"/>
  <c r="CH14" i="2"/>
  <c r="CG14" i="2"/>
  <c r="CD14" i="2"/>
  <c r="CI4" i="2"/>
  <c r="CF4" i="2"/>
  <c r="CG5" i="2"/>
  <c r="CD5" i="2"/>
  <c r="CJ5" i="2"/>
  <c r="CI5" i="2"/>
  <c r="CH5" i="2"/>
  <c r="CE5" i="2"/>
  <c r="CF5" i="2"/>
  <c r="CL5" i="2"/>
  <c r="CJ17" i="2"/>
  <c r="CH19" i="2"/>
  <c r="CE19" i="2"/>
  <c r="CG19" i="2"/>
  <c r="CD19" i="2"/>
  <c r="CI19" i="2"/>
  <c r="CL22" i="2"/>
  <c r="CK17" i="2"/>
  <c r="CI23" i="2"/>
  <c r="CF23" i="2"/>
  <c r="CH23" i="2"/>
  <c r="CE23" i="2"/>
  <c r="CG23" i="2"/>
  <c r="CD23" i="2"/>
  <c r="CJ15" i="2"/>
  <c r="CJ11" i="2"/>
  <c r="CG12" i="2"/>
  <c r="CD12" i="2"/>
  <c r="CJ12" i="2"/>
  <c r="CI12" i="2"/>
  <c r="CF12" i="2"/>
  <c r="CH12" i="2"/>
  <c r="CE12" i="2"/>
  <c r="CL17" i="2"/>
  <c r="CK15" i="2"/>
  <c r="CK11" i="2"/>
  <c r="CK4" i="2"/>
  <c r="CI6" i="2"/>
  <c r="CF6" i="2"/>
  <c r="CG6" i="2"/>
  <c r="CD6" i="2"/>
  <c r="CH6" i="2"/>
  <c r="CE6" i="2"/>
  <c r="CL4" i="2"/>
  <c r="CI7" i="2"/>
  <c r="CF7" i="2"/>
  <c r="CH7" i="2"/>
  <c r="CG7" i="2"/>
  <c r="CE7" i="2"/>
  <c r="CD7" i="2"/>
  <c r="CJ9" i="2"/>
  <c r="CL15" i="2"/>
  <c r="CJ4" i="2"/>
  <c r="CG21" i="2"/>
  <c r="CD21" i="2"/>
  <c r="CI21" i="2"/>
  <c r="CF21" i="2"/>
  <c r="CH21" i="2"/>
  <c r="CE21" i="2"/>
  <c r="CK9" i="2"/>
  <c r="CI8" i="2"/>
  <c r="CF8" i="2"/>
  <c r="CH8" i="2"/>
  <c r="CE8" i="2"/>
  <c r="CG8" i="2"/>
  <c r="CD8" i="2"/>
  <c r="CJ14" i="2"/>
  <c r="CL9" i="2"/>
  <c r="CL10" i="2"/>
  <c r="CE14" i="2"/>
  <c r="CK14" i="2"/>
  <c r="CG13" i="2"/>
  <c r="CD13" i="2"/>
  <c r="CH13" i="2"/>
  <c r="CI13" i="2"/>
  <c r="CF13" i="2"/>
  <c r="CE13" i="2"/>
  <c r="CJ22" i="2"/>
  <c r="CG20" i="2"/>
  <c r="CD20" i="2"/>
  <c r="CI20" i="2"/>
  <c r="CH20" i="2"/>
  <c r="CE20" i="2"/>
  <c r="CF20" i="2"/>
  <c r="CL11" i="2"/>
  <c r="CK5" i="2"/>
  <c r="CF14" i="2"/>
  <c r="CL14" i="2"/>
  <c r="CE22" i="2"/>
  <c r="CK22" i="2"/>
  <c r="CI16" i="2"/>
  <c r="CF16" i="2"/>
  <c r="CH16" i="2"/>
  <c r="CE16" i="2"/>
  <c r="CG16" i="2"/>
  <c r="CD16" i="2"/>
  <c r="CL23" i="2"/>
  <c r="CJ21" i="2"/>
  <c r="CK20" i="2"/>
  <c r="CL20" i="2"/>
  <c r="CJ8" i="2"/>
  <c r="CJ7" i="2"/>
  <c r="CK12" i="2"/>
  <c r="CF19" i="2"/>
  <c r="CL19" i="2"/>
  <c r="CJ20" i="2"/>
  <c r="CK8" i="2"/>
  <c r="CK7" i="2"/>
  <c r="CL12" i="2"/>
  <c r="CJ19" i="2"/>
  <c r="CK23" i="2"/>
  <c r="CJ16" i="2"/>
  <c r="CL8" i="2"/>
  <c r="CL7" i="2"/>
  <c r="CL6" i="2"/>
  <c r="CK19" i="2"/>
  <c r="CL13" i="2"/>
  <c r="CK16" i="2"/>
  <c r="CK13" i="2"/>
  <c r="CK21" i="2"/>
  <c r="CK6" i="2"/>
  <c r="CL16" i="2"/>
  <c r="CJ13" i="2"/>
  <c r="CL21" i="2"/>
  <c r="CJ6" i="2"/>
  <c r="CJ23" i="2"/>
</calcChain>
</file>

<file path=xl/sharedStrings.xml><?xml version="1.0" encoding="utf-8"?>
<sst xmlns="http://schemas.openxmlformats.org/spreadsheetml/2006/main" count="541" uniqueCount="178">
  <si>
    <t>molar weight</t>
  </si>
  <si>
    <t>molar proportions</t>
  </si>
  <si>
    <t>cation proportions</t>
  </si>
  <si>
    <t>Cation fraction</t>
  </si>
  <si>
    <t>a</t>
  </si>
  <si>
    <t>b</t>
  </si>
  <si>
    <t>c</t>
  </si>
  <si>
    <t>e</t>
  </si>
  <si>
    <t>Sample</t>
  </si>
  <si>
    <t>T(°C)</t>
  </si>
  <si>
    <t>P(bar)</t>
  </si>
  <si>
    <t>SO3</t>
  </si>
  <si>
    <t>SiO2</t>
  </si>
  <si>
    <t>TiO2</t>
  </si>
  <si>
    <t>Al2O3</t>
  </si>
  <si>
    <t>FeO*</t>
  </si>
  <si>
    <t>MgO</t>
  </si>
  <si>
    <t>CaO</t>
  </si>
  <si>
    <t>Na2O</t>
  </si>
  <si>
    <t>K2O</t>
  </si>
  <si>
    <t>Total</t>
  </si>
  <si>
    <t>H2O-</t>
  </si>
  <si>
    <t>S(ppm)</t>
  </si>
  <si>
    <t>KPS wt</t>
  </si>
  <si>
    <t>lnKps</t>
  </si>
  <si>
    <t>Kps</t>
  </si>
  <si>
    <t>FeO</t>
  </si>
  <si>
    <t>Sum</t>
  </si>
  <si>
    <t>AlO1.5</t>
  </si>
  <si>
    <t>NaO0.5</t>
  </si>
  <si>
    <t>KO0.5</t>
  </si>
  <si>
    <t>NBO/T</t>
  </si>
  <si>
    <t>AND-15</t>
  </si>
  <si>
    <t>Re-ReO2</t>
  </si>
  <si>
    <t>AND-13</t>
  </si>
  <si>
    <t>AND-16</t>
  </si>
  <si>
    <t>AND-18</t>
  </si>
  <si>
    <t>AND-23</t>
  </si>
  <si>
    <t>AND-7</t>
  </si>
  <si>
    <t>HM</t>
  </si>
  <si>
    <t>AND-10</t>
  </si>
  <si>
    <t>AND-8</t>
  </si>
  <si>
    <t>AND-12</t>
  </si>
  <si>
    <t>AND-9</t>
  </si>
  <si>
    <t>AND-11</t>
  </si>
  <si>
    <t>AND-19</t>
  </si>
  <si>
    <t>AND-24</t>
  </si>
  <si>
    <t>DAC-5</t>
  </si>
  <si>
    <t>DAC-13</t>
  </si>
  <si>
    <t>DAC-11</t>
  </si>
  <si>
    <t>DAC-14</t>
  </si>
  <si>
    <t>DAC-9</t>
  </si>
  <si>
    <t>DAC-18</t>
  </si>
  <si>
    <t>DAC-15</t>
  </si>
  <si>
    <t>DAC-20</t>
  </si>
  <si>
    <t>RDCT-12</t>
  </si>
  <si>
    <t>RDCT-14</t>
  </si>
  <si>
    <t>RDCT-17</t>
  </si>
  <si>
    <t>RDCT-18</t>
  </si>
  <si>
    <t>RDCT-11</t>
  </si>
  <si>
    <t>RDCT-13</t>
  </si>
  <si>
    <t>RDCT-7</t>
  </si>
  <si>
    <t>RDCT-10</t>
  </si>
  <si>
    <t>RDCT-5</t>
  </si>
  <si>
    <t>RDCT-9</t>
  </si>
  <si>
    <t>RDCT-15</t>
  </si>
  <si>
    <t>RDCT-16</t>
  </si>
  <si>
    <t>CaHGT-1</t>
  </si>
  <si>
    <t>CaHGT-2</t>
  </si>
  <si>
    <t>CaHGT-3</t>
  </si>
  <si>
    <t>CaHGT-4</t>
  </si>
  <si>
    <t>CaHGT-5</t>
  </si>
  <si>
    <t>CaHGT-6</t>
  </si>
  <si>
    <t>CaHGT-7</t>
  </si>
  <si>
    <t>CaHGT-8</t>
  </si>
  <si>
    <t>HR-64</t>
  </si>
  <si>
    <t>NNO+0.5</t>
  </si>
  <si>
    <t>HR-65</t>
  </si>
  <si>
    <t>HR-60</t>
  </si>
  <si>
    <t>HR-73</t>
  </si>
  <si>
    <t>HR-81</t>
  </si>
  <si>
    <t>HR-22</t>
  </si>
  <si>
    <t>NNO+2</t>
  </si>
  <si>
    <t>HR-24</t>
  </si>
  <si>
    <t>HR-13</t>
  </si>
  <si>
    <t>HR-11</t>
  </si>
  <si>
    <t>HR-12</t>
  </si>
  <si>
    <t>C127a</t>
  </si>
  <si>
    <t>Carroll and Rutherford (1987)</t>
  </si>
  <si>
    <t>C141a</t>
  </si>
  <si>
    <t>C141c</t>
  </si>
  <si>
    <t>C142a</t>
  </si>
  <si>
    <t>C142c</t>
  </si>
  <si>
    <t>C72b</t>
  </si>
  <si>
    <t>MNO</t>
  </si>
  <si>
    <t>C135a</t>
  </si>
  <si>
    <t>C135b</t>
  </si>
  <si>
    <t>C95c</t>
  </si>
  <si>
    <t>M180</t>
  </si>
  <si>
    <t>C102a</t>
  </si>
  <si>
    <t>C102b</t>
  </si>
  <si>
    <t>C103a</t>
  </si>
  <si>
    <t>C103b</t>
  </si>
  <si>
    <t>C139a</t>
  </si>
  <si>
    <t>MNH</t>
  </si>
  <si>
    <t>Luhr (1990)</t>
  </si>
  <si>
    <t>81s</t>
  </si>
  <si>
    <t>Costa et al. (2004)</t>
  </si>
  <si>
    <t>87s</t>
  </si>
  <si>
    <t>88s</t>
  </si>
  <si>
    <t>89s</t>
  </si>
  <si>
    <t>95s</t>
  </si>
  <si>
    <t>109s</t>
  </si>
  <si>
    <t>137s</t>
  </si>
  <si>
    <t>144s</t>
  </si>
  <si>
    <t>146s</t>
  </si>
  <si>
    <t>148s</t>
  </si>
  <si>
    <t>MP2-III</t>
  </si>
  <si>
    <t>Clemente et al. (2004)</t>
  </si>
  <si>
    <t>MP3-I</t>
  </si>
  <si>
    <t>MP3-II</t>
  </si>
  <si>
    <t>MP3-III</t>
  </si>
  <si>
    <t>MP9-V</t>
  </si>
  <si>
    <t>MP14-I</t>
  </si>
  <si>
    <t>MP14-II</t>
  </si>
  <si>
    <t>MP14-III</t>
  </si>
  <si>
    <t>MP14-IV</t>
  </si>
  <si>
    <t>Zajacz et al. (GCA, 2012)</t>
  </si>
  <si>
    <t>measured</t>
  </si>
  <si>
    <t>predicted</t>
  </si>
  <si>
    <t>(wt%)</t>
  </si>
  <si>
    <t>X(S) melt</t>
  </si>
  <si>
    <t>X(S) fluid</t>
  </si>
  <si>
    <t>X(S) Anhy</t>
  </si>
  <si>
    <t>[S]tot</t>
  </si>
  <si>
    <t>CaO (Wt)</t>
  </si>
  <si>
    <t>CaO (MF)</t>
  </si>
  <si>
    <t>SO3(MF)</t>
  </si>
  <si>
    <t>C(SO3)melt</t>
  </si>
  <si>
    <t>[S]melt</t>
  </si>
  <si>
    <t>X(S)melt</t>
  </si>
  <si>
    <t>X(S)fluid</t>
  </si>
  <si>
    <t>A1</t>
  </si>
  <si>
    <t>A2</t>
  </si>
  <si>
    <t>A3</t>
  </si>
  <si>
    <t>Pinatubo 1991</t>
  </si>
  <si>
    <t>SO3 init =</t>
  </si>
  <si>
    <t>fluid fraction =</t>
  </si>
  <si>
    <t>melt fraction =</t>
  </si>
  <si>
    <t>d</t>
  </si>
  <si>
    <t>Reference</t>
  </si>
  <si>
    <t>O2 Buffer</t>
  </si>
  <si>
    <t>This study</t>
  </si>
  <si>
    <t>Huang and Keppler (2014)</t>
  </si>
  <si>
    <t>CALIBRATION DATASET</t>
  </si>
  <si>
    <t>TEST DATASET</t>
  </si>
  <si>
    <t>H2O init =</t>
  </si>
  <si>
    <t>T (°C)</t>
  </si>
  <si>
    <t>P (bar)</t>
  </si>
  <si>
    <t>C143a</t>
  </si>
  <si>
    <t>Ext</t>
  </si>
  <si>
    <t>H2O-     (by diff.)</t>
  </si>
  <si>
    <t>H2O-     (corr.)</t>
  </si>
  <si>
    <r>
      <t>D(S)</t>
    </r>
    <r>
      <rPr>
        <b/>
        <vertAlign val="superscript"/>
        <sz val="12"/>
        <rFont val="Myriad Pro"/>
      </rPr>
      <t>fluid-melt</t>
    </r>
    <r>
      <rPr>
        <b/>
        <sz val="12"/>
        <rFont val="Myriad Pro"/>
      </rPr>
      <t>_1 =</t>
    </r>
  </si>
  <si>
    <r>
      <t>D(S)</t>
    </r>
    <r>
      <rPr>
        <b/>
        <vertAlign val="superscript"/>
        <sz val="12"/>
        <rFont val="Myriad Pro"/>
      </rPr>
      <t>fluid-melt</t>
    </r>
    <r>
      <rPr>
        <b/>
        <sz val="12"/>
        <rFont val="Myriad Pro"/>
      </rPr>
      <t>_2 =</t>
    </r>
  </si>
  <si>
    <r>
      <t>D(S)</t>
    </r>
    <r>
      <rPr>
        <b/>
        <vertAlign val="superscript"/>
        <sz val="12"/>
        <rFont val="Myriad Pro"/>
      </rPr>
      <t>fluid-melt</t>
    </r>
    <r>
      <rPr>
        <b/>
        <sz val="12"/>
        <rFont val="Myriad Pro"/>
      </rPr>
      <t>_3 =</t>
    </r>
  </si>
  <si>
    <t>Parameters</t>
  </si>
  <si>
    <t>Insert composition here &gt;</t>
  </si>
  <si>
    <t>SiO2_Liq</t>
  </si>
  <si>
    <t>TiO2_Liq</t>
  </si>
  <si>
    <t>Al2O3_Liq</t>
  </si>
  <si>
    <t>FeOt_Liq</t>
  </si>
  <si>
    <t>MgO_Liq</t>
  </si>
  <si>
    <t>CaO_Liq</t>
  </si>
  <si>
    <t>Na2O_Liq</t>
  </si>
  <si>
    <t>K2O_Liq</t>
  </si>
  <si>
    <t>H2O_Liq</t>
  </si>
  <si>
    <t>S_Melt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</si>
</sst>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"/>
    <numFmt numFmtId="166" formatCode="0.0000"/>
    <numFmt numFmtId="167" formatCode="0.0%"/>
    <numFmt numFmtId="168" formatCode="0.000E+00"/>
    <numFmt numFmtId="169" formatCode="0.00000"/>
    <numFmt numFmtId="170" formatCode="_-* #,##0_-;\-* #,##0_-;_-* &quot;-&quot;_-;_-@_-"/>
    <numFmt numFmtId="171" formatCode="_-&quot;€&quot;* #,##0_-;\-&quot;€&quot;* #,##0_-;_-&quot;€&quot;* &quot;-&quot;_-;_-@_-"/>
    <numFmt numFmtId="172" formatCode="_-&quot;€&quot;* #,##0.00_-;\-&quot;€&quot;* #,##0.00_-;_-&quot;€&quot;* &quot;-&quot;??_-;_-@_-"/>
    <numFmt numFmtId="173" formatCode="_-* #,##0.00_-;\-* #,##0.00_-;_-* &quot;-&quot;??_-;_-@_-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name val="Myriad Pro"/>
    </font>
    <font>
      <sz val="12"/>
      <color theme="1"/>
      <name val="Myriad Pro"/>
    </font>
    <font>
      <b/>
      <sz val="14"/>
      <name val="Myriad Pro"/>
    </font>
    <font>
      <sz val="11"/>
      <name val="Myriad Pro"/>
    </font>
    <font>
      <b/>
      <sz val="12"/>
      <name val="Myriad Pro"/>
    </font>
    <font>
      <u/>
      <sz val="10"/>
      <color indexed="12"/>
      <name val="Verdana"/>
      <family val="2"/>
    </font>
    <font>
      <u/>
      <sz val="10"/>
      <color indexed="61"/>
      <name val="Verdana"/>
      <family val="2"/>
    </font>
    <font>
      <b/>
      <sz val="11"/>
      <name val="Myriad Pro"/>
    </font>
    <font>
      <sz val="10"/>
      <name val="Myriad Pro"/>
    </font>
    <font>
      <b/>
      <i/>
      <sz val="12"/>
      <name val="Myriad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800000"/>
      <name val="Myriad Pro"/>
    </font>
    <font>
      <b/>
      <vertAlign val="superscript"/>
      <sz val="12"/>
      <name val="Myriad Pro"/>
    </font>
    <font>
      <sz val="11"/>
      <color rgb="FF008000"/>
      <name val="Myriad Pro"/>
    </font>
    <font>
      <b/>
      <sz val="11"/>
      <color rgb="FF008000"/>
      <name val="Myriad Pro"/>
    </font>
    <font>
      <b/>
      <sz val="12"/>
      <color rgb="FF008000"/>
      <name val="Myriad Pro"/>
    </font>
    <font>
      <b/>
      <sz val="12"/>
      <color rgb="FF000090"/>
      <name val="Myriad Pr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0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165" fontId="3" fillId="0" borderId="0" xfId="3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166" fontId="3" fillId="0" borderId="0" xfId="3" applyNumberFormat="1" applyFont="1" applyAlignment="1">
      <alignment horizontal="center" vertical="center"/>
    </xf>
    <xf numFmtId="164" fontId="3" fillId="0" borderId="0" xfId="3" applyNumberFormat="1" applyFont="1" applyAlignment="1">
      <alignment horizontal="center" vertical="center"/>
    </xf>
    <xf numFmtId="2" fontId="3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3" applyNumberFormat="1" applyFont="1" applyAlignment="1">
      <alignment horizontal="center" vertical="center"/>
    </xf>
    <xf numFmtId="0" fontId="3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 wrapText="1"/>
    </xf>
    <xf numFmtId="2" fontId="7" fillId="0" borderId="0" xfId="3" applyNumberFormat="1" applyFont="1" applyAlignment="1">
      <alignment horizontal="center" vertical="center"/>
    </xf>
    <xf numFmtId="167" fontId="3" fillId="0" borderId="0" xfId="1" applyNumberFormat="1" applyFont="1" applyFill="1" applyAlignment="1">
      <alignment horizontal="center" vertical="center"/>
    </xf>
    <xf numFmtId="0" fontId="7" fillId="0" borderId="0" xfId="3" applyFont="1" applyAlignment="1">
      <alignment horizontal="right" vertical="center"/>
    </xf>
    <xf numFmtId="0" fontId="3" fillId="0" borderId="0" xfId="3" applyFont="1" applyAlignment="1">
      <alignment horizontal="left" vertical="center"/>
    </xf>
    <xf numFmtId="11" fontId="3" fillId="0" borderId="0" xfId="3" applyNumberFormat="1" applyFont="1" applyAlignment="1">
      <alignment horizontal="center" vertical="center"/>
    </xf>
    <xf numFmtId="169" fontId="3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right" vertical="center"/>
    </xf>
    <xf numFmtId="11" fontId="6" fillId="0" borderId="0" xfId="3" applyNumberFormat="1" applyFont="1" applyAlignment="1">
      <alignment horizontal="center" vertical="center"/>
    </xf>
    <xf numFmtId="164" fontId="11" fillId="0" borderId="0" xfId="3" applyNumberFormat="1" applyFont="1" applyAlignment="1">
      <alignment horizontal="center" vertical="center"/>
    </xf>
    <xf numFmtId="164" fontId="3" fillId="2" borderId="0" xfId="3" applyNumberFormat="1" applyFont="1" applyFill="1" applyAlignment="1">
      <alignment horizontal="center" vertical="center"/>
    </xf>
    <xf numFmtId="164" fontId="3" fillId="3" borderId="0" xfId="3" applyNumberFormat="1" applyFont="1" applyFill="1" applyAlignment="1">
      <alignment horizontal="center" vertical="center"/>
    </xf>
    <xf numFmtId="164" fontId="3" fillId="4" borderId="0" xfId="3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8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7" fillId="5" borderId="0" xfId="3" applyFont="1" applyFill="1" applyAlignment="1">
      <alignment horizontal="right" vertical="center"/>
    </xf>
    <xf numFmtId="0" fontId="6" fillId="5" borderId="0" xfId="3" applyFont="1" applyFill="1" applyAlignment="1">
      <alignment horizontal="center" vertical="center"/>
    </xf>
    <xf numFmtId="0" fontId="10" fillId="5" borderId="0" xfId="3" applyFont="1" applyFill="1" applyAlignment="1">
      <alignment horizontal="center" vertical="center"/>
    </xf>
    <xf numFmtId="0" fontId="17" fillId="5" borderId="0" xfId="3" applyFont="1" applyFill="1" applyAlignment="1">
      <alignment horizontal="center" vertical="center"/>
    </xf>
    <xf numFmtId="0" fontId="18" fillId="5" borderId="0" xfId="3" applyFont="1" applyFill="1" applyAlignment="1">
      <alignment horizontal="right" vertical="center"/>
    </xf>
    <xf numFmtId="2" fontId="19" fillId="5" borderId="0" xfId="3" applyNumberFormat="1" applyFont="1" applyFill="1" applyAlignment="1">
      <alignment horizontal="center" vertical="center"/>
    </xf>
    <xf numFmtId="0" fontId="7" fillId="6" borderId="0" xfId="3" applyFont="1" applyFill="1" applyAlignment="1">
      <alignment horizontal="right" vertical="center"/>
    </xf>
    <xf numFmtId="0" fontId="3" fillId="6" borderId="0" xfId="3" applyFont="1" applyFill="1" applyAlignment="1">
      <alignment horizontal="center" vertical="center"/>
    </xf>
    <xf numFmtId="2" fontId="7" fillId="6" borderId="0" xfId="3" applyNumberFormat="1" applyFont="1" applyFill="1" applyAlignment="1">
      <alignment horizontal="right" vertical="center"/>
    </xf>
    <xf numFmtId="0" fontId="7" fillId="6" borderId="0" xfId="3" applyFont="1" applyFill="1" applyAlignment="1">
      <alignment horizontal="center" vertical="center"/>
    </xf>
    <xf numFmtId="165" fontId="7" fillId="6" borderId="0" xfId="3" applyNumberFormat="1" applyFont="1" applyFill="1" applyAlignment="1">
      <alignment horizontal="right" vertical="center"/>
    </xf>
    <xf numFmtId="168" fontId="7" fillId="6" borderId="0" xfId="3" applyNumberFormat="1" applyFont="1" applyFill="1" applyAlignment="1">
      <alignment horizontal="right" vertical="center"/>
    </xf>
    <xf numFmtId="164" fontId="7" fillId="6" borderId="0" xfId="3" applyNumberFormat="1" applyFont="1" applyFill="1" applyAlignment="1">
      <alignment horizontal="right" vertical="center"/>
    </xf>
    <xf numFmtId="0" fontId="7" fillId="3" borderId="0" xfId="3" applyFont="1" applyFill="1" applyAlignment="1">
      <alignment horizontal="right" vertical="center"/>
    </xf>
    <xf numFmtId="0" fontId="7" fillId="4" borderId="0" xfId="3" applyFont="1" applyFill="1" applyAlignment="1">
      <alignment horizontal="right" vertical="center"/>
    </xf>
    <xf numFmtId="0" fontId="20" fillId="3" borderId="0" xfId="3" applyFont="1" applyFill="1" applyAlignment="1">
      <alignment horizontal="center" vertical="center"/>
    </xf>
    <xf numFmtId="0" fontId="20" fillId="4" borderId="0" xfId="3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7" fillId="2" borderId="0" xfId="3" applyFont="1" applyFill="1" applyAlignment="1">
      <alignment horizontal="right" vertical="center"/>
    </xf>
  </cellXfs>
  <cellStyles count="90">
    <cellStyle name="Collegamento ipertestuale_compo.rtf" xfId="4" xr:uid="{00000000-0005-0000-0000-000000000000}"/>
    <cellStyle name="Collegamento visitato_compo.rtf" xfId="5" xr:uid="{00000000-0005-0000-0000-000001000000}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Migliaia [0]_compo.rtf" xfId="6" xr:uid="{00000000-0005-0000-0000-00004E000000}"/>
    <cellStyle name="Normal" xfId="0" builtinId="0"/>
    <cellStyle name="Normal 2" xfId="2" xr:uid="{00000000-0005-0000-0000-000050000000}"/>
    <cellStyle name="Normal 3" xfId="7" xr:uid="{00000000-0005-0000-0000-000051000000}"/>
    <cellStyle name="Normal 4" xfId="8" xr:uid="{00000000-0005-0000-0000-000052000000}"/>
    <cellStyle name="Normal 5" xfId="3" xr:uid="{00000000-0005-0000-0000-000053000000}"/>
    <cellStyle name="Normale_compo.rtf" xfId="9" xr:uid="{00000000-0005-0000-0000-000054000000}"/>
    <cellStyle name="Percent" xfId="1" builtinId="5"/>
    <cellStyle name="Percent 2" xfId="10" xr:uid="{00000000-0005-0000-0000-000056000000}"/>
    <cellStyle name="Valuta [0]_compo.rtf" xfId="11" xr:uid="{00000000-0005-0000-0000-000057000000}"/>
    <cellStyle name="Valuta_compo.rtf" xfId="12" xr:uid="{00000000-0005-0000-0000-000058000000}"/>
    <cellStyle name="Virgola_compo.rtf" xfId="13" xr:uid="{00000000-0005-0000-0000-00005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77777777778"/>
          <c:y val="6.0185185185185203E-2"/>
          <c:w val="0.68870844269466303"/>
          <c:h val="0.7064814814814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'Pinatubo 850˚C'!$CD$3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850˚C'!$CG$4:$CG$23</c:f>
              <c:numCache>
                <c:formatCode>0.000</c:formatCode>
                <c:ptCount val="20"/>
                <c:pt idx="0">
                  <c:v>0.10515217991662483</c:v>
                </c:pt>
                <c:pt idx="1">
                  <c:v>7.4963367541085527E-2</c:v>
                </c:pt>
                <c:pt idx="2">
                  <c:v>7.1511379683521725E-2</c:v>
                </c:pt>
                <c:pt idx="3">
                  <c:v>7.7025425725372285E-2</c:v>
                </c:pt>
                <c:pt idx="4">
                  <c:v>8.8823209655453469E-2</c:v>
                </c:pt>
                <c:pt idx="5">
                  <c:v>0.10709694677475588</c:v>
                </c:pt>
                <c:pt idx="6">
                  <c:v>0.13332666530383436</c:v>
                </c:pt>
                <c:pt idx="7">
                  <c:v>0.17009537168440272</c:v>
                </c:pt>
                <c:pt idx="8">
                  <c:v>0.22131686950048374</c:v>
                </c:pt>
                <c:pt idx="9">
                  <c:v>0.26315789473684209</c:v>
                </c:pt>
                <c:pt idx="10">
                  <c:v>0.26315789473684209</c:v>
                </c:pt>
                <c:pt idx="11">
                  <c:v>0.26315789473684209</c:v>
                </c:pt>
                <c:pt idx="12">
                  <c:v>0.26315789473684209</c:v>
                </c:pt>
                <c:pt idx="13">
                  <c:v>0.26315789473684209</c:v>
                </c:pt>
                <c:pt idx="14">
                  <c:v>0.26315789473684209</c:v>
                </c:pt>
                <c:pt idx="15">
                  <c:v>0.26315789473684209</c:v>
                </c:pt>
                <c:pt idx="16">
                  <c:v>0.26315789473684209</c:v>
                </c:pt>
                <c:pt idx="17">
                  <c:v>0.26315789473684209</c:v>
                </c:pt>
                <c:pt idx="18">
                  <c:v>0.26315789473684209</c:v>
                </c:pt>
                <c:pt idx="19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6-493D-8CAB-2C96DC394D99}"/>
            </c:ext>
          </c:extLst>
        </c:ser>
        <c:ser>
          <c:idx val="1"/>
          <c:order val="1"/>
          <c:tx>
            <c:strRef>
              <c:f>'Pinatubo 850˚C'!$CE$3</c:f>
              <c:strCache>
                <c:ptCount val="1"/>
                <c:pt idx="0">
                  <c:v>50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850˚C'!$CH$4:$CH$23</c:f>
              <c:numCache>
                <c:formatCode>0.000</c:formatCode>
                <c:ptCount val="20"/>
                <c:pt idx="0">
                  <c:v>0.21030435983324966</c:v>
                </c:pt>
                <c:pt idx="1">
                  <c:v>0.14992673508217105</c:v>
                </c:pt>
                <c:pt idx="2">
                  <c:v>0.14302275936704345</c:v>
                </c:pt>
                <c:pt idx="3">
                  <c:v>0.15405085145074457</c:v>
                </c:pt>
                <c:pt idx="4">
                  <c:v>0.17764641931090694</c:v>
                </c:pt>
                <c:pt idx="5">
                  <c:v>0.21419389354951177</c:v>
                </c:pt>
                <c:pt idx="6">
                  <c:v>0.26665333060766871</c:v>
                </c:pt>
                <c:pt idx="7">
                  <c:v>0.34019074336880545</c:v>
                </c:pt>
                <c:pt idx="8">
                  <c:v>0.41666666666666663</c:v>
                </c:pt>
                <c:pt idx="9">
                  <c:v>0.41666666666666663</c:v>
                </c:pt>
                <c:pt idx="10">
                  <c:v>0.41666666666666663</c:v>
                </c:pt>
                <c:pt idx="11">
                  <c:v>0.41666666666666663</c:v>
                </c:pt>
                <c:pt idx="12">
                  <c:v>0.41666666666666663</c:v>
                </c:pt>
                <c:pt idx="13">
                  <c:v>0.41666666666666663</c:v>
                </c:pt>
                <c:pt idx="14">
                  <c:v>0.41666666666666663</c:v>
                </c:pt>
                <c:pt idx="15">
                  <c:v>0.41666666666666663</c:v>
                </c:pt>
                <c:pt idx="16">
                  <c:v>0.41666666666666663</c:v>
                </c:pt>
                <c:pt idx="17">
                  <c:v>0.41666666666666663</c:v>
                </c:pt>
                <c:pt idx="18">
                  <c:v>0.41666666666666663</c:v>
                </c:pt>
                <c:pt idx="19">
                  <c:v>0.41666666666666663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6-493D-8CAB-2C96DC394D99}"/>
            </c:ext>
          </c:extLst>
        </c:ser>
        <c:ser>
          <c:idx val="2"/>
          <c:order val="2"/>
          <c:tx>
            <c:strRef>
              <c:f>'Pinatubo 850˚C'!$CF$3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850˚C'!$CI$4:$CI$23</c:f>
              <c:numCache>
                <c:formatCode>0.000</c:formatCode>
                <c:ptCount val="20"/>
                <c:pt idx="0">
                  <c:v>0.42060871966649932</c:v>
                </c:pt>
                <c:pt idx="1">
                  <c:v>0.29985347016434211</c:v>
                </c:pt>
                <c:pt idx="2">
                  <c:v>0.2860455187340869</c:v>
                </c:pt>
                <c:pt idx="3">
                  <c:v>0.30810170290148914</c:v>
                </c:pt>
                <c:pt idx="4">
                  <c:v>0.35529283862181388</c:v>
                </c:pt>
                <c:pt idx="5">
                  <c:v>0.42838778709902353</c:v>
                </c:pt>
                <c:pt idx="6">
                  <c:v>0.53330666121533743</c:v>
                </c:pt>
                <c:pt idx="7">
                  <c:v>0.58823529411764697</c:v>
                </c:pt>
                <c:pt idx="8">
                  <c:v>0.58823529411764697</c:v>
                </c:pt>
                <c:pt idx="9">
                  <c:v>0.58823529411764697</c:v>
                </c:pt>
                <c:pt idx="10">
                  <c:v>0.58823529411764697</c:v>
                </c:pt>
                <c:pt idx="11">
                  <c:v>0.58823529411764697</c:v>
                </c:pt>
                <c:pt idx="12">
                  <c:v>0.58823529411764697</c:v>
                </c:pt>
                <c:pt idx="13">
                  <c:v>0.58823529411764697</c:v>
                </c:pt>
                <c:pt idx="14">
                  <c:v>0.58823529411764697</c:v>
                </c:pt>
                <c:pt idx="15">
                  <c:v>0.58823529411764697</c:v>
                </c:pt>
                <c:pt idx="16">
                  <c:v>0.58823529411764697</c:v>
                </c:pt>
                <c:pt idx="17">
                  <c:v>0.58823529411764697</c:v>
                </c:pt>
                <c:pt idx="18">
                  <c:v>0.58823529411764697</c:v>
                </c:pt>
                <c:pt idx="19">
                  <c:v>0.58823529411764697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6-493D-8CAB-2C96DC39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46824"/>
        <c:axId val="2056853608"/>
      </c:scatterChart>
      <c:valAx>
        <c:axId val="205684682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CaO (wt.%)</a:t>
                </a:r>
              </a:p>
            </c:rich>
          </c:tx>
          <c:layout>
            <c:manualLayout>
              <c:xMode val="edge"/>
              <c:yMode val="edge"/>
              <c:x val="0.44260695538057698"/>
              <c:y val="0.89351851851851805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crossAx val="2056853608"/>
        <c:crosses val="autoZero"/>
        <c:crossBetween val="midCat"/>
      </c:valAx>
      <c:valAx>
        <c:axId val="205685360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fraction of </a:t>
                </a:r>
                <a:r>
                  <a:rPr lang="en-US"/>
                  <a:t>S in the fluid</a:t>
                </a:r>
              </a:p>
            </c:rich>
          </c:tx>
          <c:layout>
            <c:manualLayout>
              <c:xMode val="edge"/>
              <c:yMode val="edge"/>
              <c:x val="1.55555555555556E-2"/>
              <c:y val="0.20013451443569599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crossAx val="205684682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093023255814001"/>
          <c:y val="8.0881834215167495E-2"/>
          <c:w val="0.15406976744185999"/>
          <c:h val="0.1856790123456789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Myriad Pro"/>
          <a:cs typeface="Myriad Pro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77777777778"/>
          <c:y val="6.0185185185185203E-2"/>
          <c:w val="0.68870844269466303"/>
          <c:h val="0.7064814814814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'Pinatubo 850˚C'!$CD$3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850˚C'!$CJ$4:$CJ$23</c:f>
              <c:numCache>
                <c:formatCode>0.000</c:formatCode>
                <c:ptCount val="20"/>
                <c:pt idx="0">
                  <c:v>0.60042171631682562</c:v>
                </c:pt>
                <c:pt idx="1">
                  <c:v>0.71513920334387504</c:v>
                </c:pt>
                <c:pt idx="2">
                  <c:v>0.72825675720261751</c:v>
                </c:pt>
                <c:pt idx="3">
                  <c:v>0.70730338224358524</c:v>
                </c:pt>
                <c:pt idx="4">
                  <c:v>0.66247180330927691</c:v>
                </c:pt>
                <c:pt idx="5">
                  <c:v>0.59303160225592766</c:v>
                </c:pt>
                <c:pt idx="6">
                  <c:v>0.49335867184542953</c:v>
                </c:pt>
                <c:pt idx="7">
                  <c:v>0.35363758759926966</c:v>
                </c:pt>
                <c:pt idx="8">
                  <c:v>0.15899589589816188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1-40EF-A3B8-158F85DBC425}"/>
            </c:ext>
          </c:extLst>
        </c:ser>
        <c:ser>
          <c:idx val="1"/>
          <c:order val="1"/>
          <c:tx>
            <c:strRef>
              <c:f>'Pinatubo 850˚C'!$CE$3</c:f>
              <c:strCache>
                <c:ptCount val="1"/>
                <c:pt idx="0">
                  <c:v>50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850˚C'!$CK$4:$CK$23</c:f>
              <c:numCache>
                <c:formatCode>0.000</c:formatCode>
                <c:ptCount val="20"/>
                <c:pt idx="0">
                  <c:v>0.49526953640020077</c:v>
                </c:pt>
                <c:pt idx="1">
                  <c:v>0.64017583580278958</c:v>
                </c:pt>
                <c:pt idx="2">
                  <c:v>0.65674537751909567</c:v>
                </c:pt>
                <c:pt idx="3">
                  <c:v>0.63027795651821306</c:v>
                </c:pt>
                <c:pt idx="4">
                  <c:v>0.57364859365382337</c:v>
                </c:pt>
                <c:pt idx="5">
                  <c:v>0.48593465548117176</c:v>
                </c:pt>
                <c:pt idx="6">
                  <c:v>0.36003200654159512</c:v>
                </c:pt>
                <c:pt idx="7">
                  <c:v>0.18354221591486697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1-40EF-A3B8-158F85DBC425}"/>
            </c:ext>
          </c:extLst>
        </c:ser>
        <c:ser>
          <c:idx val="2"/>
          <c:order val="2"/>
          <c:tx>
            <c:strRef>
              <c:f>'Pinatubo 850˚C'!$CF$3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850˚C'!$CL$4:$CL$23</c:f>
              <c:numCache>
                <c:formatCode>0.000</c:formatCode>
                <c:ptCount val="20"/>
                <c:pt idx="0">
                  <c:v>0.28496517656695108</c:v>
                </c:pt>
                <c:pt idx="1">
                  <c:v>0.4902491007206185</c:v>
                </c:pt>
                <c:pt idx="2">
                  <c:v>0.51372261815205222</c:v>
                </c:pt>
                <c:pt idx="3">
                  <c:v>0.4762271050674684</c:v>
                </c:pt>
                <c:pt idx="4">
                  <c:v>0.39600217434291635</c:v>
                </c:pt>
                <c:pt idx="5">
                  <c:v>0.27174076193165997</c:v>
                </c:pt>
                <c:pt idx="6">
                  <c:v>9.3378675933926403E-2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1-40EF-A3B8-158F85DB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37672"/>
        <c:axId val="2056943160"/>
      </c:scatterChart>
      <c:valAx>
        <c:axId val="2056937672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CaO (wt.%)</a:t>
                </a:r>
              </a:p>
            </c:rich>
          </c:tx>
          <c:layout>
            <c:manualLayout>
              <c:xMode val="edge"/>
              <c:yMode val="edge"/>
              <c:x val="0.44260695538057698"/>
              <c:y val="0.89351851851851805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crossAx val="2056943160"/>
        <c:crosses val="autoZero"/>
        <c:crossBetween val="midCat"/>
      </c:valAx>
      <c:valAx>
        <c:axId val="205694316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fraction of </a:t>
                </a:r>
                <a:r>
                  <a:rPr lang="en-US"/>
                  <a:t>S in anhydrite</a:t>
                </a:r>
              </a:p>
            </c:rich>
          </c:tx>
          <c:layout>
            <c:manualLayout>
              <c:xMode val="edge"/>
              <c:yMode val="edge"/>
              <c:x val="1.55555555555556E-2"/>
              <c:y val="0.20013451443569599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crossAx val="2056937672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895348837209303"/>
          <c:y val="8.7936507936507896E-2"/>
          <c:w val="0.17441860465116299"/>
          <c:h val="0.1715696649029979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Myriad Pro"/>
          <a:cs typeface="Myriad Pro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77777777778"/>
          <c:y val="6.0185185185185203E-2"/>
          <c:w val="0.68870844269466303"/>
          <c:h val="0.7064814814814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'Pinatubo 850˚C'!$CD$3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850˚C'!$CD$4:$CD$23</c:f>
              <c:numCache>
                <c:formatCode>0.000</c:formatCode>
                <c:ptCount val="20"/>
                <c:pt idx="0">
                  <c:v>0.29442610376654954</c:v>
                </c:pt>
                <c:pt idx="1">
                  <c:v>0.20989742911503945</c:v>
                </c:pt>
                <c:pt idx="2">
                  <c:v>0.20023186311386082</c:v>
                </c:pt>
                <c:pt idx="3">
                  <c:v>0.2156711920310424</c:v>
                </c:pt>
                <c:pt idx="4">
                  <c:v>0.24870498703526972</c:v>
                </c:pt>
                <c:pt idx="5">
                  <c:v>0.29987145096931644</c:v>
                </c:pt>
                <c:pt idx="6">
                  <c:v>0.37331466285073617</c:v>
                </c:pt>
                <c:pt idx="7">
                  <c:v>0.47626704071632764</c:v>
                </c:pt>
                <c:pt idx="8">
                  <c:v>0.61968723460135444</c:v>
                </c:pt>
                <c:pt idx="9">
                  <c:v>0.73684210526315796</c:v>
                </c:pt>
                <c:pt idx="10">
                  <c:v>0.73684210526315796</c:v>
                </c:pt>
                <c:pt idx="11">
                  <c:v>0.73684210526315796</c:v>
                </c:pt>
                <c:pt idx="12">
                  <c:v>0.73684210526315796</c:v>
                </c:pt>
                <c:pt idx="13">
                  <c:v>0.73684210526315796</c:v>
                </c:pt>
                <c:pt idx="14">
                  <c:v>0.73684210526315796</c:v>
                </c:pt>
                <c:pt idx="15">
                  <c:v>0.73684210526315796</c:v>
                </c:pt>
                <c:pt idx="16">
                  <c:v>0.73684210526315796</c:v>
                </c:pt>
                <c:pt idx="17">
                  <c:v>0.73684210526315796</c:v>
                </c:pt>
                <c:pt idx="18">
                  <c:v>0.73684210526315796</c:v>
                </c:pt>
                <c:pt idx="19">
                  <c:v>0.73684210526315796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8-43DE-A03E-95123E725963}"/>
            </c:ext>
          </c:extLst>
        </c:ser>
        <c:ser>
          <c:idx val="1"/>
          <c:order val="1"/>
          <c:tx>
            <c:strRef>
              <c:f>'Pinatubo 850˚C'!$CE$3</c:f>
              <c:strCache>
                <c:ptCount val="1"/>
                <c:pt idx="0">
                  <c:v>50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850˚C'!$CE$4:$CE$23</c:f>
              <c:numCache>
                <c:formatCode>0.000</c:formatCode>
                <c:ptCount val="20"/>
                <c:pt idx="0">
                  <c:v>0.29442610376654954</c:v>
                </c:pt>
                <c:pt idx="1">
                  <c:v>0.20989742911503945</c:v>
                </c:pt>
                <c:pt idx="2">
                  <c:v>0.20023186311386082</c:v>
                </c:pt>
                <c:pt idx="3">
                  <c:v>0.2156711920310424</c:v>
                </c:pt>
                <c:pt idx="4">
                  <c:v>0.24870498703526972</c:v>
                </c:pt>
                <c:pt idx="5">
                  <c:v>0.29987145096931644</c:v>
                </c:pt>
                <c:pt idx="6">
                  <c:v>0.37331466285073617</c:v>
                </c:pt>
                <c:pt idx="7">
                  <c:v>0.47626704071632764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8-43DE-A03E-95123E725963}"/>
            </c:ext>
          </c:extLst>
        </c:ser>
        <c:ser>
          <c:idx val="2"/>
          <c:order val="2"/>
          <c:tx>
            <c:strRef>
              <c:f>'Pinatubo 850˚C'!$CF$3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850˚C'!$CF$4:$CF$23</c:f>
              <c:numCache>
                <c:formatCode>0.000</c:formatCode>
                <c:ptCount val="20"/>
                <c:pt idx="0">
                  <c:v>0.29442610376654954</c:v>
                </c:pt>
                <c:pt idx="1">
                  <c:v>0.20989742911503945</c:v>
                </c:pt>
                <c:pt idx="2">
                  <c:v>0.20023186311386082</c:v>
                </c:pt>
                <c:pt idx="3">
                  <c:v>0.2156711920310424</c:v>
                </c:pt>
                <c:pt idx="4">
                  <c:v>0.24870498703526972</c:v>
                </c:pt>
                <c:pt idx="5">
                  <c:v>0.29987145096931644</c:v>
                </c:pt>
                <c:pt idx="6">
                  <c:v>0.37331466285073617</c:v>
                </c:pt>
                <c:pt idx="7">
                  <c:v>0.41176470588235303</c:v>
                </c:pt>
                <c:pt idx="8">
                  <c:v>0.41176470588235303</c:v>
                </c:pt>
                <c:pt idx="9">
                  <c:v>0.41176470588235303</c:v>
                </c:pt>
                <c:pt idx="10">
                  <c:v>0.41176470588235303</c:v>
                </c:pt>
                <c:pt idx="11">
                  <c:v>0.41176470588235303</c:v>
                </c:pt>
                <c:pt idx="12">
                  <c:v>0.41176470588235303</c:v>
                </c:pt>
                <c:pt idx="13">
                  <c:v>0.41176470588235303</c:v>
                </c:pt>
                <c:pt idx="14">
                  <c:v>0.41176470588235303</c:v>
                </c:pt>
                <c:pt idx="15">
                  <c:v>0.41176470588235303</c:v>
                </c:pt>
                <c:pt idx="16">
                  <c:v>0.41176470588235303</c:v>
                </c:pt>
                <c:pt idx="17">
                  <c:v>0.41176470588235303</c:v>
                </c:pt>
                <c:pt idx="18">
                  <c:v>0.41176470588235303</c:v>
                </c:pt>
                <c:pt idx="19">
                  <c:v>0.41176470588235303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8-43DE-A03E-95123E72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81080"/>
        <c:axId val="2056986568"/>
      </c:scatterChart>
      <c:valAx>
        <c:axId val="2056981080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CaO (wt.%)</a:t>
                </a:r>
              </a:p>
            </c:rich>
          </c:tx>
          <c:layout>
            <c:manualLayout>
              <c:xMode val="edge"/>
              <c:yMode val="edge"/>
              <c:x val="0.44260695538057698"/>
              <c:y val="0.89351851851851805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crossAx val="2056986568"/>
        <c:crosses val="autoZero"/>
        <c:crossBetween val="midCat"/>
      </c:valAx>
      <c:valAx>
        <c:axId val="205698656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fraction of </a:t>
                </a:r>
                <a:r>
                  <a:rPr lang="en-US"/>
                  <a:t>S in the melt</a:t>
                </a:r>
              </a:p>
            </c:rich>
          </c:tx>
          <c:layout>
            <c:manualLayout>
              <c:xMode val="edge"/>
              <c:yMode val="edge"/>
              <c:x val="1.55555555555556E-2"/>
              <c:y val="0.20013451443569599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crossAx val="2056981080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9651162790698"/>
          <c:y val="8.4409171075837702E-2"/>
          <c:w val="0.148255813953488"/>
          <c:h val="0.1892063492063489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Myriad Pro"/>
          <a:cs typeface="Myriad Pro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24</xdr:row>
      <xdr:rowOff>12700</xdr:rowOff>
    </xdr:from>
    <xdr:to>
      <xdr:col>64</xdr:col>
      <xdr:colOff>254000</xdr:colOff>
      <xdr:row>42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304800</xdr:colOff>
      <xdr:row>24</xdr:row>
      <xdr:rowOff>12700</xdr:rowOff>
    </xdr:from>
    <xdr:to>
      <xdr:col>81</xdr:col>
      <xdr:colOff>88900</xdr:colOff>
      <xdr:row>42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24</xdr:row>
      <xdr:rowOff>12700</xdr:rowOff>
    </xdr:from>
    <xdr:to>
      <xdr:col>12</xdr:col>
      <xdr:colOff>355600</xdr:colOff>
      <xdr:row>42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W69"/>
  <sheetViews>
    <sheetView tabSelected="1" topLeftCell="B1" zoomScale="64" workbookViewId="0">
      <pane xSplit="2" topLeftCell="D1" activePane="topRight" state="frozen"/>
      <selection activeCell="B12" sqref="B12"/>
      <selection pane="topRight" activeCell="G1" sqref="G1"/>
    </sheetView>
  </sheetViews>
  <sheetFormatPr defaultColWidth="10.83203125" defaultRowHeight="15.5"/>
  <cols>
    <col min="1" max="1" width="4.6640625" style="2" customWidth="1"/>
    <col min="2" max="2" width="33.6640625" style="2" customWidth="1"/>
    <col min="3" max="3" width="8.25" style="2" customWidth="1"/>
    <col min="4" max="4" width="8" style="2" customWidth="1"/>
    <col min="5" max="5" width="7.5" style="2" customWidth="1"/>
    <col min="6" max="6" width="6.33203125" style="2" customWidth="1"/>
    <col min="7" max="17" width="6.5" style="2" customWidth="1"/>
    <col min="18" max="18" width="9.33203125" style="2" customWidth="1"/>
    <col min="19" max="19" width="3.83203125" style="26" customWidth="1"/>
    <col min="20" max="60" width="6" style="2" customWidth="1"/>
    <col min="61" max="61" width="4.33203125" style="2" customWidth="1"/>
    <col min="62" max="62" width="10.33203125" style="2" customWidth="1"/>
    <col min="63" max="63" width="3.83203125" style="2" customWidth="1"/>
    <col min="64" max="66" width="10" style="2" customWidth="1"/>
    <col min="67" max="67" width="14.33203125" style="2" bestFit="1" customWidth="1"/>
    <col min="68" max="69" width="8.1640625" style="2" customWidth="1"/>
    <col min="70" max="73" width="9.5" style="2" customWidth="1"/>
    <col min="74" max="81" width="8.83203125" style="2" customWidth="1"/>
    <col min="82" max="90" width="8" style="2" customWidth="1"/>
    <col min="91" max="100" width="8.33203125" style="2" customWidth="1"/>
    <col min="101" max="16384" width="10.83203125" style="2"/>
  </cols>
  <sheetData>
    <row r="1" spans="2:101" s="27" customFormat="1" ht="21" customHeight="1">
      <c r="B1" s="47"/>
      <c r="C1" s="47"/>
      <c r="D1" s="49"/>
      <c r="E1" s="49"/>
      <c r="F1" s="50" t="s">
        <v>167</v>
      </c>
      <c r="G1" s="48">
        <v>65.5</v>
      </c>
      <c r="H1" s="48">
        <v>0.45</v>
      </c>
      <c r="I1" s="48">
        <v>16.350000000000001</v>
      </c>
      <c r="J1" s="48">
        <v>4.5</v>
      </c>
      <c r="K1" s="48">
        <v>2.11</v>
      </c>
      <c r="L1" s="48">
        <v>4.82</v>
      </c>
      <c r="M1" s="48">
        <v>4.45</v>
      </c>
      <c r="N1" s="48">
        <v>1.67</v>
      </c>
      <c r="O1" s="48">
        <f>SUM(G1:N1)-L1</f>
        <v>95.03000000000003</v>
      </c>
      <c r="P1" s="47"/>
      <c r="Q1" s="47"/>
      <c r="R1" s="47"/>
      <c r="S1" s="37"/>
      <c r="CE1" s="29"/>
      <c r="CH1" s="29"/>
      <c r="CK1" s="29"/>
    </row>
    <row r="2" spans="2:101" ht="21" customHeight="1">
      <c r="T2" s="2" t="s">
        <v>0</v>
      </c>
      <c r="AE2" s="2" t="s">
        <v>1</v>
      </c>
      <c r="AP2" s="2" t="s">
        <v>2</v>
      </c>
      <c r="AZ2" s="2" t="s">
        <v>3</v>
      </c>
      <c r="BL2" s="2" t="s">
        <v>128</v>
      </c>
      <c r="BM2" s="2" t="s">
        <v>129</v>
      </c>
      <c r="BU2" s="2" t="s">
        <v>130</v>
      </c>
      <c r="BX2" s="2">
        <f>C37</f>
        <v>25</v>
      </c>
      <c r="BY2" s="2">
        <f>C38</f>
        <v>50</v>
      </c>
      <c r="BZ2" s="2">
        <f>C39</f>
        <v>100</v>
      </c>
      <c r="CA2" s="2">
        <f>BX2</f>
        <v>25</v>
      </c>
      <c r="CB2" s="2">
        <f>BY2</f>
        <v>50</v>
      </c>
      <c r="CC2" s="2">
        <f>BZ2</f>
        <v>100</v>
      </c>
      <c r="CE2" s="28" t="s">
        <v>131</v>
      </c>
      <c r="CH2" s="28" t="s">
        <v>132</v>
      </c>
      <c r="CK2" s="28" t="s">
        <v>133</v>
      </c>
      <c r="CO2" s="28"/>
      <c r="CR2" s="28"/>
      <c r="CS2" s="28"/>
    </row>
    <row r="3" spans="2:101" s="28" customFormat="1" ht="21" customHeight="1">
      <c r="B3" s="28" t="s">
        <v>8</v>
      </c>
      <c r="C3" s="28" t="s">
        <v>9</v>
      </c>
      <c r="D3" s="28" t="s">
        <v>10</v>
      </c>
      <c r="E3" s="28" t="s">
        <v>17</v>
      </c>
      <c r="G3" s="28" t="s">
        <v>12</v>
      </c>
      <c r="H3" s="28" t="s">
        <v>13</v>
      </c>
      <c r="I3" s="28" t="s">
        <v>14</v>
      </c>
      <c r="J3" s="28" t="s">
        <v>15</v>
      </c>
      <c r="K3" s="28" t="s">
        <v>16</v>
      </c>
      <c r="L3" s="28" t="s">
        <v>17</v>
      </c>
      <c r="M3" s="28" t="s">
        <v>18</v>
      </c>
      <c r="N3" s="28" t="s">
        <v>19</v>
      </c>
      <c r="O3" s="28" t="s">
        <v>20</v>
      </c>
      <c r="P3" s="28" t="s">
        <v>11</v>
      </c>
      <c r="Q3" s="28" t="s">
        <v>21</v>
      </c>
      <c r="R3" s="28" t="s">
        <v>22</v>
      </c>
      <c r="S3" s="33"/>
      <c r="T3" s="28" t="s">
        <v>12</v>
      </c>
      <c r="U3" s="28" t="s">
        <v>13</v>
      </c>
      <c r="V3" s="28" t="s">
        <v>14</v>
      </c>
      <c r="W3" s="28" t="s">
        <v>26</v>
      </c>
      <c r="X3" s="28" t="s">
        <v>16</v>
      </c>
      <c r="Y3" s="28" t="s">
        <v>17</v>
      </c>
      <c r="Z3" s="28" t="s">
        <v>18</v>
      </c>
      <c r="AA3" s="28" t="s">
        <v>19</v>
      </c>
      <c r="AB3" s="28" t="s">
        <v>11</v>
      </c>
      <c r="AC3" s="28" t="s">
        <v>27</v>
      </c>
      <c r="AE3" s="28" t="s">
        <v>12</v>
      </c>
      <c r="AF3" s="28" t="s">
        <v>13</v>
      </c>
      <c r="AG3" s="28" t="s">
        <v>14</v>
      </c>
      <c r="AH3" s="28" t="s">
        <v>26</v>
      </c>
      <c r="AI3" s="28" t="s">
        <v>16</v>
      </c>
      <c r="AJ3" s="28" t="s">
        <v>17</v>
      </c>
      <c r="AK3" s="28" t="s">
        <v>18</v>
      </c>
      <c r="AL3" s="28" t="s">
        <v>19</v>
      </c>
      <c r="AM3" s="28" t="s">
        <v>11</v>
      </c>
      <c r="AN3" s="28" t="s">
        <v>27</v>
      </c>
      <c r="AP3" s="28" t="s">
        <v>12</v>
      </c>
      <c r="AQ3" s="28" t="s">
        <v>13</v>
      </c>
      <c r="AR3" s="28" t="s">
        <v>28</v>
      </c>
      <c r="AS3" s="28" t="s">
        <v>26</v>
      </c>
      <c r="AT3" s="28" t="s">
        <v>16</v>
      </c>
      <c r="AU3" s="28" t="s">
        <v>17</v>
      </c>
      <c r="AV3" s="28" t="s">
        <v>29</v>
      </c>
      <c r="AW3" s="28" t="s">
        <v>30</v>
      </c>
      <c r="AX3" s="28" t="s">
        <v>27</v>
      </c>
      <c r="AZ3" s="28" t="s">
        <v>12</v>
      </c>
      <c r="BA3" s="28" t="s">
        <v>13</v>
      </c>
      <c r="BB3" s="28" t="s">
        <v>28</v>
      </c>
      <c r="BC3" s="28" t="s">
        <v>26</v>
      </c>
      <c r="BD3" s="28" t="s">
        <v>16</v>
      </c>
      <c r="BE3" s="28" t="s">
        <v>17</v>
      </c>
      <c r="BF3" s="28" t="s">
        <v>29</v>
      </c>
      <c r="BG3" s="28" t="s">
        <v>30</v>
      </c>
      <c r="BH3" s="28" t="s">
        <v>27</v>
      </c>
      <c r="BJ3" s="28" t="s">
        <v>25</v>
      </c>
      <c r="BL3" s="28" t="s">
        <v>24</v>
      </c>
      <c r="BM3" s="28" t="s">
        <v>24</v>
      </c>
      <c r="BN3" s="28" t="s">
        <v>31</v>
      </c>
      <c r="BQ3" s="28" t="s">
        <v>134</v>
      </c>
      <c r="BR3" s="28" t="s">
        <v>135</v>
      </c>
      <c r="BS3" s="2" t="s">
        <v>136</v>
      </c>
      <c r="BT3" s="2" t="s">
        <v>137</v>
      </c>
      <c r="BU3" s="2" t="s">
        <v>138</v>
      </c>
      <c r="BV3" s="2" t="s">
        <v>139</v>
      </c>
      <c r="BW3" s="2" t="s">
        <v>140</v>
      </c>
      <c r="BX3" s="2" t="s">
        <v>141</v>
      </c>
      <c r="BY3" s="2" t="s">
        <v>141</v>
      </c>
      <c r="BZ3" s="2" t="s">
        <v>141</v>
      </c>
      <c r="CA3" s="2" t="s">
        <v>142</v>
      </c>
      <c r="CB3" s="2" t="s">
        <v>143</v>
      </c>
      <c r="CC3" s="2" t="s">
        <v>144</v>
      </c>
      <c r="CD3" s="63">
        <f>C37</f>
        <v>25</v>
      </c>
      <c r="CE3" s="61">
        <f>C38</f>
        <v>50</v>
      </c>
      <c r="CF3" s="62">
        <f>C39</f>
        <v>100</v>
      </c>
      <c r="CG3" s="63">
        <f>CD3</f>
        <v>25</v>
      </c>
      <c r="CH3" s="61">
        <f>CE3</f>
        <v>50</v>
      </c>
      <c r="CI3" s="62">
        <f>CF3</f>
        <v>100</v>
      </c>
      <c r="CJ3" s="63">
        <f>CD3</f>
        <v>25</v>
      </c>
      <c r="CK3" s="61">
        <f>CE3</f>
        <v>50</v>
      </c>
      <c r="CL3" s="62">
        <f>CF3</f>
        <v>100</v>
      </c>
      <c r="CM3" s="2"/>
      <c r="CN3" s="2"/>
      <c r="CO3" s="2"/>
      <c r="CP3" s="2"/>
      <c r="CQ3" s="30"/>
      <c r="CR3" s="2"/>
      <c r="CS3" s="2"/>
      <c r="CT3" s="30"/>
      <c r="CU3" s="2"/>
      <c r="CV3" s="2"/>
    </row>
    <row r="4" spans="2:101">
      <c r="B4" s="2" t="s">
        <v>145</v>
      </c>
      <c r="C4" s="2">
        <v>850</v>
      </c>
      <c r="D4" s="2">
        <v>2000</v>
      </c>
      <c r="E4" s="5">
        <v>0.5</v>
      </c>
      <c r="G4" s="5">
        <f t="shared" ref="G4:K13" si="0">G$1*(100-$E4)/((SUM($G$1:$N$1)-$L$1))</f>
        <v>68.580974429127622</v>
      </c>
      <c r="H4" s="5">
        <f t="shared" si="0"/>
        <v>0.4711669998947699</v>
      </c>
      <c r="I4" s="5">
        <f t="shared" si="0"/>
        <v>17.119067662843307</v>
      </c>
      <c r="J4" s="5">
        <f t="shared" si="0"/>
        <v>4.7116699989476993</v>
      </c>
      <c r="K4" s="5">
        <f t="shared" si="0"/>
        <v>2.2092497106176987</v>
      </c>
      <c r="L4" s="5">
        <f t="shared" ref="L4" si="1">E4</f>
        <v>0.5</v>
      </c>
      <c r="M4" s="5">
        <f t="shared" ref="M4:N23" si="2">M$1*(100-$E4)/((SUM($G$1:$N$1)-$L$1))</f>
        <v>4.6593181100705028</v>
      </c>
      <c r="N4" s="5">
        <f t="shared" si="2"/>
        <v>1.7485530884983682</v>
      </c>
      <c r="O4" s="1">
        <f t="shared" ref="O4:O23" si="3">SUM(G4:N4)</f>
        <v>99.999999999999972</v>
      </c>
      <c r="P4" s="4">
        <f>C$26</f>
        <v>1</v>
      </c>
      <c r="Q4" s="5">
        <f>C$25</f>
        <v>5</v>
      </c>
      <c r="R4" s="25">
        <f>P4*0.40049*10000</f>
        <v>4004.9</v>
      </c>
      <c r="T4" s="39">
        <f>G4/60.084</f>
        <v>1.1414182549285603</v>
      </c>
      <c r="U4" s="39">
        <f>H4/79.88</f>
        <v>5.8984351514117413E-3</v>
      </c>
      <c r="V4" s="39">
        <f>I4/101.96</f>
        <v>0.16789983976896145</v>
      </c>
      <c r="W4" s="39">
        <f t="shared" ref="W4:W23" si="4">J4/71.846</f>
        <v>6.5580129707258572E-2</v>
      </c>
      <c r="X4" s="39">
        <f t="shared" ref="X4:X23" si="5">K4/40.3</f>
        <v>5.4820092074880866E-2</v>
      </c>
      <c r="Y4" s="39">
        <f t="shared" ref="Y4:Y23" si="6">L4/56.0774</f>
        <v>8.91624790022362E-3</v>
      </c>
      <c r="Z4" s="39">
        <f t="shared" ref="Z4:Z23" si="7">M4/61.98</f>
        <v>7.5174541950153329E-2</v>
      </c>
      <c r="AA4" s="39">
        <f t="shared" ref="AA4:AA23" si="8">N4/94.2</f>
        <v>1.8562134697434906E-2</v>
      </c>
      <c r="AB4" s="39">
        <f>P4/80.066</f>
        <v>1.248969600079934E-2</v>
      </c>
      <c r="AC4" s="39">
        <f>SUM(T4:AB4)</f>
        <v>1.5507593721796842</v>
      </c>
      <c r="AD4" s="39"/>
      <c r="AE4" s="39">
        <f t="shared" ref="AE4:AE23" si="9">T4/$AC4</f>
        <v>0.73603827608936478</v>
      </c>
      <c r="AF4" s="39">
        <f t="shared" ref="AF4:AF23" si="10">U4/$AC4</f>
        <v>3.8035785933191821E-3</v>
      </c>
      <c r="AG4" s="39">
        <f t="shared" ref="AG4:AG23" si="11">V4/$AC4</f>
        <v>0.10826943417596005</v>
      </c>
      <c r="AH4" s="39">
        <f t="shared" ref="AH4:AH23" si="12">W4/$AC4</f>
        <v>4.2289042957761924E-2</v>
      </c>
      <c r="AI4" s="39">
        <f t="shared" ref="AI4:AI23" si="13">X4/$AC4</f>
        <v>3.5350482517366943E-2</v>
      </c>
      <c r="AJ4" s="39">
        <f t="shared" ref="AJ4:AJ23" si="14">Y4/$AC4</f>
        <v>5.749601169710363E-3</v>
      </c>
      <c r="AK4" s="39">
        <f t="shared" ref="AK4:AK23" si="15">Z4/$AC4</f>
        <v>4.847595526344687E-2</v>
      </c>
      <c r="AL4" s="39">
        <f t="shared" ref="AL4:AL23" si="16">AA4/$AC4</f>
        <v>1.1969706603381494E-2</v>
      </c>
      <c r="AM4" s="39">
        <f t="shared" ref="AM4:AM23" si="17">AB4/$AC4</f>
        <v>8.0539226296884037E-3</v>
      </c>
      <c r="AN4" s="39">
        <f t="shared" ref="AN4:AN23" si="18">SUM(AE4:AM4)</f>
        <v>0.99999999999999989</v>
      </c>
      <c r="AO4" s="39"/>
      <c r="AP4" s="39">
        <f t="shared" ref="AP4:AP23" si="19">G4/60.084</f>
        <v>1.1414182549285603</v>
      </c>
      <c r="AQ4" s="39">
        <f t="shared" ref="AQ4:AQ23" si="20">H4/79.88</f>
        <v>5.8984351514117413E-3</v>
      </c>
      <c r="AR4" s="39">
        <f t="shared" ref="AR4:AR23" si="21">(I4/101.96)*2</f>
        <v>0.33579967953792289</v>
      </c>
      <c r="AS4" s="39">
        <f t="shared" ref="AS4:AS23" si="22">J4/71.846</f>
        <v>6.5580129707258572E-2</v>
      </c>
      <c r="AT4" s="39">
        <f t="shared" ref="AT4:AT23" si="23">K4/40.3</f>
        <v>5.4820092074880866E-2</v>
      </c>
      <c r="AU4" s="39">
        <f t="shared" ref="AU4:AU23" si="24">L4/56.0774</f>
        <v>8.91624790022362E-3</v>
      </c>
      <c r="AV4" s="39">
        <f t="shared" ref="AV4:AV23" si="25">(M4/61.98)*2</f>
        <v>0.15034908390030666</v>
      </c>
      <c r="AW4" s="39">
        <f t="shared" ref="AW4:AW23" si="26">(N4/94.2)*2</f>
        <v>3.7124269394869812E-2</v>
      </c>
      <c r="AX4" s="39">
        <f t="shared" ref="AX4:AX23" si="27">SUM(AP4:AW4)</f>
        <v>1.7999061925954343</v>
      </c>
      <c r="AY4" s="39"/>
      <c r="AZ4" s="39">
        <f t="shared" ref="AZ4:AZ23" si="28">AP4/$AX4</f>
        <v>0.63415430183206078</v>
      </c>
      <c r="BA4" s="39">
        <f t="shared" ref="BA4:BA23" si="29">AQ4/$AX4</f>
        <v>3.2770792031701929E-3</v>
      </c>
      <c r="BB4" s="39">
        <f t="shared" ref="BB4:BB23" si="30">AR4/$AX4</f>
        <v>0.18656510040320792</v>
      </c>
      <c r="BC4" s="39">
        <f t="shared" ref="BC4:BC23" si="31">AS4/$AX4</f>
        <v>3.6435304226990373E-2</v>
      </c>
      <c r="BD4" s="39">
        <f t="shared" ref="BD4:BD23" si="32">AT4/$AX4</f>
        <v>3.0457193991777549E-2</v>
      </c>
      <c r="BE4" s="39">
        <f t="shared" ref="BE4:BE23" si="33">AU4/$AX4</f>
        <v>4.9537292203915033E-3</v>
      </c>
      <c r="BF4" s="39">
        <f t="shared" ref="BF4:BF23" si="34">AV4/$AX4</f>
        <v>8.3531622102764047E-2</v>
      </c>
      <c r="BG4" s="39">
        <f t="shared" ref="BG4:BG23" si="35">AW4/$AX4</f>
        <v>2.0625669019637763E-2</v>
      </c>
      <c r="BH4" s="39">
        <f t="shared" ref="BH4:BH23" si="36">SUM(AZ4:BG4)</f>
        <v>1.0000000000000002</v>
      </c>
      <c r="BJ4" s="38">
        <f>AJ4*AM4</f>
        <v>4.6306842972413207E-5</v>
      </c>
      <c r="BK4" s="5"/>
      <c r="BL4" s="5">
        <f t="shared" ref="BL4:BL23" si="37">LN(BJ4)</f>
        <v>-9.9802208114124795</v>
      </c>
      <c r="BM4" s="5">
        <f>$B$31+$B$32*BN4+($B$33/(C4+273.15))+$B$34*BN4*(1/(C4+273.15))+$B$35*Q4</f>
        <v>-10.84627309584662</v>
      </c>
      <c r="BN4" s="4">
        <f>(2*(2*AZ4+2*BA4+1.5*BB4+BC4+BD4+BE4+0.5*BF4+0.5*BG4)-4*(AZ4+BA4+BB4))/(AZ4+BA4+BB4)</f>
        <v>7.4374887488025634E-2</v>
      </c>
      <c r="BO4" s="1"/>
      <c r="BQ4" s="3">
        <f>$C$26*0.40048</f>
        <v>0.40048</v>
      </c>
      <c r="BR4" s="5">
        <f>L4</f>
        <v>0.5</v>
      </c>
      <c r="BS4" s="3">
        <f>(BR4/56.0774)/($AC4-$Y4+BR4/56.0774)</f>
        <v>5.749601169710363E-3</v>
      </c>
      <c r="BT4" s="3">
        <f>EXP($BM4)/BS4</f>
        <v>3.387550085566285E-3</v>
      </c>
      <c r="BU4" s="3">
        <f>BT4*($AC4-$Y4+BR4/56.0774)*80.066</f>
        <v>0.42060871966649932</v>
      </c>
      <c r="BV4" s="4">
        <f>BU4*0.40048</f>
        <v>0.16844538005203966</v>
      </c>
      <c r="BW4" s="4">
        <f>BV4*$C$28/$BQ4</f>
        <v>0.29442610376654954</v>
      </c>
      <c r="BX4" s="4">
        <f t="shared" ref="BX4:BZ23" si="38">$BV4*BX$2*$C$27/$BQ4</f>
        <v>0.10515217991662483</v>
      </c>
      <c r="BY4" s="4">
        <f t="shared" si="38"/>
        <v>0.21030435983324966</v>
      </c>
      <c r="BZ4" s="4">
        <f t="shared" si="38"/>
        <v>0.42060871966649932</v>
      </c>
      <c r="CA4" s="4">
        <f t="shared" ref="CA4:CC23" si="39">(CA$2*$C$27/$C$28)</f>
        <v>0.35714285714285715</v>
      </c>
      <c r="CB4" s="4">
        <f t="shared" si="39"/>
        <v>0.7142857142857143</v>
      </c>
      <c r="CC4" s="4">
        <f t="shared" si="39"/>
        <v>1.4285714285714286</v>
      </c>
      <c r="CD4" s="40">
        <f>IF($BW4+BX4&lt;1,$BW4,1-CG4)</f>
        <v>0.29442610376654954</v>
      </c>
      <c r="CE4" s="41">
        <f>IF($BW4+BY4&lt;1,$BW4,1-CH4)</f>
        <v>0.29442610376654954</v>
      </c>
      <c r="CF4" s="42">
        <f t="shared" ref="CE4:CF19" si="40">IF($BW4+BZ4&lt;1,$BW4,1-CI4)</f>
        <v>0.29442610376654954</v>
      </c>
      <c r="CG4" s="40">
        <f>IF($BW4+BX4&lt;1,BX4,CA4/(1+CA4))</f>
        <v>0.10515217991662483</v>
      </c>
      <c r="CH4" s="41">
        <f t="shared" ref="CH4:CI19" si="41">IF($BW4+BY4&lt;1,BY4,CB4/(1+CB4))</f>
        <v>0.21030435983324966</v>
      </c>
      <c r="CI4" s="42">
        <f t="shared" si="41"/>
        <v>0.42060871966649932</v>
      </c>
      <c r="CJ4" s="40">
        <f>1-CG4-CD4</f>
        <v>0.60042171631682562</v>
      </c>
      <c r="CK4" s="41">
        <f t="shared" ref="CK4:CL19" si="42">1-CH4-CE4</f>
        <v>0.49526953640020077</v>
      </c>
      <c r="CL4" s="42">
        <f t="shared" si="42"/>
        <v>0.28496517656695108</v>
      </c>
      <c r="CM4" s="4"/>
      <c r="CN4" s="4"/>
      <c r="CO4" s="4"/>
      <c r="CP4" s="4"/>
      <c r="CQ4" s="4"/>
      <c r="CR4" s="4"/>
      <c r="CS4" s="4"/>
      <c r="CT4" s="32"/>
      <c r="CU4" s="32"/>
      <c r="CV4" s="32"/>
      <c r="CW4" s="5"/>
    </row>
    <row r="5" spans="2:101">
      <c r="B5" s="2" t="s">
        <v>145</v>
      </c>
      <c r="C5" s="2">
        <v>850</v>
      </c>
      <c r="D5" s="2">
        <v>2000</v>
      </c>
      <c r="E5" s="5">
        <v>1</v>
      </c>
      <c r="G5" s="5">
        <f t="shared" si="0"/>
        <v>68.236346416920952</v>
      </c>
      <c r="H5" s="5">
        <f t="shared" si="0"/>
        <v>0.46879932652846462</v>
      </c>
      <c r="I5" s="5">
        <f t="shared" si="0"/>
        <v>17.033042197200878</v>
      </c>
      <c r="J5" s="5">
        <f t="shared" si="0"/>
        <v>4.6879932652846454</v>
      </c>
      <c r="K5" s="5">
        <f t="shared" si="0"/>
        <v>2.1981479532779113</v>
      </c>
      <c r="L5" s="5">
        <f t="shared" ref="L5:L23" si="43">E5</f>
        <v>1</v>
      </c>
      <c r="M5" s="5">
        <f t="shared" si="2"/>
        <v>4.6359044512259278</v>
      </c>
      <c r="N5" s="5">
        <f t="shared" si="2"/>
        <v>1.7397663895611906</v>
      </c>
      <c r="O5" s="1">
        <f t="shared" si="3"/>
        <v>99.999999999999986</v>
      </c>
      <c r="P5" s="4">
        <f t="shared" ref="P5:P23" si="44">C$26</f>
        <v>1</v>
      </c>
      <c r="Q5" s="5">
        <f t="shared" ref="Q5:Q23" si="45">C$25</f>
        <v>5</v>
      </c>
      <c r="R5" s="25">
        <f t="shared" ref="R5:R23" si="46">P5*0.40049*10000</f>
        <v>4004.9</v>
      </c>
      <c r="T5" s="39">
        <f t="shared" ref="T5:T23" si="47">G5/60.084</f>
        <v>1.1356824848032911</v>
      </c>
      <c r="U5" s="39">
        <f t="shared" ref="U5:U23" si="48">H5/79.88</f>
        <v>5.8687947737664581E-3</v>
      </c>
      <c r="V5" s="39">
        <f t="shared" ref="V5:V23" si="49">I5/101.96</f>
        <v>0.1670561219811777</v>
      </c>
      <c r="W5" s="39">
        <f t="shared" si="4"/>
        <v>6.5250581316769835E-2</v>
      </c>
      <c r="X5" s="39">
        <f t="shared" si="5"/>
        <v>5.4544614225258352E-2</v>
      </c>
      <c r="Y5" s="39">
        <f t="shared" si="6"/>
        <v>1.783249580044724E-2</v>
      </c>
      <c r="Z5" s="39">
        <f t="shared" si="7"/>
        <v>7.4796780432815874E-2</v>
      </c>
      <c r="AA5" s="39">
        <f t="shared" si="8"/>
        <v>1.8468857638653826E-2</v>
      </c>
      <c r="AB5" s="39">
        <f t="shared" ref="AB5:AB23" si="50">P5/80.066</f>
        <v>1.248969600079934E-2</v>
      </c>
      <c r="AC5" s="39">
        <f t="shared" ref="AC5:AC23" si="51">SUM(T5:AB5)</f>
        <v>1.5519904269729798</v>
      </c>
      <c r="AD5" s="39"/>
      <c r="AE5" s="39">
        <f t="shared" si="9"/>
        <v>0.73175869197746246</v>
      </c>
      <c r="AF5" s="39">
        <f t="shared" si="10"/>
        <v>3.7814632563249913E-3</v>
      </c>
      <c r="AG5" s="39">
        <f t="shared" si="11"/>
        <v>0.10763991779704846</v>
      </c>
      <c r="AH5" s="39">
        <f t="shared" si="12"/>
        <v>4.2043159663062692E-2</v>
      </c>
      <c r="AI5" s="39">
        <f t="shared" si="13"/>
        <v>3.5144942441199721E-2</v>
      </c>
      <c r="AJ5" s="39">
        <f t="shared" si="14"/>
        <v>1.149008105367502E-2</v>
      </c>
      <c r="AK5" s="39">
        <f t="shared" si="15"/>
        <v>4.8194099095508203E-2</v>
      </c>
      <c r="AL5" s="39">
        <f t="shared" si="16"/>
        <v>1.1900110540421116E-2</v>
      </c>
      <c r="AM5" s="39">
        <f t="shared" si="17"/>
        <v>8.0475341752973238E-3</v>
      </c>
      <c r="AN5" s="39">
        <f t="shared" si="18"/>
        <v>0.99999999999999989</v>
      </c>
      <c r="AO5" s="39"/>
      <c r="AP5" s="39">
        <f t="shared" si="19"/>
        <v>1.1356824848032911</v>
      </c>
      <c r="AQ5" s="39">
        <f t="shared" si="20"/>
        <v>5.8687947737664581E-3</v>
      </c>
      <c r="AR5" s="39">
        <f t="shared" si="21"/>
        <v>0.33411224396235539</v>
      </c>
      <c r="AS5" s="39">
        <f t="shared" si="22"/>
        <v>6.5250581316769835E-2</v>
      </c>
      <c r="AT5" s="39">
        <f t="shared" si="23"/>
        <v>5.4544614225258352E-2</v>
      </c>
      <c r="AU5" s="39">
        <f t="shared" si="24"/>
        <v>1.783249580044724E-2</v>
      </c>
      <c r="AV5" s="39">
        <f t="shared" si="25"/>
        <v>0.14959356086563175</v>
      </c>
      <c r="AW5" s="39">
        <f t="shared" si="26"/>
        <v>3.6937715277307652E-2</v>
      </c>
      <c r="AX5" s="39">
        <f t="shared" si="27"/>
        <v>1.7998224910248279</v>
      </c>
      <c r="AY5" s="39"/>
      <c r="AZ5" s="39">
        <f t="shared" si="28"/>
        <v>0.63099694023527164</v>
      </c>
      <c r="BA5" s="39">
        <f t="shared" si="29"/>
        <v>3.2607631047130302E-3</v>
      </c>
      <c r="BB5" s="39">
        <f t="shared" si="30"/>
        <v>0.18563622003196004</v>
      </c>
      <c r="BC5" s="39">
        <f t="shared" si="31"/>
        <v>3.625389817171127E-2</v>
      </c>
      <c r="BD5" s="39">
        <f t="shared" si="32"/>
        <v>3.0305552073749437E-2</v>
      </c>
      <c r="BE5" s="39">
        <f t="shared" si="33"/>
        <v>9.907919191682801E-3</v>
      </c>
      <c r="BF5" s="39">
        <f t="shared" si="34"/>
        <v>8.3115730363194001E-2</v>
      </c>
      <c r="BG5" s="39">
        <f t="shared" si="35"/>
        <v>2.0522976827717677E-2</v>
      </c>
      <c r="BH5" s="39">
        <f t="shared" si="36"/>
        <v>0.99999999999999978</v>
      </c>
      <c r="BJ5" s="38">
        <f t="shared" ref="BJ5:BJ23" si="52">AJ5*AM5</f>
        <v>9.2466819956386011E-5</v>
      </c>
      <c r="BK5" s="5"/>
      <c r="BL5" s="5">
        <f t="shared" si="37"/>
        <v>-9.2886606809694729</v>
      </c>
      <c r="BM5" s="5">
        <f t="shared" ref="BM5:BM23" si="53">$B$31+$B$32*BN5+($B$33/(C5+273.15))+$B$34*BN5*(1/(C5+273.15))+$B$35*Q5</f>
        <v>-10.493122037403083</v>
      </c>
      <c r="BN5" s="4">
        <f t="shared" ref="BN5:BN23" si="54">(2*(2*AZ5+2*BA5+1.5*BB5+BC5+BD5+BE5+0.5*BF5+0.5*BG5)-4*(AZ5+BA5+BB5))/(AZ5+BA5+BB5)</f>
        <v>8.6520004614131507E-2</v>
      </c>
      <c r="BO5" s="1"/>
      <c r="BQ5" s="3">
        <f t="shared" ref="BQ5:BQ23" si="55">$C$26*0.40048</f>
        <v>0.40048</v>
      </c>
      <c r="BR5" s="5">
        <f t="shared" ref="BR5:BR23" si="56">L5</f>
        <v>1</v>
      </c>
      <c r="BS5" s="3">
        <f t="shared" ref="BS5:BS23" si="57">(BR5/56.0774)/($AC5-$Y5+BR5/56.0774)</f>
        <v>1.149008105367502E-2</v>
      </c>
      <c r="BT5" s="3">
        <f t="shared" ref="BT5:BT23" si="58">EXP($BM5)/BS5</f>
        <v>2.4130810487290395E-3</v>
      </c>
      <c r="BU5" s="3">
        <f>BT5*($AC5-$Y5+BR5/56.0774)*80.066</f>
        <v>0.29985347016434211</v>
      </c>
      <c r="BV5" s="4">
        <f t="shared" ref="BV5:BV23" si="59">BU5*0.40048</f>
        <v>0.12008531773141573</v>
      </c>
      <c r="BW5" s="4">
        <f t="shared" ref="BW5:BW23" si="60">BV5*$C$28/$BQ5</f>
        <v>0.20989742911503945</v>
      </c>
      <c r="BX5" s="4">
        <f t="shared" si="38"/>
        <v>7.4963367541085527E-2</v>
      </c>
      <c r="BY5" s="4">
        <f t="shared" si="38"/>
        <v>0.14992673508217105</v>
      </c>
      <c r="BZ5" s="4">
        <f t="shared" si="38"/>
        <v>0.29985347016434211</v>
      </c>
      <c r="CA5" s="4">
        <f t="shared" si="39"/>
        <v>0.35714285714285715</v>
      </c>
      <c r="CB5" s="4">
        <f t="shared" si="39"/>
        <v>0.7142857142857143</v>
      </c>
      <c r="CC5" s="4">
        <f t="shared" si="39"/>
        <v>1.4285714285714286</v>
      </c>
      <c r="CD5" s="40">
        <f t="shared" ref="CD5:CF23" si="61">IF($BW5+BX5&lt;1,$BW5,1-CG5)</f>
        <v>0.20989742911503945</v>
      </c>
      <c r="CE5" s="41">
        <f t="shared" si="40"/>
        <v>0.20989742911503945</v>
      </c>
      <c r="CF5" s="42">
        <f t="shared" si="40"/>
        <v>0.20989742911503945</v>
      </c>
      <c r="CG5" s="40">
        <f t="shared" ref="CG5:CI23" si="62">IF($BW5+BX5&lt;1,BX5,CA5/(1+CA5))</f>
        <v>7.4963367541085527E-2</v>
      </c>
      <c r="CH5" s="41">
        <f t="shared" si="41"/>
        <v>0.14992673508217105</v>
      </c>
      <c r="CI5" s="42">
        <f t="shared" si="41"/>
        <v>0.29985347016434211</v>
      </c>
      <c r="CJ5" s="40">
        <f t="shared" ref="CJ5:CL23" si="63">1-CG5-CD5</f>
        <v>0.71513920334387504</v>
      </c>
      <c r="CK5" s="41">
        <f t="shared" si="42"/>
        <v>0.64017583580278958</v>
      </c>
      <c r="CL5" s="42">
        <f t="shared" si="42"/>
        <v>0.4902491007206185</v>
      </c>
      <c r="CM5" s="4"/>
      <c r="CN5" s="4"/>
      <c r="CO5" s="4"/>
      <c r="CP5" s="4"/>
      <c r="CQ5" s="4"/>
      <c r="CR5" s="4"/>
      <c r="CS5" s="4"/>
      <c r="CT5" s="32"/>
      <c r="CU5" s="32"/>
      <c r="CV5" s="32"/>
      <c r="CW5" s="5"/>
    </row>
    <row r="6" spans="2:101">
      <c r="B6" s="2" t="s">
        <v>145</v>
      </c>
      <c r="C6" s="2">
        <v>850</v>
      </c>
      <c r="D6" s="2">
        <v>2000</v>
      </c>
      <c r="E6" s="5">
        <v>1.5</v>
      </c>
      <c r="G6" s="5">
        <f t="shared" si="0"/>
        <v>67.891718404714283</v>
      </c>
      <c r="H6" s="5">
        <f t="shared" si="0"/>
        <v>0.46643165316215918</v>
      </c>
      <c r="I6" s="5">
        <f t="shared" si="0"/>
        <v>16.947016731558453</v>
      </c>
      <c r="J6" s="5">
        <f t="shared" si="0"/>
        <v>4.6643165316215915</v>
      </c>
      <c r="K6" s="5">
        <f t="shared" si="0"/>
        <v>2.187046195938124</v>
      </c>
      <c r="L6" s="5">
        <f t="shared" si="43"/>
        <v>1.5</v>
      </c>
      <c r="M6" s="5">
        <f t="shared" si="2"/>
        <v>4.6124907923813527</v>
      </c>
      <c r="N6" s="5">
        <f t="shared" si="2"/>
        <v>1.7309796906240129</v>
      </c>
      <c r="O6" s="1">
        <f t="shared" si="3"/>
        <v>99.999999999999972</v>
      </c>
      <c r="P6" s="4">
        <f t="shared" si="44"/>
        <v>1</v>
      </c>
      <c r="Q6" s="5">
        <f t="shared" si="45"/>
        <v>5</v>
      </c>
      <c r="R6" s="25">
        <f t="shared" si="46"/>
        <v>4004.9</v>
      </c>
      <c r="T6" s="39">
        <f t="shared" si="47"/>
        <v>1.129946714678022</v>
      </c>
      <c r="U6" s="39">
        <f t="shared" si="48"/>
        <v>5.8391543961211715E-3</v>
      </c>
      <c r="V6" s="39">
        <f t="shared" si="49"/>
        <v>0.166212404193394</v>
      </c>
      <c r="W6" s="39">
        <f t="shared" si="4"/>
        <v>6.4921032926281097E-2</v>
      </c>
      <c r="X6" s="39">
        <f t="shared" si="5"/>
        <v>5.4269136375635837E-2</v>
      </c>
      <c r="Y6" s="39">
        <f t="shared" si="6"/>
        <v>2.674874370067086E-2</v>
      </c>
      <c r="Z6" s="39">
        <f t="shared" si="7"/>
        <v>7.4419018915478433E-2</v>
      </c>
      <c r="AA6" s="39">
        <f t="shared" si="8"/>
        <v>1.837558057987275E-2</v>
      </c>
      <c r="AB6" s="39">
        <f t="shared" si="50"/>
        <v>1.248969600079934E-2</v>
      </c>
      <c r="AC6" s="39">
        <f t="shared" si="51"/>
        <v>1.5532214817662755</v>
      </c>
      <c r="AD6" s="39"/>
      <c r="AE6" s="39">
        <f t="shared" si="9"/>
        <v>0.72748589170494959</v>
      </c>
      <c r="AF6" s="39">
        <f t="shared" si="10"/>
        <v>3.7593829757499009E-3</v>
      </c>
      <c r="AG6" s="39">
        <f t="shared" si="11"/>
        <v>0.10701139930435574</v>
      </c>
      <c r="AH6" s="39">
        <f t="shared" si="12"/>
        <v>4.1797666133521989E-2</v>
      </c>
      <c r="AI6" s="39">
        <f t="shared" si="13"/>
        <v>3.4939728179604272E-2</v>
      </c>
      <c r="AJ6" s="39">
        <f t="shared" si="14"/>
        <v>1.7221461339984184E-2</v>
      </c>
      <c r="AK6" s="39">
        <f t="shared" si="15"/>
        <v>4.7912689715604126E-2</v>
      </c>
      <c r="AL6" s="39">
        <f t="shared" si="16"/>
        <v>1.1830624798580951E-2</v>
      </c>
      <c r="AM6" s="39">
        <f t="shared" si="17"/>
        <v>8.0411558476492628E-3</v>
      </c>
      <c r="AN6" s="39">
        <f t="shared" si="18"/>
        <v>1</v>
      </c>
      <c r="AO6" s="39"/>
      <c r="AP6" s="39">
        <f t="shared" si="19"/>
        <v>1.129946714678022</v>
      </c>
      <c r="AQ6" s="39">
        <f t="shared" si="20"/>
        <v>5.8391543961211715E-3</v>
      </c>
      <c r="AR6" s="39">
        <f t="shared" si="21"/>
        <v>0.33242480838678801</v>
      </c>
      <c r="AS6" s="39">
        <f t="shared" si="22"/>
        <v>6.4921032926281097E-2</v>
      </c>
      <c r="AT6" s="39">
        <f t="shared" si="23"/>
        <v>5.4269136375635837E-2</v>
      </c>
      <c r="AU6" s="39">
        <f t="shared" si="24"/>
        <v>2.674874370067086E-2</v>
      </c>
      <c r="AV6" s="39">
        <f t="shared" si="25"/>
        <v>0.14883803783095687</v>
      </c>
      <c r="AW6" s="39">
        <f t="shared" si="26"/>
        <v>3.6751161159745499E-2</v>
      </c>
      <c r="AX6" s="39">
        <f t="shared" si="27"/>
        <v>1.7997387894542212</v>
      </c>
      <c r="AY6" s="39"/>
      <c r="AZ6" s="39">
        <f t="shared" si="28"/>
        <v>0.62783928495572594</v>
      </c>
      <c r="BA6" s="39">
        <f t="shared" si="29"/>
        <v>3.2444454886100004E-3</v>
      </c>
      <c r="BB6" s="39">
        <f t="shared" si="30"/>
        <v>0.18470725326067863</v>
      </c>
      <c r="BC6" s="39">
        <f t="shared" si="31"/>
        <v>3.6072475242903829E-2</v>
      </c>
      <c r="BD6" s="39">
        <f t="shared" si="32"/>
        <v>3.0153896050711445E-2</v>
      </c>
      <c r="BE6" s="39">
        <f t="shared" si="33"/>
        <v>1.4862569978159185E-2</v>
      </c>
      <c r="BF6" s="39">
        <f t="shared" si="34"/>
        <v>8.2699799939352683E-2</v>
      </c>
      <c r="BG6" s="39">
        <f t="shared" si="35"/>
        <v>2.0420275083858394E-2</v>
      </c>
      <c r="BH6" s="39">
        <f t="shared" si="36"/>
        <v>1</v>
      </c>
      <c r="BJ6" s="38">
        <f t="shared" si="52"/>
        <v>1.3848045455907952E-4</v>
      </c>
      <c r="BK6" s="5"/>
      <c r="BL6" s="5">
        <f t="shared" si="37"/>
        <v>-8.884781364612687</v>
      </c>
      <c r="BM6" s="5">
        <f t="shared" si="53"/>
        <v>-10.136385689026119</v>
      </c>
      <c r="BN6" s="4">
        <f t="shared" si="54"/>
        <v>9.8788422421720451E-2</v>
      </c>
      <c r="BO6" s="1"/>
      <c r="BQ6" s="3">
        <f t="shared" si="55"/>
        <v>0.40048</v>
      </c>
      <c r="BR6" s="5">
        <f t="shared" si="56"/>
        <v>1.5</v>
      </c>
      <c r="BS6" s="3">
        <f t="shared" si="57"/>
        <v>1.7221461339984184E-2</v>
      </c>
      <c r="BT6" s="3">
        <f t="shared" si="58"/>
        <v>2.3001365956624698E-3</v>
      </c>
      <c r="BU6" s="3">
        <f t="shared" ref="BU6:BU23" si="64">BT6*($AC6-$Y6+BR6/56.0774)*80.066</f>
        <v>0.2860455187340869</v>
      </c>
      <c r="BV6" s="4">
        <f t="shared" si="59"/>
        <v>0.11455550934262712</v>
      </c>
      <c r="BW6" s="4">
        <f t="shared" si="60"/>
        <v>0.20023186311386082</v>
      </c>
      <c r="BX6" s="4">
        <f t="shared" si="38"/>
        <v>7.1511379683521725E-2</v>
      </c>
      <c r="BY6" s="4">
        <f t="shared" si="38"/>
        <v>0.14302275936704345</v>
      </c>
      <c r="BZ6" s="4">
        <f t="shared" si="38"/>
        <v>0.2860455187340869</v>
      </c>
      <c r="CA6" s="4">
        <f t="shared" si="39"/>
        <v>0.35714285714285715</v>
      </c>
      <c r="CB6" s="4">
        <f t="shared" si="39"/>
        <v>0.7142857142857143</v>
      </c>
      <c r="CC6" s="4">
        <f t="shared" si="39"/>
        <v>1.4285714285714286</v>
      </c>
      <c r="CD6" s="40">
        <f t="shared" si="61"/>
        <v>0.20023186311386082</v>
      </c>
      <c r="CE6" s="41">
        <f t="shared" si="40"/>
        <v>0.20023186311386082</v>
      </c>
      <c r="CF6" s="42">
        <f t="shared" si="40"/>
        <v>0.20023186311386082</v>
      </c>
      <c r="CG6" s="40">
        <f t="shared" si="62"/>
        <v>7.1511379683521725E-2</v>
      </c>
      <c r="CH6" s="41">
        <f t="shared" si="41"/>
        <v>0.14302275936704345</v>
      </c>
      <c r="CI6" s="42">
        <f t="shared" si="41"/>
        <v>0.2860455187340869</v>
      </c>
      <c r="CJ6" s="40">
        <f t="shared" si="63"/>
        <v>0.72825675720261751</v>
      </c>
      <c r="CK6" s="41">
        <f t="shared" si="42"/>
        <v>0.65674537751909567</v>
      </c>
      <c r="CL6" s="42">
        <f t="shared" si="42"/>
        <v>0.51372261815205222</v>
      </c>
      <c r="CM6" s="4"/>
      <c r="CN6" s="4"/>
      <c r="CO6" s="4"/>
      <c r="CP6" s="4"/>
      <c r="CQ6" s="4"/>
      <c r="CR6" s="4"/>
      <c r="CS6" s="4"/>
      <c r="CT6" s="32"/>
      <c r="CU6" s="32"/>
      <c r="CV6" s="32"/>
      <c r="CW6" s="5"/>
    </row>
    <row r="7" spans="2:101">
      <c r="B7" s="2" t="s">
        <v>145</v>
      </c>
      <c r="C7" s="2">
        <v>850</v>
      </c>
      <c r="D7" s="2">
        <v>2000</v>
      </c>
      <c r="E7" s="5">
        <v>2</v>
      </c>
      <c r="G7" s="5">
        <f t="shared" si="0"/>
        <v>67.547090392507613</v>
      </c>
      <c r="H7" s="5">
        <f t="shared" si="0"/>
        <v>0.46406397979585379</v>
      </c>
      <c r="I7" s="5">
        <f t="shared" si="0"/>
        <v>16.860991265916024</v>
      </c>
      <c r="J7" s="5">
        <f t="shared" si="0"/>
        <v>4.6406397979585376</v>
      </c>
      <c r="K7" s="5">
        <f t="shared" si="0"/>
        <v>2.1759444385983366</v>
      </c>
      <c r="L7" s="5">
        <f t="shared" si="43"/>
        <v>2</v>
      </c>
      <c r="M7" s="5">
        <f t="shared" si="2"/>
        <v>4.5890771335367768</v>
      </c>
      <c r="N7" s="5">
        <f t="shared" si="2"/>
        <v>1.7221929916868353</v>
      </c>
      <c r="O7" s="1">
        <f t="shared" si="3"/>
        <v>99.999999999999986</v>
      </c>
      <c r="P7" s="4">
        <f t="shared" si="44"/>
        <v>1</v>
      </c>
      <c r="Q7" s="5">
        <f t="shared" si="45"/>
        <v>5</v>
      </c>
      <c r="R7" s="25">
        <f t="shared" si="46"/>
        <v>4004.9</v>
      </c>
      <c r="T7" s="39">
        <f t="shared" si="47"/>
        <v>1.1242109445527531</v>
      </c>
      <c r="U7" s="39">
        <f t="shared" si="48"/>
        <v>5.8095140184758866E-3</v>
      </c>
      <c r="V7" s="39">
        <f t="shared" si="49"/>
        <v>0.16536868640561028</v>
      </c>
      <c r="W7" s="39">
        <f t="shared" si="4"/>
        <v>6.4591484535792359E-2</v>
      </c>
      <c r="X7" s="39">
        <f t="shared" si="5"/>
        <v>5.3993658526013323E-2</v>
      </c>
      <c r="Y7" s="39">
        <f t="shared" si="6"/>
        <v>3.566499160089448E-2</v>
      </c>
      <c r="Z7" s="39">
        <f t="shared" si="7"/>
        <v>7.4041257398140964E-2</v>
      </c>
      <c r="AA7" s="39">
        <f t="shared" si="8"/>
        <v>1.828230352109167E-2</v>
      </c>
      <c r="AB7" s="39">
        <f t="shared" si="50"/>
        <v>1.248969600079934E-2</v>
      </c>
      <c r="AC7" s="39">
        <f t="shared" si="51"/>
        <v>1.5544525365595716</v>
      </c>
      <c r="AD7" s="39"/>
      <c r="AE7" s="39">
        <f t="shared" si="9"/>
        <v>0.72321985915436127</v>
      </c>
      <c r="AF7" s="39">
        <f t="shared" si="10"/>
        <v>3.737337668304707E-3</v>
      </c>
      <c r="AG7" s="39">
        <f t="shared" si="11"/>
        <v>0.10638387632704205</v>
      </c>
      <c r="AH7" s="39">
        <f t="shared" si="12"/>
        <v>4.1552561443111653E-2</v>
      </c>
      <c r="AI7" s="39">
        <f t="shared" si="13"/>
        <v>3.4734838958490201E-2</v>
      </c>
      <c r="AJ7" s="39">
        <f t="shared" si="14"/>
        <v>2.2943763648024182E-2</v>
      </c>
      <c r="AK7" s="39">
        <f t="shared" si="15"/>
        <v>4.7631726062227993E-2</v>
      </c>
      <c r="AL7" s="39">
        <f t="shared" si="16"/>
        <v>1.1761249115753257E-2</v>
      </c>
      <c r="AM7" s="39">
        <f t="shared" si="17"/>
        <v>8.0347876226844802E-3</v>
      </c>
      <c r="AN7" s="39">
        <f t="shared" si="18"/>
        <v>0.99999999999999989</v>
      </c>
      <c r="AO7" s="39"/>
      <c r="AP7" s="39">
        <f t="shared" si="19"/>
        <v>1.1242109445527531</v>
      </c>
      <c r="AQ7" s="39">
        <f t="shared" si="20"/>
        <v>5.8095140184758866E-3</v>
      </c>
      <c r="AR7" s="39">
        <f t="shared" si="21"/>
        <v>0.33073737281122056</v>
      </c>
      <c r="AS7" s="39">
        <f t="shared" si="22"/>
        <v>6.4591484535792359E-2</v>
      </c>
      <c r="AT7" s="39">
        <f t="shared" si="23"/>
        <v>5.3993658526013323E-2</v>
      </c>
      <c r="AU7" s="39">
        <f t="shared" si="24"/>
        <v>3.566499160089448E-2</v>
      </c>
      <c r="AV7" s="39">
        <f t="shared" si="25"/>
        <v>0.14808251479628193</v>
      </c>
      <c r="AW7" s="39">
        <f t="shared" si="26"/>
        <v>3.6564607042183339E-2</v>
      </c>
      <c r="AX7" s="39">
        <f t="shared" si="27"/>
        <v>1.7996550878836151</v>
      </c>
      <c r="AY7" s="39"/>
      <c r="AZ7" s="39">
        <f t="shared" si="28"/>
        <v>0.6246813359524459</v>
      </c>
      <c r="BA7" s="39">
        <f t="shared" si="29"/>
        <v>3.2281263546493481E-3</v>
      </c>
      <c r="BB7" s="39">
        <f t="shared" si="30"/>
        <v>0.18377820007730813</v>
      </c>
      <c r="BC7" s="39">
        <f t="shared" si="31"/>
        <v>3.5891035438213668E-2</v>
      </c>
      <c r="BD7" s="39">
        <f t="shared" si="32"/>
        <v>3.0002225920695492E-2</v>
      </c>
      <c r="BE7" s="39">
        <f t="shared" si="33"/>
        <v>1.9817681644117888E-2</v>
      </c>
      <c r="BF7" s="39">
        <f t="shared" si="34"/>
        <v>8.2283830825842411E-2</v>
      </c>
      <c r="BG7" s="39">
        <f t="shared" si="35"/>
        <v>2.0317563786727114E-2</v>
      </c>
      <c r="BH7" s="39">
        <f t="shared" si="36"/>
        <v>1</v>
      </c>
      <c r="BJ7" s="38">
        <f t="shared" si="52"/>
        <v>1.8434826817694282E-4</v>
      </c>
      <c r="BK7" s="5"/>
      <c r="BL7" s="5">
        <f t="shared" si="37"/>
        <v>-8.5986838275406541</v>
      </c>
      <c r="BM7" s="5">
        <f t="shared" si="53"/>
        <v>-9.7760091738290189</v>
      </c>
      <c r="BN7" s="4">
        <f t="shared" si="54"/>
        <v>0.11118202816612002</v>
      </c>
      <c r="BO7" s="1"/>
      <c r="BQ7" s="3">
        <f t="shared" si="55"/>
        <v>0.40048</v>
      </c>
      <c r="BR7" s="5">
        <f t="shared" si="56"/>
        <v>2</v>
      </c>
      <c r="BS7" s="3">
        <f t="shared" si="57"/>
        <v>2.2943763648024182E-2</v>
      </c>
      <c r="BT7" s="3">
        <f t="shared" si="58"/>
        <v>2.4755317490008956E-3</v>
      </c>
      <c r="BU7" s="3">
        <f t="shared" si="64"/>
        <v>0.30810170290148914</v>
      </c>
      <c r="BV7" s="4">
        <f t="shared" si="59"/>
        <v>0.12338856997798837</v>
      </c>
      <c r="BW7" s="4">
        <f t="shared" si="60"/>
        <v>0.2156711920310424</v>
      </c>
      <c r="BX7" s="4">
        <f t="shared" si="38"/>
        <v>7.7025425725372285E-2</v>
      </c>
      <c r="BY7" s="4">
        <f t="shared" si="38"/>
        <v>0.15405085145074457</v>
      </c>
      <c r="BZ7" s="4">
        <f t="shared" si="38"/>
        <v>0.30810170290148914</v>
      </c>
      <c r="CA7" s="4">
        <f t="shared" si="39"/>
        <v>0.35714285714285715</v>
      </c>
      <c r="CB7" s="4">
        <f t="shared" si="39"/>
        <v>0.7142857142857143</v>
      </c>
      <c r="CC7" s="4">
        <f t="shared" si="39"/>
        <v>1.4285714285714286</v>
      </c>
      <c r="CD7" s="40">
        <f t="shared" si="61"/>
        <v>0.2156711920310424</v>
      </c>
      <c r="CE7" s="41">
        <f t="shared" si="40"/>
        <v>0.2156711920310424</v>
      </c>
      <c r="CF7" s="42">
        <f t="shared" si="40"/>
        <v>0.2156711920310424</v>
      </c>
      <c r="CG7" s="40">
        <f t="shared" si="62"/>
        <v>7.7025425725372285E-2</v>
      </c>
      <c r="CH7" s="41">
        <f t="shared" si="41"/>
        <v>0.15405085145074457</v>
      </c>
      <c r="CI7" s="42">
        <f t="shared" si="41"/>
        <v>0.30810170290148914</v>
      </c>
      <c r="CJ7" s="40">
        <f t="shared" si="63"/>
        <v>0.70730338224358524</v>
      </c>
      <c r="CK7" s="41">
        <f t="shared" si="42"/>
        <v>0.63027795651821306</v>
      </c>
      <c r="CL7" s="42">
        <f t="shared" si="42"/>
        <v>0.4762271050674684</v>
      </c>
      <c r="CM7" s="4"/>
      <c r="CN7" s="4"/>
      <c r="CO7" s="4"/>
      <c r="CP7" s="4"/>
      <c r="CQ7" s="4"/>
      <c r="CR7" s="4"/>
      <c r="CS7" s="4"/>
      <c r="CT7" s="32"/>
      <c r="CU7" s="32"/>
      <c r="CV7" s="32"/>
      <c r="CW7" s="5"/>
    </row>
    <row r="8" spans="2:101">
      <c r="B8" s="2" t="s">
        <v>145</v>
      </c>
      <c r="C8" s="2">
        <v>850</v>
      </c>
      <c r="D8" s="2">
        <v>2000</v>
      </c>
      <c r="E8" s="5">
        <v>2.5</v>
      </c>
      <c r="G8" s="5">
        <f t="shared" si="0"/>
        <v>67.202462380300943</v>
      </c>
      <c r="H8" s="5">
        <f t="shared" si="0"/>
        <v>0.4616963064295484</v>
      </c>
      <c r="I8" s="5">
        <f t="shared" si="0"/>
        <v>16.774965800273595</v>
      </c>
      <c r="J8" s="5">
        <f t="shared" si="0"/>
        <v>4.6169630642954846</v>
      </c>
      <c r="K8" s="5">
        <f t="shared" si="0"/>
        <v>2.1648426812585493</v>
      </c>
      <c r="L8" s="5">
        <f t="shared" si="43"/>
        <v>2.5</v>
      </c>
      <c r="M8" s="5">
        <f t="shared" si="2"/>
        <v>4.5656634746922009</v>
      </c>
      <c r="N8" s="5">
        <f t="shared" si="2"/>
        <v>1.7134062927496574</v>
      </c>
      <c r="O8" s="1">
        <f t="shared" si="3"/>
        <v>99.999999999999972</v>
      </c>
      <c r="P8" s="4">
        <f t="shared" si="44"/>
        <v>1</v>
      </c>
      <c r="Q8" s="5">
        <f t="shared" si="45"/>
        <v>5</v>
      </c>
      <c r="R8" s="25">
        <f t="shared" si="46"/>
        <v>4004.9</v>
      </c>
      <c r="T8" s="39">
        <f t="shared" si="47"/>
        <v>1.1184751744274839</v>
      </c>
      <c r="U8" s="39">
        <f t="shared" si="48"/>
        <v>5.7798736408306009E-3</v>
      </c>
      <c r="V8" s="39">
        <f t="shared" si="49"/>
        <v>0.16452496861782656</v>
      </c>
      <c r="W8" s="39">
        <f t="shared" si="4"/>
        <v>6.4261936145303622E-2</v>
      </c>
      <c r="X8" s="39">
        <f t="shared" si="5"/>
        <v>5.3718180676390802E-2</v>
      </c>
      <c r="Y8" s="39">
        <f t="shared" si="6"/>
        <v>4.45812395011181E-2</v>
      </c>
      <c r="Z8" s="39">
        <f t="shared" si="7"/>
        <v>7.3663495880803509E-2</v>
      </c>
      <c r="AA8" s="39">
        <f t="shared" si="8"/>
        <v>1.8189026462310586E-2</v>
      </c>
      <c r="AB8" s="39">
        <f t="shared" si="50"/>
        <v>1.248969600079934E-2</v>
      </c>
      <c r="AC8" s="39">
        <f t="shared" si="51"/>
        <v>1.555683591352867</v>
      </c>
      <c r="AD8" s="39"/>
      <c r="AE8" s="39">
        <f t="shared" si="9"/>
        <v>0.71896057825924986</v>
      </c>
      <c r="AF8" s="39">
        <f t="shared" si="10"/>
        <v>3.7153272509638396E-3</v>
      </c>
      <c r="AG8" s="39">
        <f t="shared" si="11"/>
        <v>0.10575734650177221</v>
      </c>
      <c r="AH8" s="39">
        <f t="shared" si="12"/>
        <v>4.1307844668734724E-2</v>
      </c>
      <c r="AI8" s="39">
        <f t="shared" si="13"/>
        <v>3.453027400621738E-2</v>
      </c>
      <c r="AJ8" s="39">
        <f t="shared" si="14"/>
        <v>2.8657009528749337E-2</v>
      </c>
      <c r="AK8" s="39">
        <f t="shared" si="15"/>
        <v>4.7351207077233247E-2</v>
      </c>
      <c r="AL8" s="39">
        <f t="shared" si="16"/>
        <v>1.1691983230659961E-2</v>
      </c>
      <c r="AM8" s="39">
        <f t="shared" si="17"/>
        <v>8.0284294764193936E-3</v>
      </c>
      <c r="AN8" s="39">
        <f t="shared" si="18"/>
        <v>1</v>
      </c>
      <c r="AO8" s="39"/>
      <c r="AP8" s="39">
        <f t="shared" si="19"/>
        <v>1.1184751744274839</v>
      </c>
      <c r="AQ8" s="39">
        <f t="shared" si="20"/>
        <v>5.7798736408306009E-3</v>
      </c>
      <c r="AR8" s="39">
        <f t="shared" si="21"/>
        <v>0.32904993723565312</v>
      </c>
      <c r="AS8" s="39">
        <f t="shared" si="22"/>
        <v>6.4261936145303622E-2</v>
      </c>
      <c r="AT8" s="39">
        <f t="shared" si="23"/>
        <v>5.3718180676390802E-2</v>
      </c>
      <c r="AU8" s="39">
        <f t="shared" si="24"/>
        <v>4.45812395011181E-2</v>
      </c>
      <c r="AV8" s="39">
        <f t="shared" si="25"/>
        <v>0.14732699176160702</v>
      </c>
      <c r="AW8" s="39">
        <f t="shared" si="26"/>
        <v>3.6378052924621172E-2</v>
      </c>
      <c r="AX8" s="39">
        <f t="shared" si="27"/>
        <v>1.7995713863130081</v>
      </c>
      <c r="AY8" s="39"/>
      <c r="AZ8" s="39">
        <f t="shared" si="28"/>
        <v>0.62152309318444687</v>
      </c>
      <c r="BA8" s="39">
        <f t="shared" si="29"/>
        <v>3.211805702619279E-3</v>
      </c>
      <c r="BB8" s="39">
        <f t="shared" si="30"/>
        <v>0.18284906046979116</v>
      </c>
      <c r="BC8" s="39">
        <f t="shared" si="31"/>
        <v>3.5709578755286027E-2</v>
      </c>
      <c r="BD8" s="39">
        <f t="shared" si="32"/>
        <v>2.9850541681733175E-2</v>
      </c>
      <c r="BE8" s="39">
        <f t="shared" si="33"/>
        <v>2.4773254253868133E-2</v>
      </c>
      <c r="BF8" s="39">
        <f t="shared" si="34"/>
        <v>8.1867823017264696E-2</v>
      </c>
      <c r="BG8" s="39">
        <f t="shared" si="35"/>
        <v>2.0214842934990835E-2</v>
      </c>
      <c r="BH8" s="39">
        <f t="shared" si="36"/>
        <v>1</v>
      </c>
      <c r="BJ8" s="38">
        <f t="shared" si="52"/>
        <v>2.3007078000664261E-4</v>
      </c>
      <c r="BK8" s="5"/>
      <c r="BL8" s="5">
        <f t="shared" si="37"/>
        <v>-8.3771235572237455</v>
      </c>
      <c r="BM8" s="5">
        <f t="shared" si="53"/>
        <v>-9.4119364892452086</v>
      </c>
      <c r="BN8" s="4">
        <f t="shared" si="54"/>
        <v>0.12370274781559329</v>
      </c>
      <c r="BO8" s="1"/>
      <c r="BQ8" s="3">
        <f t="shared" si="55"/>
        <v>0.40048</v>
      </c>
      <c r="BR8" s="5">
        <f t="shared" si="56"/>
        <v>2.5</v>
      </c>
      <c r="BS8" s="3">
        <f t="shared" si="57"/>
        <v>2.8657009528749337E-2</v>
      </c>
      <c r="BT8" s="3">
        <f t="shared" si="58"/>
        <v>2.8524434983520893E-3</v>
      </c>
      <c r="BU8" s="3">
        <f t="shared" si="64"/>
        <v>0.35529283862181388</v>
      </c>
      <c r="BV8" s="4">
        <f t="shared" si="59"/>
        <v>0.14228767601126402</v>
      </c>
      <c r="BW8" s="4">
        <f t="shared" si="60"/>
        <v>0.24870498703526972</v>
      </c>
      <c r="BX8" s="4">
        <f t="shared" si="38"/>
        <v>8.8823209655453469E-2</v>
      </c>
      <c r="BY8" s="4">
        <f t="shared" si="38"/>
        <v>0.17764641931090694</v>
      </c>
      <c r="BZ8" s="4">
        <f t="shared" si="38"/>
        <v>0.35529283862181388</v>
      </c>
      <c r="CA8" s="4">
        <f t="shared" si="39"/>
        <v>0.35714285714285715</v>
      </c>
      <c r="CB8" s="4">
        <f t="shared" si="39"/>
        <v>0.7142857142857143</v>
      </c>
      <c r="CC8" s="4">
        <f t="shared" si="39"/>
        <v>1.4285714285714286</v>
      </c>
      <c r="CD8" s="40">
        <f t="shared" si="61"/>
        <v>0.24870498703526972</v>
      </c>
      <c r="CE8" s="41">
        <f t="shared" si="40"/>
        <v>0.24870498703526972</v>
      </c>
      <c r="CF8" s="42">
        <f t="shared" si="40"/>
        <v>0.24870498703526972</v>
      </c>
      <c r="CG8" s="40">
        <f t="shared" si="62"/>
        <v>8.8823209655453469E-2</v>
      </c>
      <c r="CH8" s="41">
        <f t="shared" si="41"/>
        <v>0.17764641931090694</v>
      </c>
      <c r="CI8" s="42">
        <f t="shared" si="41"/>
        <v>0.35529283862181388</v>
      </c>
      <c r="CJ8" s="40">
        <f t="shared" si="63"/>
        <v>0.66247180330927691</v>
      </c>
      <c r="CK8" s="41">
        <f t="shared" si="42"/>
        <v>0.57364859365382337</v>
      </c>
      <c r="CL8" s="42">
        <f t="shared" si="42"/>
        <v>0.39600217434291635</v>
      </c>
      <c r="CM8" s="4"/>
      <c r="CN8" s="4"/>
      <c r="CO8" s="4"/>
      <c r="CP8" s="4"/>
      <c r="CQ8" s="4"/>
      <c r="CR8" s="4"/>
      <c r="CS8" s="4"/>
      <c r="CT8" s="32"/>
      <c r="CU8" s="32"/>
      <c r="CV8" s="32"/>
      <c r="CW8" s="5"/>
    </row>
    <row r="9" spans="2:101">
      <c r="B9" s="2" t="s">
        <v>145</v>
      </c>
      <c r="C9" s="2">
        <v>850</v>
      </c>
      <c r="D9" s="2">
        <v>2000</v>
      </c>
      <c r="E9" s="5">
        <v>3</v>
      </c>
      <c r="G9" s="5">
        <f t="shared" si="0"/>
        <v>66.85783436809426</v>
      </c>
      <c r="H9" s="5">
        <f t="shared" si="0"/>
        <v>0.45932863306324301</v>
      </c>
      <c r="I9" s="5">
        <f t="shared" si="0"/>
        <v>16.688940334631166</v>
      </c>
      <c r="J9" s="5">
        <f t="shared" si="0"/>
        <v>4.5932863306324307</v>
      </c>
      <c r="K9" s="5">
        <f t="shared" si="0"/>
        <v>2.1537409239187615</v>
      </c>
      <c r="L9" s="5">
        <f t="shared" si="43"/>
        <v>3</v>
      </c>
      <c r="M9" s="5">
        <f t="shared" si="2"/>
        <v>4.5422498158476259</v>
      </c>
      <c r="N9" s="5">
        <f t="shared" si="2"/>
        <v>1.7046195938124795</v>
      </c>
      <c r="O9" s="1">
        <f t="shared" si="3"/>
        <v>99.999999999999972</v>
      </c>
      <c r="P9" s="4">
        <f t="shared" si="44"/>
        <v>1</v>
      </c>
      <c r="Q9" s="5">
        <f t="shared" si="45"/>
        <v>5</v>
      </c>
      <c r="R9" s="25">
        <f t="shared" si="46"/>
        <v>4004.9</v>
      </c>
      <c r="T9" s="39">
        <f t="shared" si="47"/>
        <v>1.1127394043022145</v>
      </c>
      <c r="U9" s="39">
        <f t="shared" si="48"/>
        <v>5.750233263185316E-3</v>
      </c>
      <c r="V9" s="39">
        <f t="shared" si="49"/>
        <v>0.16368125083004284</v>
      </c>
      <c r="W9" s="39">
        <f t="shared" si="4"/>
        <v>6.3932387754814884E-2</v>
      </c>
      <c r="X9" s="39">
        <f t="shared" si="5"/>
        <v>5.344270282676828E-2</v>
      </c>
      <c r="Y9" s="39">
        <f t="shared" si="6"/>
        <v>5.349748740134172E-2</v>
      </c>
      <c r="Z9" s="39">
        <f t="shared" si="7"/>
        <v>7.3285734363466054E-2</v>
      </c>
      <c r="AA9" s="39">
        <f t="shared" si="8"/>
        <v>1.8095749403529506E-2</v>
      </c>
      <c r="AB9" s="39">
        <f t="shared" si="50"/>
        <v>1.248969600079934E-2</v>
      </c>
      <c r="AC9" s="39">
        <f t="shared" si="51"/>
        <v>1.5569146461461625</v>
      </c>
      <c r="AD9" s="39"/>
      <c r="AE9" s="39">
        <f t="shared" si="9"/>
        <v>0.714708033003982</v>
      </c>
      <c r="AF9" s="39">
        <f t="shared" si="10"/>
        <v>3.6933516409643221E-3</v>
      </c>
      <c r="AG9" s="39">
        <f t="shared" si="11"/>
        <v>0.10513180747268563</v>
      </c>
      <c r="AH9" s="39">
        <f t="shared" si="12"/>
        <v>4.1063514890213794E-2</v>
      </c>
      <c r="AI9" s="39">
        <f t="shared" si="13"/>
        <v>3.4326032553586176E-2</v>
      </c>
      <c r="AJ9" s="39">
        <f t="shared" si="14"/>
        <v>3.4361220464952449E-2</v>
      </c>
      <c r="AK9" s="39">
        <f t="shared" si="15"/>
        <v>4.7071131705819932E-2</v>
      </c>
      <c r="AL9" s="39">
        <f t="shared" si="16"/>
        <v>1.1622826882849354E-2</v>
      </c>
      <c r="AM9" s="39">
        <f t="shared" si="17"/>
        <v>8.0220813849462697E-3</v>
      </c>
      <c r="AN9" s="39">
        <f t="shared" si="18"/>
        <v>0.99999999999999978</v>
      </c>
      <c r="AO9" s="39"/>
      <c r="AP9" s="39">
        <f t="shared" si="19"/>
        <v>1.1127394043022145</v>
      </c>
      <c r="AQ9" s="39">
        <f t="shared" si="20"/>
        <v>5.750233263185316E-3</v>
      </c>
      <c r="AR9" s="39">
        <f t="shared" si="21"/>
        <v>0.32736250166008568</v>
      </c>
      <c r="AS9" s="39">
        <f t="shared" si="22"/>
        <v>6.3932387754814884E-2</v>
      </c>
      <c r="AT9" s="39">
        <f t="shared" si="23"/>
        <v>5.344270282676828E-2</v>
      </c>
      <c r="AU9" s="39">
        <f t="shared" si="24"/>
        <v>5.349748740134172E-2</v>
      </c>
      <c r="AV9" s="39">
        <f t="shared" si="25"/>
        <v>0.14657146872693211</v>
      </c>
      <c r="AW9" s="39">
        <f t="shared" si="26"/>
        <v>3.6191498807059012E-2</v>
      </c>
      <c r="AX9" s="39">
        <f t="shared" si="27"/>
        <v>1.7994876847424015</v>
      </c>
      <c r="AY9" s="39"/>
      <c r="AZ9" s="39">
        <f t="shared" si="28"/>
        <v>0.61836455661073575</v>
      </c>
      <c r="BA9" s="39">
        <f t="shared" si="29"/>
        <v>3.1954835323079567E-3</v>
      </c>
      <c r="BB9" s="39">
        <f t="shared" si="30"/>
        <v>0.18191983442606774</v>
      </c>
      <c r="BC9" s="39">
        <f t="shared" si="31"/>
        <v>3.5528105191765663E-2</v>
      </c>
      <c r="BD9" s="39">
        <f t="shared" si="32"/>
        <v>2.9698843331855677E-2</v>
      </c>
      <c r="BE9" s="39">
        <f t="shared" si="33"/>
        <v>2.972928787173108E-2</v>
      </c>
      <c r="BF9" s="39">
        <f t="shared" si="34"/>
        <v>8.1451776508219872E-2</v>
      </c>
      <c r="BG9" s="39">
        <f t="shared" si="35"/>
        <v>2.0112112527316275E-2</v>
      </c>
      <c r="BH9" s="39">
        <f t="shared" si="36"/>
        <v>1</v>
      </c>
      <c r="BJ9" s="38">
        <f t="shared" si="52"/>
        <v>2.7564850705592982E-4</v>
      </c>
      <c r="BK9" s="5"/>
      <c r="BL9" s="5">
        <f t="shared" si="37"/>
        <v>-8.1963840290291188</v>
      </c>
      <c r="BM9" s="5">
        <f t="shared" si="53"/>
        <v>-9.0441104780162416</v>
      </c>
      <c r="BN9" s="4">
        <f t="shared" si="54"/>
        <v>0.13635254704908009</v>
      </c>
      <c r="BO9" s="1"/>
      <c r="BQ9" s="3">
        <f t="shared" si="55"/>
        <v>0.40048</v>
      </c>
      <c r="BR9" s="5">
        <f t="shared" si="56"/>
        <v>3</v>
      </c>
      <c r="BS9" s="3">
        <f t="shared" si="57"/>
        <v>3.4361220464952449E-2</v>
      </c>
      <c r="BT9" s="3">
        <f t="shared" si="58"/>
        <v>3.4365616924254033E-3</v>
      </c>
      <c r="BU9" s="3">
        <f t="shared" si="64"/>
        <v>0.42838778709902353</v>
      </c>
      <c r="BV9" s="4">
        <f t="shared" si="59"/>
        <v>0.17156074097741694</v>
      </c>
      <c r="BW9" s="4">
        <f t="shared" si="60"/>
        <v>0.29987145096931644</v>
      </c>
      <c r="BX9" s="4">
        <f t="shared" si="38"/>
        <v>0.10709694677475588</v>
      </c>
      <c r="BY9" s="4">
        <f t="shared" si="38"/>
        <v>0.21419389354951177</v>
      </c>
      <c r="BZ9" s="4">
        <f t="shared" si="38"/>
        <v>0.42838778709902353</v>
      </c>
      <c r="CA9" s="4">
        <f t="shared" si="39"/>
        <v>0.35714285714285715</v>
      </c>
      <c r="CB9" s="4">
        <f t="shared" si="39"/>
        <v>0.7142857142857143</v>
      </c>
      <c r="CC9" s="4">
        <f t="shared" si="39"/>
        <v>1.4285714285714286</v>
      </c>
      <c r="CD9" s="40">
        <f t="shared" si="61"/>
        <v>0.29987145096931644</v>
      </c>
      <c r="CE9" s="41">
        <f t="shared" si="40"/>
        <v>0.29987145096931644</v>
      </c>
      <c r="CF9" s="42">
        <f t="shared" si="40"/>
        <v>0.29987145096931644</v>
      </c>
      <c r="CG9" s="40">
        <f t="shared" si="62"/>
        <v>0.10709694677475588</v>
      </c>
      <c r="CH9" s="41">
        <f t="shared" si="41"/>
        <v>0.21419389354951177</v>
      </c>
      <c r="CI9" s="42">
        <f t="shared" si="41"/>
        <v>0.42838778709902353</v>
      </c>
      <c r="CJ9" s="40">
        <f t="shared" si="63"/>
        <v>0.59303160225592766</v>
      </c>
      <c r="CK9" s="41">
        <f t="shared" si="42"/>
        <v>0.48593465548117176</v>
      </c>
      <c r="CL9" s="42">
        <f t="shared" si="42"/>
        <v>0.27174076193165997</v>
      </c>
      <c r="CM9" s="4"/>
      <c r="CN9" s="4"/>
      <c r="CO9" s="4"/>
      <c r="CP9" s="4"/>
      <c r="CQ9" s="4"/>
      <c r="CR9" s="4"/>
      <c r="CS9" s="4"/>
      <c r="CT9" s="32"/>
      <c r="CU9" s="32"/>
      <c r="CV9" s="32"/>
      <c r="CW9" s="5"/>
    </row>
    <row r="10" spans="2:101">
      <c r="B10" s="2" t="s">
        <v>145</v>
      </c>
      <c r="C10" s="2">
        <v>850</v>
      </c>
      <c r="D10" s="2">
        <v>2000</v>
      </c>
      <c r="E10" s="5">
        <v>3.5</v>
      </c>
      <c r="G10" s="5">
        <f t="shared" si="0"/>
        <v>66.51320635588759</v>
      </c>
      <c r="H10" s="5">
        <f t="shared" si="0"/>
        <v>0.45696095969693773</v>
      </c>
      <c r="I10" s="5">
        <f t="shared" si="0"/>
        <v>16.602914868988737</v>
      </c>
      <c r="J10" s="5">
        <f t="shared" si="0"/>
        <v>4.5696095969693769</v>
      </c>
      <c r="K10" s="5">
        <f t="shared" si="0"/>
        <v>2.1426391665789741</v>
      </c>
      <c r="L10" s="5">
        <f t="shared" si="43"/>
        <v>3.5</v>
      </c>
      <c r="M10" s="5">
        <f t="shared" si="2"/>
        <v>4.51883615700305</v>
      </c>
      <c r="N10" s="5">
        <f t="shared" si="2"/>
        <v>1.6958328948753021</v>
      </c>
      <c r="O10" s="1">
        <f t="shared" si="3"/>
        <v>99.999999999999972</v>
      </c>
      <c r="P10" s="4">
        <f t="shared" si="44"/>
        <v>1</v>
      </c>
      <c r="Q10" s="5">
        <f t="shared" si="45"/>
        <v>5</v>
      </c>
      <c r="R10" s="25">
        <f t="shared" si="46"/>
        <v>4004.9</v>
      </c>
      <c r="T10" s="39">
        <f t="shared" si="47"/>
        <v>1.1070036341769454</v>
      </c>
      <c r="U10" s="39">
        <f t="shared" si="48"/>
        <v>5.720592885540032E-3</v>
      </c>
      <c r="V10" s="39">
        <f t="shared" si="49"/>
        <v>0.16283753304225909</v>
      </c>
      <c r="W10" s="39">
        <f t="shared" si="4"/>
        <v>6.3602839364326147E-2</v>
      </c>
      <c r="X10" s="39">
        <f t="shared" si="5"/>
        <v>5.3167224977145766E-2</v>
      </c>
      <c r="Y10" s="39">
        <f t="shared" si="6"/>
        <v>6.241373530156534E-2</v>
      </c>
      <c r="Z10" s="39">
        <f t="shared" si="7"/>
        <v>7.2907972846128599E-2</v>
      </c>
      <c r="AA10" s="39">
        <f t="shared" si="8"/>
        <v>1.800247234474843E-2</v>
      </c>
      <c r="AB10" s="39">
        <f t="shared" si="50"/>
        <v>1.248969600079934E-2</v>
      </c>
      <c r="AC10" s="39">
        <f t="shared" si="51"/>
        <v>1.5581457009394581</v>
      </c>
      <c r="AD10" s="39"/>
      <c r="AE10" s="39">
        <f t="shared" si="9"/>
        <v>0.71046220742353927</v>
      </c>
      <c r="AF10" s="39">
        <f t="shared" si="10"/>
        <v>3.6714107558047334E-3</v>
      </c>
      <c r="AG10" s="39">
        <f t="shared" si="11"/>
        <v>0.10450725689136703</v>
      </c>
      <c r="AH10" s="39">
        <f t="shared" si="12"/>
        <v>4.0819571190279492E-2</v>
      </c>
      <c r="AI10" s="39">
        <f t="shared" si="13"/>
        <v>3.4122113833827905E-2</v>
      </c>
      <c r="AJ10" s="39">
        <f t="shared" si="14"/>
        <v>4.0056417871534099E-2</v>
      </c>
      <c r="AK10" s="39">
        <f t="shared" si="15"/>
        <v>4.6791498896521642E-2</v>
      </c>
      <c r="AL10" s="39">
        <f t="shared" si="16"/>
        <v>1.155377981269283E-2</v>
      </c>
      <c r="AM10" s="39">
        <f t="shared" si="17"/>
        <v>8.0157433244329359E-3</v>
      </c>
      <c r="AN10" s="39">
        <f t="shared" si="18"/>
        <v>0.99999999999999989</v>
      </c>
      <c r="AO10" s="39"/>
      <c r="AP10" s="39">
        <f t="shared" si="19"/>
        <v>1.1070036341769454</v>
      </c>
      <c r="AQ10" s="39">
        <f t="shared" si="20"/>
        <v>5.720592885540032E-3</v>
      </c>
      <c r="AR10" s="39">
        <f t="shared" si="21"/>
        <v>0.32567506608451818</v>
      </c>
      <c r="AS10" s="39">
        <f t="shared" si="22"/>
        <v>6.3602839364326147E-2</v>
      </c>
      <c r="AT10" s="39">
        <f t="shared" si="23"/>
        <v>5.3167224977145766E-2</v>
      </c>
      <c r="AU10" s="39">
        <f t="shared" si="24"/>
        <v>6.241373530156534E-2</v>
      </c>
      <c r="AV10" s="39">
        <f t="shared" si="25"/>
        <v>0.1458159456922572</v>
      </c>
      <c r="AW10" s="39">
        <f t="shared" si="26"/>
        <v>3.6004944689496859E-2</v>
      </c>
      <c r="AX10" s="39">
        <f t="shared" si="27"/>
        <v>1.7994039831717947</v>
      </c>
      <c r="AY10" s="39"/>
      <c r="AZ10" s="39">
        <f t="shared" si="28"/>
        <v>0.61520572619031277</v>
      </c>
      <c r="BA10" s="39">
        <f t="shared" si="29"/>
        <v>3.1791598435035079E-3</v>
      </c>
      <c r="BB10" s="39">
        <f t="shared" si="30"/>
        <v>0.18099052193407586</v>
      </c>
      <c r="BC10" s="39">
        <f t="shared" si="31"/>
        <v>3.5346614745296906E-2</v>
      </c>
      <c r="BD10" s="39">
        <f t="shared" si="32"/>
        <v>2.954713086909385E-2</v>
      </c>
      <c r="BE10" s="39">
        <f t="shared" si="33"/>
        <v>3.4685782562039878E-2</v>
      </c>
      <c r="BF10" s="39">
        <f t="shared" si="34"/>
        <v>8.1035691293307371E-2</v>
      </c>
      <c r="BG10" s="39">
        <f t="shared" si="35"/>
        <v>2.0009372562369922E-2</v>
      </c>
      <c r="BH10" s="39">
        <f t="shared" si="36"/>
        <v>1</v>
      </c>
      <c r="BJ10" s="38">
        <f t="shared" si="52"/>
        <v>3.210819641544456E-4</v>
      </c>
      <c r="BK10" s="5"/>
      <c r="BL10" s="5">
        <f t="shared" si="37"/>
        <v>-8.0438141273829782</v>
      </c>
      <c r="BM10" s="5">
        <f t="shared" si="53"/>
        <v>-8.6724727982771466</v>
      </c>
      <c r="BN10" s="4">
        <f t="shared" si="54"/>
        <v>0.14913343228498596</v>
      </c>
      <c r="BO10" s="1"/>
      <c r="BQ10" s="3">
        <f t="shared" si="55"/>
        <v>0.40048</v>
      </c>
      <c r="BR10" s="5">
        <f t="shared" si="56"/>
        <v>3.5</v>
      </c>
      <c r="BS10" s="3">
        <f t="shared" si="57"/>
        <v>4.0056417871534099E-2</v>
      </c>
      <c r="BT10" s="3">
        <f t="shared" si="58"/>
        <v>4.2748493095124589E-3</v>
      </c>
      <c r="BU10" s="3">
        <f t="shared" si="64"/>
        <v>0.53330666121533743</v>
      </c>
      <c r="BV10" s="4">
        <f t="shared" si="59"/>
        <v>0.21357865168351833</v>
      </c>
      <c r="BW10" s="4">
        <f t="shared" si="60"/>
        <v>0.37331466285073617</v>
      </c>
      <c r="BX10" s="4">
        <f t="shared" si="38"/>
        <v>0.13332666530383436</v>
      </c>
      <c r="BY10" s="4">
        <f t="shared" si="38"/>
        <v>0.26665333060766871</v>
      </c>
      <c r="BZ10" s="4">
        <f t="shared" si="38"/>
        <v>0.53330666121533743</v>
      </c>
      <c r="CA10" s="4">
        <f t="shared" si="39"/>
        <v>0.35714285714285715</v>
      </c>
      <c r="CB10" s="4">
        <f t="shared" si="39"/>
        <v>0.7142857142857143</v>
      </c>
      <c r="CC10" s="4">
        <f t="shared" si="39"/>
        <v>1.4285714285714286</v>
      </c>
      <c r="CD10" s="40">
        <f t="shared" si="61"/>
        <v>0.37331466285073617</v>
      </c>
      <c r="CE10" s="41">
        <f t="shared" si="40"/>
        <v>0.37331466285073617</v>
      </c>
      <c r="CF10" s="42">
        <f t="shared" si="40"/>
        <v>0.37331466285073617</v>
      </c>
      <c r="CG10" s="40">
        <f t="shared" si="62"/>
        <v>0.13332666530383436</v>
      </c>
      <c r="CH10" s="41">
        <f t="shared" si="41"/>
        <v>0.26665333060766871</v>
      </c>
      <c r="CI10" s="42">
        <f t="shared" si="41"/>
        <v>0.53330666121533743</v>
      </c>
      <c r="CJ10" s="40">
        <f t="shared" si="63"/>
        <v>0.49335867184542953</v>
      </c>
      <c r="CK10" s="41">
        <f t="shared" si="42"/>
        <v>0.36003200654159512</v>
      </c>
      <c r="CL10" s="42">
        <f t="shared" si="42"/>
        <v>9.3378675933926403E-2</v>
      </c>
      <c r="CM10" s="4"/>
      <c r="CN10" s="4"/>
      <c r="CO10" s="4"/>
      <c r="CP10" s="4"/>
      <c r="CQ10" s="4"/>
      <c r="CR10" s="4"/>
      <c r="CS10" s="4"/>
      <c r="CT10" s="32"/>
      <c r="CU10" s="32"/>
      <c r="CV10" s="32"/>
      <c r="CW10" s="5"/>
    </row>
    <row r="11" spans="2:101">
      <c r="B11" s="2" t="s">
        <v>145</v>
      </c>
      <c r="C11" s="2">
        <v>850</v>
      </c>
      <c r="D11" s="2">
        <v>2000</v>
      </c>
      <c r="E11" s="5">
        <v>4</v>
      </c>
      <c r="G11" s="5">
        <f t="shared" si="0"/>
        <v>66.16857834368092</v>
      </c>
      <c r="H11" s="5">
        <f t="shared" si="0"/>
        <v>0.45459328633063234</v>
      </c>
      <c r="I11" s="5">
        <f t="shared" si="0"/>
        <v>16.516889403346308</v>
      </c>
      <c r="J11" s="5">
        <f t="shared" si="0"/>
        <v>4.545932863306323</v>
      </c>
      <c r="K11" s="5">
        <f t="shared" si="0"/>
        <v>2.1315374092391868</v>
      </c>
      <c r="L11" s="5">
        <f t="shared" si="43"/>
        <v>4</v>
      </c>
      <c r="M11" s="5">
        <f t="shared" si="2"/>
        <v>4.4954224981584749</v>
      </c>
      <c r="N11" s="5">
        <f t="shared" si="2"/>
        <v>1.6870461959381242</v>
      </c>
      <c r="O11" s="1">
        <f t="shared" si="3"/>
        <v>99.999999999999972</v>
      </c>
      <c r="P11" s="4">
        <f t="shared" si="44"/>
        <v>1</v>
      </c>
      <c r="Q11" s="5">
        <f t="shared" si="45"/>
        <v>5</v>
      </c>
      <c r="R11" s="25">
        <f t="shared" si="46"/>
        <v>4004.9</v>
      </c>
      <c r="T11" s="39">
        <f t="shared" si="47"/>
        <v>1.1012678640516762</v>
      </c>
      <c r="U11" s="39">
        <f t="shared" si="48"/>
        <v>5.6909525078947471E-3</v>
      </c>
      <c r="V11" s="39">
        <f t="shared" si="49"/>
        <v>0.16199381525447537</v>
      </c>
      <c r="W11" s="39">
        <f t="shared" si="4"/>
        <v>6.3273290973837409E-2</v>
      </c>
      <c r="X11" s="39">
        <f t="shared" si="5"/>
        <v>5.2891747127523252E-2</v>
      </c>
      <c r="Y11" s="39">
        <f t="shared" si="6"/>
        <v>7.132998320178896E-2</v>
      </c>
      <c r="Z11" s="39">
        <f t="shared" si="7"/>
        <v>7.2530211328791144E-2</v>
      </c>
      <c r="AA11" s="39">
        <f t="shared" si="8"/>
        <v>1.7909195285967346E-2</v>
      </c>
      <c r="AB11" s="39">
        <f t="shared" si="50"/>
        <v>1.248969600079934E-2</v>
      </c>
      <c r="AC11" s="39">
        <f t="shared" si="51"/>
        <v>1.5593767557327536</v>
      </c>
      <c r="AD11" s="39"/>
      <c r="AE11" s="39">
        <f t="shared" si="9"/>
        <v>0.7062230856033177</v>
      </c>
      <c r="AF11" s="39">
        <f t="shared" si="10"/>
        <v>3.6495045132441772E-3</v>
      </c>
      <c r="AG11" s="39">
        <f t="shared" si="11"/>
        <v>0.10388369241681701</v>
      </c>
      <c r="AH11" s="39">
        <f t="shared" si="12"/>
        <v>4.0576012654559027E-2</v>
      </c>
      <c r="AI11" s="39">
        <f t="shared" si="13"/>
        <v>3.3918517082595176E-2</v>
      </c>
      <c r="AJ11" s="39">
        <f t="shared" si="14"/>
        <v>4.5742623095770651E-2</v>
      </c>
      <c r="AK11" s="39">
        <f t="shared" si="15"/>
        <v>4.65123076011923E-2</v>
      </c>
      <c r="AL11" s="39">
        <f t="shared" si="16"/>
        <v>1.1484841761381641E-2</v>
      </c>
      <c r="AM11" s="39">
        <f t="shared" si="17"/>
        <v>8.0094152711224758E-3</v>
      </c>
      <c r="AN11" s="39">
        <f t="shared" si="18"/>
        <v>1.0000000000000002</v>
      </c>
      <c r="AO11" s="39"/>
      <c r="AP11" s="39">
        <f t="shared" si="19"/>
        <v>1.1012678640516762</v>
      </c>
      <c r="AQ11" s="39">
        <f t="shared" si="20"/>
        <v>5.6909525078947471E-3</v>
      </c>
      <c r="AR11" s="39">
        <f t="shared" si="21"/>
        <v>0.32398763050895074</v>
      </c>
      <c r="AS11" s="39">
        <f t="shared" si="22"/>
        <v>6.3273290973837409E-2</v>
      </c>
      <c r="AT11" s="39">
        <f t="shared" si="23"/>
        <v>5.2891747127523252E-2</v>
      </c>
      <c r="AU11" s="39">
        <f t="shared" si="24"/>
        <v>7.132998320178896E-2</v>
      </c>
      <c r="AV11" s="39">
        <f t="shared" si="25"/>
        <v>0.14506042265758229</v>
      </c>
      <c r="AW11" s="39">
        <f t="shared" si="26"/>
        <v>3.5818390571934693E-2</v>
      </c>
      <c r="AX11" s="39">
        <f t="shared" si="27"/>
        <v>1.7993202816011884</v>
      </c>
      <c r="AY11" s="39"/>
      <c r="AZ11" s="39">
        <f t="shared" si="28"/>
        <v>0.61204660188216975</v>
      </c>
      <c r="BA11" s="39">
        <f t="shared" si="29"/>
        <v>3.1628346359940172E-3</v>
      </c>
      <c r="BB11" s="39">
        <f t="shared" si="30"/>
        <v>0.18006112298175117</v>
      </c>
      <c r="BC11" s="39">
        <f t="shared" si="31"/>
        <v>3.5165107413523647E-2</v>
      </c>
      <c r="BD11" s="39">
        <f t="shared" si="32"/>
        <v>2.9395404291478154E-2</v>
      </c>
      <c r="BE11" s="39">
        <f t="shared" si="33"/>
        <v>3.9642738389139627E-2</v>
      </c>
      <c r="BF11" s="39">
        <f t="shared" si="34"/>
        <v>8.0619567367125528E-2</v>
      </c>
      <c r="BG11" s="39">
        <f t="shared" si="35"/>
        <v>1.9906623038817992E-2</v>
      </c>
      <c r="BH11" s="39">
        <f t="shared" si="36"/>
        <v>0.99999999999999978</v>
      </c>
      <c r="BJ11" s="38">
        <f t="shared" si="52"/>
        <v>3.6637166396446511E-4</v>
      </c>
      <c r="BK11" s="5"/>
      <c r="BL11" s="5">
        <f t="shared" si="37"/>
        <v>-7.9118622644964329</v>
      </c>
      <c r="BM11" s="5">
        <f t="shared" si="53"/>
        <v>-8.2969638927073941</v>
      </c>
      <c r="BN11" s="4">
        <f t="shared" si="54"/>
        <v>0.1620474517421007</v>
      </c>
      <c r="BO11" s="1"/>
      <c r="BQ11" s="3">
        <f t="shared" si="55"/>
        <v>0.40048</v>
      </c>
      <c r="BR11" s="5">
        <f t="shared" si="56"/>
        <v>4</v>
      </c>
      <c r="BS11" s="3">
        <f t="shared" si="57"/>
        <v>4.5742623095770651E-2</v>
      </c>
      <c r="BT11" s="3">
        <f t="shared" si="58"/>
        <v>5.4494578700652347E-3</v>
      </c>
      <c r="BU11" s="3">
        <f t="shared" si="64"/>
        <v>0.6803814867376109</v>
      </c>
      <c r="BV11" s="4">
        <f t="shared" si="59"/>
        <v>0.27247917780867842</v>
      </c>
      <c r="BW11" s="4">
        <f t="shared" si="60"/>
        <v>0.47626704071632764</v>
      </c>
      <c r="BX11" s="4">
        <f t="shared" si="38"/>
        <v>0.17009537168440272</v>
      </c>
      <c r="BY11" s="4">
        <f t="shared" si="38"/>
        <v>0.34019074336880545</v>
      </c>
      <c r="BZ11" s="4">
        <f t="shared" si="38"/>
        <v>0.6803814867376109</v>
      </c>
      <c r="CA11" s="4">
        <f t="shared" si="39"/>
        <v>0.35714285714285715</v>
      </c>
      <c r="CB11" s="4">
        <f t="shared" si="39"/>
        <v>0.7142857142857143</v>
      </c>
      <c r="CC11" s="4">
        <f t="shared" si="39"/>
        <v>1.4285714285714286</v>
      </c>
      <c r="CD11" s="40">
        <f t="shared" si="61"/>
        <v>0.47626704071632764</v>
      </c>
      <c r="CE11" s="41">
        <f t="shared" si="40"/>
        <v>0.47626704071632764</v>
      </c>
      <c r="CF11" s="42">
        <f t="shared" si="40"/>
        <v>0.41176470588235303</v>
      </c>
      <c r="CG11" s="40">
        <f t="shared" si="62"/>
        <v>0.17009537168440272</v>
      </c>
      <c r="CH11" s="41">
        <f t="shared" si="41"/>
        <v>0.34019074336880545</v>
      </c>
      <c r="CI11" s="42">
        <f t="shared" si="41"/>
        <v>0.58823529411764697</v>
      </c>
      <c r="CJ11" s="40">
        <f t="shared" si="63"/>
        <v>0.35363758759926966</v>
      </c>
      <c r="CK11" s="41">
        <f t="shared" si="42"/>
        <v>0.18354221591486697</v>
      </c>
      <c r="CL11" s="42">
        <f t="shared" si="42"/>
        <v>0</v>
      </c>
      <c r="CM11" s="4"/>
      <c r="CN11" s="4"/>
      <c r="CO11" s="4"/>
      <c r="CP11" s="4"/>
      <c r="CQ11" s="4"/>
      <c r="CR11" s="4"/>
      <c r="CS11" s="4"/>
      <c r="CT11" s="32"/>
      <c r="CU11" s="32"/>
      <c r="CV11" s="32"/>
      <c r="CW11" s="5"/>
    </row>
    <row r="12" spans="2:101">
      <c r="B12" s="2" t="s">
        <v>145</v>
      </c>
      <c r="C12" s="2">
        <v>850</v>
      </c>
      <c r="D12" s="2">
        <v>2000</v>
      </c>
      <c r="E12" s="5">
        <v>4.5</v>
      </c>
      <c r="G12" s="5">
        <f t="shared" si="0"/>
        <v>65.823950331474251</v>
      </c>
      <c r="H12" s="5">
        <f t="shared" si="0"/>
        <v>0.45222561296432695</v>
      </c>
      <c r="I12" s="5">
        <f t="shared" si="0"/>
        <v>16.430863937703879</v>
      </c>
      <c r="J12" s="5">
        <f t="shared" si="0"/>
        <v>4.5222561296432691</v>
      </c>
      <c r="K12" s="5">
        <f t="shared" si="0"/>
        <v>2.1204356518993994</v>
      </c>
      <c r="L12" s="5">
        <f t="shared" si="43"/>
        <v>4.5</v>
      </c>
      <c r="M12" s="5">
        <f t="shared" si="2"/>
        <v>4.4720088393138999</v>
      </c>
      <c r="N12" s="5">
        <f t="shared" si="2"/>
        <v>1.6782594970009463</v>
      </c>
      <c r="O12" s="1">
        <f t="shared" si="3"/>
        <v>99.999999999999972</v>
      </c>
      <c r="P12" s="4">
        <f t="shared" si="44"/>
        <v>1</v>
      </c>
      <c r="Q12" s="5">
        <f t="shared" si="45"/>
        <v>5</v>
      </c>
      <c r="R12" s="25">
        <f t="shared" si="46"/>
        <v>4004.9</v>
      </c>
      <c r="T12" s="39">
        <f t="shared" si="47"/>
        <v>1.095532093926407</v>
      </c>
      <c r="U12" s="39">
        <f t="shared" si="48"/>
        <v>5.6613121302494613E-3</v>
      </c>
      <c r="V12" s="39">
        <f t="shared" si="49"/>
        <v>0.16115009746669165</v>
      </c>
      <c r="W12" s="39">
        <f t="shared" si="4"/>
        <v>6.2943742583348672E-2</v>
      </c>
      <c r="X12" s="39">
        <f t="shared" si="5"/>
        <v>5.261626927790073E-2</v>
      </c>
      <c r="Y12" s="39">
        <f t="shared" si="6"/>
        <v>8.024623110201258E-2</v>
      </c>
      <c r="Z12" s="39">
        <f t="shared" si="7"/>
        <v>7.2152449811453703E-2</v>
      </c>
      <c r="AA12" s="39">
        <f t="shared" si="8"/>
        <v>1.7815918227186266E-2</v>
      </c>
      <c r="AB12" s="39">
        <f t="shared" si="50"/>
        <v>1.248969600079934E-2</v>
      </c>
      <c r="AC12" s="39">
        <f t="shared" si="51"/>
        <v>1.5606078105260497</v>
      </c>
      <c r="AD12" s="39"/>
      <c r="AE12" s="39">
        <f t="shared" si="9"/>
        <v>0.70199065167892827</v>
      </c>
      <c r="AF12" s="39">
        <f t="shared" si="10"/>
        <v>3.6276328313012518E-3</v>
      </c>
      <c r="AG12" s="39">
        <f t="shared" si="11"/>
        <v>0.10326111171542271</v>
      </c>
      <c r="AH12" s="39">
        <f t="shared" si="12"/>
        <v>4.0332838371564726E-2</v>
      </c>
      <c r="AI12" s="39">
        <f t="shared" si="13"/>
        <v>3.3715241537952342E-2</v>
      </c>
      <c r="AJ12" s="39">
        <f t="shared" si="14"/>
        <v>5.14198574175809E-2</v>
      </c>
      <c r="AK12" s="39">
        <f t="shared" si="15"/>
        <v>4.6233556774993044E-2</v>
      </c>
      <c r="AL12" s="39">
        <f t="shared" si="16"/>
        <v>1.141601247092367E-2</v>
      </c>
      <c r="AM12" s="39">
        <f t="shared" si="17"/>
        <v>8.0030972013329302E-3</v>
      </c>
      <c r="AN12" s="39">
        <f t="shared" si="18"/>
        <v>1</v>
      </c>
      <c r="AO12" s="39"/>
      <c r="AP12" s="39">
        <f t="shared" si="19"/>
        <v>1.095532093926407</v>
      </c>
      <c r="AQ12" s="39">
        <f t="shared" si="20"/>
        <v>5.6613121302494613E-3</v>
      </c>
      <c r="AR12" s="39">
        <f t="shared" si="21"/>
        <v>0.3223001949333833</v>
      </c>
      <c r="AS12" s="39">
        <f t="shared" si="22"/>
        <v>6.2943742583348672E-2</v>
      </c>
      <c r="AT12" s="39">
        <f t="shared" si="23"/>
        <v>5.261626927790073E-2</v>
      </c>
      <c r="AU12" s="39">
        <f t="shared" si="24"/>
        <v>8.024623110201258E-2</v>
      </c>
      <c r="AV12" s="39">
        <f t="shared" si="25"/>
        <v>0.14430489962290741</v>
      </c>
      <c r="AW12" s="39">
        <f t="shared" si="26"/>
        <v>3.5631836454372533E-2</v>
      </c>
      <c r="AX12" s="39">
        <f t="shared" si="27"/>
        <v>1.7992365800305818</v>
      </c>
      <c r="AY12" s="39"/>
      <c r="AZ12" s="39">
        <f t="shared" si="28"/>
        <v>0.60888718364529149</v>
      </c>
      <c r="BA12" s="39">
        <f t="shared" si="29"/>
        <v>3.1465079095675317E-3</v>
      </c>
      <c r="BB12" s="39">
        <f t="shared" si="30"/>
        <v>0.17913163755702718</v>
      </c>
      <c r="BC12" s="39">
        <f t="shared" si="31"/>
        <v>3.4983583194089354E-2</v>
      </c>
      <c r="BD12" s="39">
        <f t="shared" si="32"/>
        <v>2.9243663597038699E-2</v>
      </c>
      <c r="BE12" s="39">
        <f t="shared" si="33"/>
        <v>4.4600155417387426E-2</v>
      </c>
      <c r="BF12" s="39">
        <f t="shared" si="34"/>
        <v>8.0203404724271801E-2</v>
      </c>
      <c r="BG12" s="39">
        <f t="shared" si="35"/>
        <v>1.9803863955326483E-2</v>
      </c>
      <c r="BH12" s="39">
        <f t="shared" si="36"/>
        <v>0.99999999999999989</v>
      </c>
      <c r="BJ12" s="38">
        <f t="shared" si="52"/>
        <v>4.1151811699157998E-4</v>
      </c>
      <c r="BK12" s="5"/>
      <c r="BL12" s="5">
        <f t="shared" si="37"/>
        <v>-7.7956575121052882</v>
      </c>
      <c r="BM12" s="5">
        <f t="shared" si="53"/>
        <v>-7.9175229567128671</v>
      </c>
      <c r="BN12" s="4">
        <f t="shared" si="54"/>
        <v>0.17509669653384358</v>
      </c>
      <c r="BO12" s="1"/>
      <c r="BQ12" s="3">
        <f t="shared" si="55"/>
        <v>0.40048</v>
      </c>
      <c r="BR12" s="5">
        <f t="shared" si="56"/>
        <v>4.5</v>
      </c>
      <c r="BS12" s="3">
        <f t="shared" si="57"/>
        <v>5.14198574175809E-2</v>
      </c>
      <c r="BT12" s="3">
        <f t="shared" si="58"/>
        <v>7.084881675628347E-3</v>
      </c>
      <c r="BU12" s="3">
        <f t="shared" si="64"/>
        <v>0.88526747800193495</v>
      </c>
      <c r="BV12" s="4">
        <f t="shared" si="59"/>
        <v>0.35453191959021491</v>
      </c>
      <c r="BW12" s="4">
        <f t="shared" si="60"/>
        <v>0.61968723460135444</v>
      </c>
      <c r="BX12" s="4">
        <f t="shared" si="38"/>
        <v>0.22131686950048374</v>
      </c>
      <c r="BY12" s="4">
        <f t="shared" si="38"/>
        <v>0.44263373900096747</v>
      </c>
      <c r="BZ12" s="4">
        <f t="shared" si="38"/>
        <v>0.88526747800193495</v>
      </c>
      <c r="CA12" s="4">
        <f t="shared" si="39"/>
        <v>0.35714285714285715</v>
      </c>
      <c r="CB12" s="4">
        <f t="shared" si="39"/>
        <v>0.7142857142857143</v>
      </c>
      <c r="CC12" s="4">
        <f t="shared" si="39"/>
        <v>1.4285714285714286</v>
      </c>
      <c r="CD12" s="40">
        <f t="shared" si="61"/>
        <v>0.61968723460135444</v>
      </c>
      <c r="CE12" s="41">
        <f t="shared" si="40"/>
        <v>0.58333333333333337</v>
      </c>
      <c r="CF12" s="42">
        <f t="shared" si="40"/>
        <v>0.41176470588235303</v>
      </c>
      <c r="CG12" s="40">
        <f t="shared" si="62"/>
        <v>0.22131686950048374</v>
      </c>
      <c r="CH12" s="41">
        <f t="shared" si="41"/>
        <v>0.41666666666666663</v>
      </c>
      <c r="CI12" s="42">
        <f t="shared" si="41"/>
        <v>0.58823529411764697</v>
      </c>
      <c r="CJ12" s="40">
        <f t="shared" si="63"/>
        <v>0.15899589589816188</v>
      </c>
      <c r="CK12" s="41">
        <f t="shared" si="42"/>
        <v>0</v>
      </c>
      <c r="CL12" s="42">
        <f t="shared" si="42"/>
        <v>0</v>
      </c>
      <c r="CM12" s="4"/>
      <c r="CN12" s="4"/>
      <c r="CO12" s="4"/>
      <c r="CP12" s="4"/>
      <c r="CQ12" s="4"/>
      <c r="CR12" s="4"/>
      <c r="CS12" s="4"/>
      <c r="CT12" s="32"/>
      <c r="CU12" s="32"/>
      <c r="CV12" s="32"/>
      <c r="CW12" s="5"/>
    </row>
    <row r="13" spans="2:101">
      <c r="B13" s="2" t="s">
        <v>145</v>
      </c>
      <c r="C13" s="2">
        <v>850</v>
      </c>
      <c r="D13" s="2">
        <v>2000</v>
      </c>
      <c r="E13" s="5">
        <v>5</v>
      </c>
      <c r="G13" s="5">
        <f t="shared" si="0"/>
        <v>65.479322319267581</v>
      </c>
      <c r="H13" s="5">
        <f t="shared" si="0"/>
        <v>0.44985793959802156</v>
      </c>
      <c r="I13" s="5">
        <f t="shared" si="0"/>
        <v>16.344838472061451</v>
      </c>
      <c r="J13" s="5">
        <f t="shared" si="0"/>
        <v>4.4985793959802152</v>
      </c>
      <c r="K13" s="5">
        <f t="shared" si="0"/>
        <v>2.1093338945596121</v>
      </c>
      <c r="L13" s="5">
        <f t="shared" si="43"/>
        <v>5</v>
      </c>
      <c r="M13" s="5">
        <f t="shared" si="2"/>
        <v>4.448595180469324</v>
      </c>
      <c r="N13" s="5">
        <f t="shared" si="2"/>
        <v>1.6694727980637689</v>
      </c>
      <c r="O13" s="1">
        <f t="shared" si="3"/>
        <v>99.999999999999972</v>
      </c>
      <c r="P13" s="4">
        <f t="shared" si="44"/>
        <v>1</v>
      </c>
      <c r="Q13" s="5">
        <f t="shared" si="45"/>
        <v>5</v>
      </c>
      <c r="R13" s="25">
        <f t="shared" si="46"/>
        <v>4004.9</v>
      </c>
      <c r="T13" s="39">
        <f t="shared" si="47"/>
        <v>1.0897963238011381</v>
      </c>
      <c r="U13" s="39">
        <f t="shared" si="48"/>
        <v>5.6316717526041764E-3</v>
      </c>
      <c r="V13" s="39">
        <f t="shared" si="49"/>
        <v>0.16030637967890793</v>
      </c>
      <c r="W13" s="39">
        <f t="shared" si="4"/>
        <v>6.2614194192859934E-2</v>
      </c>
      <c r="X13" s="39">
        <f t="shared" si="5"/>
        <v>5.2340791428278216E-2</v>
      </c>
      <c r="Y13" s="39">
        <f t="shared" si="6"/>
        <v>8.91624790022362E-2</v>
      </c>
      <c r="Z13" s="39">
        <f t="shared" si="7"/>
        <v>7.1774688294116235E-2</v>
      </c>
      <c r="AA13" s="39">
        <f t="shared" si="8"/>
        <v>1.772264116840519E-2</v>
      </c>
      <c r="AB13" s="39">
        <f t="shared" si="50"/>
        <v>1.248969600079934E-2</v>
      </c>
      <c r="AC13" s="39">
        <f t="shared" si="51"/>
        <v>1.5618388653193456</v>
      </c>
      <c r="AD13" s="39"/>
      <c r="AE13" s="39">
        <f t="shared" si="9"/>
        <v>0.69776488983600105</v>
      </c>
      <c r="AF13" s="39">
        <f t="shared" si="10"/>
        <v>3.6057956282530348E-3</v>
      </c>
      <c r="AG13" s="39">
        <f t="shared" si="11"/>
        <v>0.10263951246092884</v>
      </c>
      <c r="AH13" s="39">
        <f t="shared" si="12"/>
        <v>4.0090047432682727E-2</v>
      </c>
      <c r="AI13" s="39">
        <f t="shared" si="13"/>
        <v>3.3512286440366058E-2</v>
      </c>
      <c r="AJ13" s="39">
        <f t="shared" si="14"/>
        <v>5.7088142049791644E-2</v>
      </c>
      <c r="AK13" s="39">
        <f t="shared" si="15"/>
        <v>4.5955245376379225E-2</v>
      </c>
      <c r="AL13" s="39">
        <f t="shared" si="16"/>
        <v>1.1347291684140209E-2</v>
      </c>
      <c r="AM13" s="39">
        <f t="shared" si="17"/>
        <v>7.996789091457011E-3</v>
      </c>
      <c r="AN13" s="39">
        <f t="shared" si="18"/>
        <v>0.99999999999999967</v>
      </c>
      <c r="AO13" s="39"/>
      <c r="AP13" s="39">
        <f t="shared" si="19"/>
        <v>1.0897963238011381</v>
      </c>
      <c r="AQ13" s="39">
        <f t="shared" si="20"/>
        <v>5.6316717526041764E-3</v>
      </c>
      <c r="AR13" s="39">
        <f t="shared" si="21"/>
        <v>0.32061275935781586</v>
      </c>
      <c r="AS13" s="39">
        <f t="shared" si="22"/>
        <v>6.2614194192859934E-2</v>
      </c>
      <c r="AT13" s="39">
        <f t="shared" si="23"/>
        <v>5.2340791428278216E-2</v>
      </c>
      <c r="AU13" s="39">
        <f t="shared" si="24"/>
        <v>8.91624790022362E-2</v>
      </c>
      <c r="AV13" s="39">
        <f t="shared" si="25"/>
        <v>0.14354937658823247</v>
      </c>
      <c r="AW13" s="39">
        <f t="shared" si="26"/>
        <v>3.544528233681038E-2</v>
      </c>
      <c r="AX13" s="39">
        <f t="shared" si="27"/>
        <v>1.7991528784599755</v>
      </c>
      <c r="AY13" s="39"/>
      <c r="AZ13" s="39">
        <f t="shared" si="28"/>
        <v>0.60572747143865469</v>
      </c>
      <c r="BA13" s="39">
        <f t="shared" si="29"/>
        <v>3.1301796640120596E-3</v>
      </c>
      <c r="BB13" s="39">
        <f t="shared" si="30"/>
        <v>0.178202065647835</v>
      </c>
      <c r="BC13" s="39">
        <f t="shared" si="31"/>
        <v>3.4802042084637039E-2</v>
      </c>
      <c r="BD13" s="39">
        <f t="shared" si="32"/>
        <v>2.9091908783805225E-2</v>
      </c>
      <c r="BE13" s="39">
        <f t="shared" si="33"/>
        <v>4.9558033711152319E-2</v>
      </c>
      <c r="BF13" s="39">
        <f t="shared" si="34"/>
        <v>7.9787203359342487E-2</v>
      </c>
      <c r="BG13" s="39">
        <f t="shared" si="35"/>
        <v>1.9701095310561127E-2</v>
      </c>
      <c r="BH13" s="39">
        <f t="shared" si="36"/>
        <v>0.99999999999999989</v>
      </c>
      <c r="BJ13" s="38">
        <f t="shared" si="52"/>
        <v>4.5652183159532211E-4</v>
      </c>
      <c r="BK13" s="5"/>
      <c r="BL13" s="5">
        <f t="shared" si="37"/>
        <v>-7.6918740352056956</v>
      </c>
      <c r="BM13" s="5">
        <f t="shared" si="53"/>
        <v>-7.5340879056026271</v>
      </c>
      <c r="BN13" s="4">
        <f t="shared" si="54"/>
        <v>0.18828330179707814</v>
      </c>
      <c r="BO13" s="1"/>
      <c r="BQ13" s="3">
        <f t="shared" si="55"/>
        <v>0.40048</v>
      </c>
      <c r="BR13" s="5">
        <f t="shared" si="56"/>
        <v>5</v>
      </c>
      <c r="BS13" s="3">
        <f t="shared" si="57"/>
        <v>5.7088142049791644E-2</v>
      </c>
      <c r="BT13" s="3">
        <f t="shared" si="58"/>
        <v>9.363566246329124E-3</v>
      </c>
      <c r="BU13" s="3">
        <f t="shared" si="64"/>
        <v>1.1709157437117159</v>
      </c>
      <c r="BV13" s="4">
        <f t="shared" si="59"/>
        <v>0.46892833704166798</v>
      </c>
      <c r="BW13" s="4">
        <f t="shared" si="60"/>
        <v>0.8196410205982011</v>
      </c>
      <c r="BX13" s="4">
        <f t="shared" si="38"/>
        <v>0.29272893592792898</v>
      </c>
      <c r="BY13" s="4">
        <f t="shared" si="38"/>
        <v>0.58545787185585796</v>
      </c>
      <c r="BZ13" s="4">
        <f t="shared" si="38"/>
        <v>1.1709157437117159</v>
      </c>
      <c r="CA13" s="4">
        <f t="shared" si="39"/>
        <v>0.35714285714285715</v>
      </c>
      <c r="CB13" s="4">
        <f t="shared" si="39"/>
        <v>0.7142857142857143</v>
      </c>
      <c r="CC13" s="4">
        <f t="shared" si="39"/>
        <v>1.4285714285714286</v>
      </c>
      <c r="CD13" s="40">
        <f t="shared" si="61"/>
        <v>0.73684210526315796</v>
      </c>
      <c r="CE13" s="41">
        <f t="shared" si="40"/>
        <v>0.58333333333333337</v>
      </c>
      <c r="CF13" s="42">
        <f t="shared" si="40"/>
        <v>0.41176470588235303</v>
      </c>
      <c r="CG13" s="40">
        <f t="shared" si="62"/>
        <v>0.26315789473684209</v>
      </c>
      <c r="CH13" s="41">
        <f t="shared" si="41"/>
        <v>0.41666666666666663</v>
      </c>
      <c r="CI13" s="42">
        <f t="shared" si="41"/>
        <v>0.58823529411764697</v>
      </c>
      <c r="CJ13" s="40">
        <f t="shared" si="63"/>
        <v>0</v>
      </c>
      <c r="CK13" s="41">
        <f t="shared" si="42"/>
        <v>0</v>
      </c>
      <c r="CL13" s="42">
        <f t="shared" si="42"/>
        <v>0</v>
      </c>
      <c r="CM13" s="4"/>
      <c r="CN13" s="4"/>
      <c r="CO13" s="4"/>
      <c r="CP13" s="4"/>
      <c r="CQ13" s="4"/>
      <c r="CR13" s="4"/>
      <c r="CS13" s="4"/>
      <c r="CT13" s="32"/>
      <c r="CU13" s="32"/>
      <c r="CV13" s="32"/>
      <c r="CW13" s="5"/>
    </row>
    <row r="14" spans="2:101">
      <c r="B14" s="2" t="s">
        <v>145</v>
      </c>
      <c r="C14" s="2">
        <v>850</v>
      </c>
      <c r="D14" s="2">
        <v>2000</v>
      </c>
      <c r="E14" s="5">
        <v>5.5</v>
      </c>
      <c r="G14" s="5">
        <f t="shared" ref="G14:K23" si="65">G$1*(100-$E14)/((SUM($G$1:$N$1)-$L$1))</f>
        <v>65.134694307060911</v>
      </c>
      <c r="H14" s="5">
        <f t="shared" si="65"/>
        <v>0.44749026623171617</v>
      </c>
      <c r="I14" s="5">
        <f t="shared" si="65"/>
        <v>16.258813006419022</v>
      </c>
      <c r="J14" s="5">
        <f t="shared" si="65"/>
        <v>4.4749026623171613</v>
      </c>
      <c r="K14" s="5">
        <f t="shared" si="65"/>
        <v>2.0982321372198243</v>
      </c>
      <c r="L14" s="5">
        <f t="shared" si="43"/>
        <v>5.5</v>
      </c>
      <c r="M14" s="5">
        <f t="shared" si="2"/>
        <v>4.425181521624749</v>
      </c>
      <c r="N14" s="5">
        <f t="shared" si="2"/>
        <v>1.660686099126591</v>
      </c>
      <c r="O14" s="1">
        <f t="shared" si="3"/>
        <v>99.999999999999972</v>
      </c>
      <c r="P14" s="4">
        <f t="shared" si="44"/>
        <v>1</v>
      </c>
      <c r="Q14" s="5">
        <f t="shared" si="45"/>
        <v>5</v>
      </c>
      <c r="R14" s="25">
        <f t="shared" si="46"/>
        <v>4004.9</v>
      </c>
      <c r="T14" s="39">
        <f t="shared" si="47"/>
        <v>1.084060553675869</v>
      </c>
      <c r="U14" s="39">
        <f t="shared" si="48"/>
        <v>5.6020313749588907E-3</v>
      </c>
      <c r="V14" s="39">
        <f t="shared" si="49"/>
        <v>0.15946266189112418</v>
      </c>
      <c r="W14" s="39">
        <f t="shared" si="4"/>
        <v>6.2284645802371197E-2</v>
      </c>
      <c r="X14" s="39">
        <f t="shared" si="5"/>
        <v>5.2065313578655695E-2</v>
      </c>
      <c r="Y14" s="39">
        <f t="shared" si="6"/>
        <v>9.807872690245982E-2</v>
      </c>
      <c r="Z14" s="39">
        <f t="shared" si="7"/>
        <v>7.1396926776778794E-2</v>
      </c>
      <c r="AA14" s="39">
        <f t="shared" si="8"/>
        <v>1.7629364109624106E-2</v>
      </c>
      <c r="AB14" s="39">
        <f t="shared" si="50"/>
        <v>1.248969600079934E-2</v>
      </c>
      <c r="AC14" s="39">
        <f t="shared" si="51"/>
        <v>1.5630699201126412</v>
      </c>
      <c r="AD14" s="39"/>
      <c r="AE14" s="39">
        <f t="shared" si="9"/>
        <v>0.69354578430998604</v>
      </c>
      <c r="AF14" s="39">
        <f t="shared" si="10"/>
        <v>3.583992822634054E-3</v>
      </c>
      <c r="AG14" s="39">
        <f t="shared" si="11"/>
        <v>0.10201889233440858</v>
      </c>
      <c r="AH14" s="39">
        <f t="shared" si="12"/>
        <v>3.9847638932161596E-2</v>
      </c>
      <c r="AI14" s="39">
        <f t="shared" si="13"/>
        <v>3.3309651032695745E-2</v>
      </c>
      <c r="AJ14" s="39">
        <f t="shared" si="14"/>
        <v>6.2747498138401803E-2</v>
      </c>
      <c r="AK14" s="39">
        <f t="shared" si="15"/>
        <v>4.5677372367087479E-2</v>
      </c>
      <c r="AL14" s="39">
        <f t="shared" si="16"/>
        <v>1.1278679144662743E-2</v>
      </c>
      <c r="AM14" s="39">
        <f t="shared" si="17"/>
        <v>7.9904909179618015E-3</v>
      </c>
      <c r="AN14" s="39">
        <f t="shared" si="18"/>
        <v>0.99999999999999978</v>
      </c>
      <c r="AO14" s="39"/>
      <c r="AP14" s="39">
        <f t="shared" si="19"/>
        <v>1.084060553675869</v>
      </c>
      <c r="AQ14" s="39">
        <f t="shared" si="20"/>
        <v>5.6020313749588907E-3</v>
      </c>
      <c r="AR14" s="39">
        <f t="shared" si="21"/>
        <v>0.31892532378224836</v>
      </c>
      <c r="AS14" s="39">
        <f t="shared" si="22"/>
        <v>6.2284645802371197E-2</v>
      </c>
      <c r="AT14" s="39">
        <f t="shared" si="23"/>
        <v>5.2065313578655695E-2</v>
      </c>
      <c r="AU14" s="39">
        <f t="shared" si="24"/>
        <v>9.807872690245982E-2</v>
      </c>
      <c r="AV14" s="39">
        <f t="shared" si="25"/>
        <v>0.14279385355355759</v>
      </c>
      <c r="AW14" s="39">
        <f t="shared" si="26"/>
        <v>3.5258728219248213E-2</v>
      </c>
      <c r="AX14" s="39">
        <f t="shared" si="27"/>
        <v>1.7990691768893687</v>
      </c>
      <c r="AY14" s="39"/>
      <c r="AZ14" s="39">
        <f t="shared" si="28"/>
        <v>0.6025674652212285</v>
      </c>
      <c r="BA14" s="39">
        <f t="shared" si="29"/>
        <v>3.113849899115569E-3</v>
      </c>
      <c r="BB14" s="39">
        <f t="shared" si="30"/>
        <v>0.17727240724210364</v>
      </c>
      <c r="BC14" s="39">
        <f t="shared" si="31"/>
        <v>3.4620484082809287E-2</v>
      </c>
      <c r="BD14" s="39">
        <f t="shared" si="32"/>
        <v>2.894013984980711E-2</v>
      </c>
      <c r="BE14" s="39">
        <f t="shared" si="33"/>
        <v>5.451637333481537E-2</v>
      </c>
      <c r="BF14" s="39">
        <f t="shared" si="34"/>
        <v>7.9370963266933062E-2</v>
      </c>
      <c r="BG14" s="39">
        <f t="shared" si="35"/>
        <v>1.9598317103187411E-2</v>
      </c>
      <c r="BH14" s="39">
        <f t="shared" si="36"/>
        <v>0.99999999999999989</v>
      </c>
      <c r="BJ14" s="38">
        <f t="shared" si="52"/>
        <v>5.0138331399972465E-4</v>
      </c>
      <c r="BK14" s="5"/>
      <c r="BL14" s="5">
        <f t="shared" si="37"/>
        <v>-7.5981396516136881</v>
      </c>
      <c r="BM14" s="5">
        <f t="shared" si="53"/>
        <v>-7.1465953407239642</v>
      </c>
      <c r="BN14" s="4">
        <f t="shared" si="54"/>
        <v>0.20160944785675036</v>
      </c>
      <c r="BO14" s="1"/>
      <c r="BQ14" s="3">
        <f t="shared" si="55"/>
        <v>0.40048</v>
      </c>
      <c r="BR14" s="5">
        <f t="shared" si="56"/>
        <v>5.5</v>
      </c>
      <c r="BS14" s="3">
        <f t="shared" si="57"/>
        <v>6.2747498138401803E-2</v>
      </c>
      <c r="BT14" s="3">
        <f t="shared" si="58"/>
        <v>1.2550951887707619E-2</v>
      </c>
      <c r="BU14" s="3">
        <f t="shared" si="64"/>
        <v>1.5707360181705943</v>
      </c>
      <c r="BV14" s="4">
        <f t="shared" si="59"/>
        <v>0.62904836055695956</v>
      </c>
      <c r="BW14" s="4">
        <f t="shared" si="60"/>
        <v>1.0995152127194159</v>
      </c>
      <c r="BX14" s="4">
        <f t="shared" si="38"/>
        <v>0.39268400454264857</v>
      </c>
      <c r="BY14" s="4">
        <f t="shared" si="38"/>
        <v>0.78536800908529714</v>
      </c>
      <c r="BZ14" s="4">
        <f t="shared" si="38"/>
        <v>1.5707360181705943</v>
      </c>
      <c r="CA14" s="4">
        <f t="shared" si="39"/>
        <v>0.35714285714285715</v>
      </c>
      <c r="CB14" s="4">
        <f t="shared" si="39"/>
        <v>0.7142857142857143</v>
      </c>
      <c r="CC14" s="4">
        <f t="shared" si="39"/>
        <v>1.4285714285714286</v>
      </c>
      <c r="CD14" s="40">
        <f t="shared" si="61"/>
        <v>0.73684210526315796</v>
      </c>
      <c r="CE14" s="41">
        <f t="shared" si="40"/>
        <v>0.58333333333333337</v>
      </c>
      <c r="CF14" s="42">
        <f t="shared" si="40"/>
        <v>0.41176470588235303</v>
      </c>
      <c r="CG14" s="40">
        <f t="shared" si="62"/>
        <v>0.26315789473684209</v>
      </c>
      <c r="CH14" s="41">
        <f t="shared" si="41"/>
        <v>0.41666666666666663</v>
      </c>
      <c r="CI14" s="42">
        <f t="shared" si="41"/>
        <v>0.58823529411764697</v>
      </c>
      <c r="CJ14" s="40">
        <f t="shared" si="63"/>
        <v>0</v>
      </c>
      <c r="CK14" s="41">
        <f t="shared" si="42"/>
        <v>0</v>
      </c>
      <c r="CL14" s="42">
        <f t="shared" si="42"/>
        <v>0</v>
      </c>
      <c r="CM14" s="4"/>
      <c r="CN14" s="4"/>
      <c r="CO14" s="4"/>
      <c r="CP14" s="4"/>
      <c r="CQ14" s="4"/>
      <c r="CR14" s="4"/>
      <c r="CS14" s="4"/>
      <c r="CT14" s="32"/>
      <c r="CU14" s="32"/>
      <c r="CV14" s="32"/>
      <c r="CW14" s="5"/>
    </row>
    <row r="15" spans="2:101">
      <c r="B15" s="2" t="s">
        <v>145</v>
      </c>
      <c r="C15" s="2">
        <v>850</v>
      </c>
      <c r="D15" s="2">
        <v>2000</v>
      </c>
      <c r="E15" s="5">
        <v>6</v>
      </c>
      <c r="G15" s="5">
        <f t="shared" si="65"/>
        <v>64.790066294854242</v>
      </c>
      <c r="H15" s="5">
        <f t="shared" si="65"/>
        <v>0.44512259286541084</v>
      </c>
      <c r="I15" s="5">
        <f t="shared" si="65"/>
        <v>16.172787540776593</v>
      </c>
      <c r="J15" s="5">
        <f t="shared" si="65"/>
        <v>4.4512259286541083</v>
      </c>
      <c r="K15" s="5">
        <f t="shared" si="65"/>
        <v>2.0871303798800369</v>
      </c>
      <c r="L15" s="5">
        <f t="shared" si="43"/>
        <v>6</v>
      </c>
      <c r="M15" s="5">
        <f t="shared" si="2"/>
        <v>4.4017678627801731</v>
      </c>
      <c r="N15" s="5">
        <f t="shared" si="2"/>
        <v>1.6518994001894132</v>
      </c>
      <c r="O15" s="1">
        <f t="shared" si="3"/>
        <v>99.999999999999986</v>
      </c>
      <c r="P15" s="4">
        <f t="shared" si="44"/>
        <v>1</v>
      </c>
      <c r="Q15" s="5">
        <f t="shared" si="45"/>
        <v>5</v>
      </c>
      <c r="R15" s="25">
        <f t="shared" si="46"/>
        <v>4004.9</v>
      </c>
      <c r="T15" s="39">
        <f t="shared" si="47"/>
        <v>1.0783247835505998</v>
      </c>
      <c r="U15" s="39">
        <f t="shared" si="48"/>
        <v>5.5723909973136058E-3</v>
      </c>
      <c r="V15" s="39">
        <f t="shared" si="49"/>
        <v>0.15861894410334046</v>
      </c>
      <c r="W15" s="39">
        <f t="shared" si="4"/>
        <v>6.1955097411882473E-2</v>
      </c>
      <c r="X15" s="39">
        <f t="shared" si="5"/>
        <v>5.178983572903318E-2</v>
      </c>
      <c r="Y15" s="39">
        <f t="shared" si="6"/>
        <v>0.10699497480268344</v>
      </c>
      <c r="Z15" s="39">
        <f t="shared" si="7"/>
        <v>7.1019165259441325E-2</v>
      </c>
      <c r="AA15" s="39">
        <f t="shared" si="8"/>
        <v>1.7536087050843027E-2</v>
      </c>
      <c r="AB15" s="39">
        <f t="shared" si="50"/>
        <v>1.248969600079934E-2</v>
      </c>
      <c r="AC15" s="39">
        <f t="shared" si="51"/>
        <v>1.5643009749059369</v>
      </c>
      <c r="AD15" s="39"/>
      <c r="AE15" s="39">
        <f t="shared" si="9"/>
        <v>0.6893333193859581</v>
      </c>
      <c r="AF15" s="39">
        <f t="shared" si="10"/>
        <v>3.5622243332352841E-3</v>
      </c>
      <c r="AG15" s="39">
        <f t="shared" si="11"/>
        <v>0.10139924902423486</v>
      </c>
      <c r="AH15" s="39">
        <f t="shared" si="12"/>
        <v>3.9605611967101086E-2</v>
      </c>
      <c r="AI15" s="39">
        <f t="shared" si="13"/>
        <v>3.3107334560184214E-2</v>
      </c>
      <c r="AJ15" s="39">
        <f t="shared" si="14"/>
        <v>6.8397946762845413E-2</v>
      </c>
      <c r="AK15" s="39">
        <f t="shared" si="15"/>
        <v>4.5399936712122668E-2</v>
      </c>
      <c r="AL15" s="39">
        <f t="shared" si="16"/>
        <v>1.1210174596929781E-2</v>
      </c>
      <c r="AM15" s="39">
        <f t="shared" si="17"/>
        <v>7.9842026573884589E-3</v>
      </c>
      <c r="AN15" s="39">
        <f t="shared" si="18"/>
        <v>0.99999999999999978</v>
      </c>
      <c r="AO15" s="39"/>
      <c r="AP15" s="39">
        <f t="shared" si="19"/>
        <v>1.0783247835505998</v>
      </c>
      <c r="AQ15" s="39">
        <f t="shared" si="20"/>
        <v>5.5723909973136058E-3</v>
      </c>
      <c r="AR15" s="39">
        <f t="shared" si="21"/>
        <v>0.31723788820668092</v>
      </c>
      <c r="AS15" s="39">
        <f t="shared" si="22"/>
        <v>6.1955097411882473E-2</v>
      </c>
      <c r="AT15" s="39">
        <f t="shared" si="23"/>
        <v>5.178983572903318E-2</v>
      </c>
      <c r="AU15" s="39">
        <f t="shared" si="24"/>
        <v>0.10699497480268344</v>
      </c>
      <c r="AV15" s="39">
        <f t="shared" si="25"/>
        <v>0.14203833051888265</v>
      </c>
      <c r="AW15" s="39">
        <f t="shared" si="26"/>
        <v>3.5072174101686053E-2</v>
      </c>
      <c r="AX15" s="39">
        <f t="shared" si="27"/>
        <v>1.798985475318762</v>
      </c>
      <c r="AY15" s="39"/>
      <c r="AZ15" s="39">
        <f t="shared" si="28"/>
        <v>0.59940716495197477</v>
      </c>
      <c r="BA15" s="39">
        <f t="shared" si="29"/>
        <v>3.0975186146659883E-3</v>
      </c>
      <c r="BB15" s="39">
        <f t="shared" si="30"/>
        <v>0.1763426623277598</v>
      </c>
      <c r="BC15" s="39">
        <f t="shared" si="31"/>
        <v>3.4438909186248243E-2</v>
      </c>
      <c r="BD15" s="39">
        <f t="shared" si="32"/>
        <v>2.8788356793073355E-2</v>
      </c>
      <c r="BE15" s="39">
        <f t="shared" si="33"/>
        <v>5.947517435276959E-2</v>
      </c>
      <c r="BF15" s="39">
        <f t="shared" si="34"/>
        <v>7.8954684441637807E-2</v>
      </c>
      <c r="BG15" s="39">
        <f t="shared" si="35"/>
        <v>1.9495529331870577E-2</v>
      </c>
      <c r="BH15" s="39">
        <f t="shared" si="36"/>
        <v>1</v>
      </c>
      <c r="BJ15" s="38">
        <f t="shared" si="52"/>
        <v>5.4610306830382466E-4</v>
      </c>
      <c r="BK15" s="5"/>
      <c r="BL15" s="5">
        <f t="shared" si="37"/>
        <v>-7.5127028302469192</v>
      </c>
      <c r="BM15" s="5">
        <f t="shared" si="53"/>
        <v>-6.7549805145168467</v>
      </c>
      <c r="BN15" s="4">
        <f t="shared" si="54"/>
        <v>0.21507736142769482</v>
      </c>
      <c r="BO15" s="1"/>
      <c r="BQ15" s="3">
        <f t="shared" si="55"/>
        <v>0.40048</v>
      </c>
      <c r="BR15" s="5">
        <f t="shared" si="56"/>
        <v>6</v>
      </c>
      <c r="BS15" s="3">
        <f t="shared" si="57"/>
        <v>6.8397946762845413E-2</v>
      </c>
      <c r="BT15" s="3">
        <f t="shared" si="58"/>
        <v>1.7033589326072136E-2</v>
      </c>
      <c r="BU15" s="3">
        <f t="shared" si="64"/>
        <v>2.133411444699429</v>
      </c>
      <c r="BV15" s="4">
        <f t="shared" si="59"/>
        <v>0.8543886153732273</v>
      </c>
      <c r="BW15" s="4">
        <f t="shared" si="60"/>
        <v>1.4933880112896001</v>
      </c>
      <c r="BX15" s="4">
        <f t="shared" si="38"/>
        <v>0.53335286117485725</v>
      </c>
      <c r="BY15" s="4">
        <f t="shared" si="38"/>
        <v>1.0667057223497145</v>
      </c>
      <c r="BZ15" s="4">
        <f t="shared" si="38"/>
        <v>2.133411444699429</v>
      </c>
      <c r="CA15" s="4">
        <f t="shared" si="39"/>
        <v>0.35714285714285715</v>
      </c>
      <c r="CB15" s="4">
        <f t="shared" si="39"/>
        <v>0.7142857142857143</v>
      </c>
      <c r="CC15" s="4">
        <f t="shared" si="39"/>
        <v>1.4285714285714286</v>
      </c>
      <c r="CD15" s="40">
        <f t="shared" si="61"/>
        <v>0.73684210526315796</v>
      </c>
      <c r="CE15" s="41">
        <f t="shared" si="40"/>
        <v>0.58333333333333337</v>
      </c>
      <c r="CF15" s="42">
        <f t="shared" si="40"/>
        <v>0.41176470588235303</v>
      </c>
      <c r="CG15" s="40">
        <f t="shared" si="62"/>
        <v>0.26315789473684209</v>
      </c>
      <c r="CH15" s="41">
        <f t="shared" si="41"/>
        <v>0.41666666666666663</v>
      </c>
      <c r="CI15" s="42">
        <f t="shared" si="41"/>
        <v>0.58823529411764697</v>
      </c>
      <c r="CJ15" s="40">
        <f t="shared" si="63"/>
        <v>0</v>
      </c>
      <c r="CK15" s="41">
        <f t="shared" si="42"/>
        <v>0</v>
      </c>
      <c r="CL15" s="42">
        <f t="shared" si="42"/>
        <v>0</v>
      </c>
      <c r="CM15" s="4"/>
      <c r="CN15" s="4"/>
      <c r="CO15" s="4"/>
      <c r="CP15" s="4"/>
      <c r="CQ15" s="4"/>
      <c r="CR15" s="4"/>
      <c r="CS15" s="4"/>
      <c r="CT15" s="32"/>
      <c r="CU15" s="32"/>
      <c r="CV15" s="32"/>
      <c r="CW15" s="5"/>
    </row>
    <row r="16" spans="2:101">
      <c r="B16" s="2" t="s">
        <v>145</v>
      </c>
      <c r="C16" s="2">
        <v>850</v>
      </c>
      <c r="D16" s="2">
        <v>2000</v>
      </c>
      <c r="E16" s="5">
        <v>6.5</v>
      </c>
      <c r="G16" s="5">
        <f t="shared" si="65"/>
        <v>64.445438282647558</v>
      </c>
      <c r="H16" s="5">
        <f t="shared" si="65"/>
        <v>0.44275491949910545</v>
      </c>
      <c r="I16" s="5">
        <f t="shared" si="65"/>
        <v>16.086762075134164</v>
      </c>
      <c r="J16" s="5">
        <f t="shared" si="65"/>
        <v>4.4275491949910544</v>
      </c>
      <c r="K16" s="5">
        <f t="shared" si="65"/>
        <v>2.0760286225402496</v>
      </c>
      <c r="L16" s="5">
        <f t="shared" si="43"/>
        <v>6.5</v>
      </c>
      <c r="M16" s="5">
        <f t="shared" si="2"/>
        <v>4.378354203935598</v>
      </c>
      <c r="N16" s="5">
        <f t="shared" si="2"/>
        <v>1.6431127012522355</v>
      </c>
      <c r="O16" s="1">
        <f t="shared" si="3"/>
        <v>99.999999999999972</v>
      </c>
      <c r="P16" s="4">
        <f t="shared" si="44"/>
        <v>1</v>
      </c>
      <c r="Q16" s="5">
        <f t="shared" si="45"/>
        <v>5</v>
      </c>
      <c r="R16" s="25">
        <f t="shared" si="46"/>
        <v>4004.9</v>
      </c>
      <c r="T16" s="39">
        <f t="shared" si="47"/>
        <v>1.0725890134253304</v>
      </c>
      <c r="U16" s="39">
        <f t="shared" si="48"/>
        <v>5.5427506196683209E-3</v>
      </c>
      <c r="V16" s="39">
        <f t="shared" si="49"/>
        <v>0.15777522631555674</v>
      </c>
      <c r="W16" s="39">
        <f t="shared" si="4"/>
        <v>6.1625549021393736E-2</v>
      </c>
      <c r="X16" s="39">
        <f t="shared" si="5"/>
        <v>5.1514357879410666E-2</v>
      </c>
      <c r="Y16" s="39">
        <f t="shared" si="6"/>
        <v>0.11591122270290706</v>
      </c>
      <c r="Z16" s="39">
        <f t="shared" si="7"/>
        <v>7.064140374210387E-2</v>
      </c>
      <c r="AA16" s="39">
        <f t="shared" si="8"/>
        <v>1.7442809992061947E-2</v>
      </c>
      <c r="AB16" s="39">
        <f t="shared" si="50"/>
        <v>1.248969600079934E-2</v>
      </c>
      <c r="AC16" s="39">
        <f t="shared" si="51"/>
        <v>1.5655320296992323</v>
      </c>
      <c r="AD16" s="39"/>
      <c r="AE16" s="39">
        <f t="shared" si="9"/>
        <v>0.68512747939842189</v>
      </c>
      <c r="AF16" s="39">
        <f t="shared" si="10"/>
        <v>3.5404900791031315E-3</v>
      </c>
      <c r="AG16" s="39">
        <f t="shared" si="11"/>
        <v>0.10078058022605151</v>
      </c>
      <c r="AH16" s="39">
        <f t="shared" si="12"/>
        <v>3.9363965637440927E-2</v>
      </c>
      <c r="AI16" s="39">
        <f t="shared" si="13"/>
        <v>3.2905336270448282E-2</v>
      </c>
      <c r="AJ16" s="39">
        <f t="shared" si="14"/>
        <v>7.4039508936253287E-2</v>
      </c>
      <c r="AK16" s="39">
        <f t="shared" si="15"/>
        <v>4.5122937379745202E-2</v>
      </c>
      <c r="AL16" s="39">
        <f t="shared" si="16"/>
        <v>1.1141777786183674E-2</v>
      </c>
      <c r="AM16" s="39">
        <f t="shared" si="17"/>
        <v>7.9779242863519326E-3</v>
      </c>
      <c r="AN16" s="39">
        <f t="shared" si="18"/>
        <v>0.99999999999999989</v>
      </c>
      <c r="AO16" s="39"/>
      <c r="AP16" s="39">
        <f t="shared" si="19"/>
        <v>1.0725890134253304</v>
      </c>
      <c r="AQ16" s="39">
        <f t="shared" si="20"/>
        <v>5.5427506196683209E-3</v>
      </c>
      <c r="AR16" s="39">
        <f t="shared" si="21"/>
        <v>0.31555045263111348</v>
      </c>
      <c r="AS16" s="39">
        <f t="shared" si="22"/>
        <v>6.1625549021393736E-2</v>
      </c>
      <c r="AT16" s="39">
        <f t="shared" si="23"/>
        <v>5.1514357879410666E-2</v>
      </c>
      <c r="AU16" s="39">
        <f t="shared" si="24"/>
        <v>0.11591122270290706</v>
      </c>
      <c r="AV16" s="39">
        <f t="shared" si="25"/>
        <v>0.14128280748420774</v>
      </c>
      <c r="AW16" s="39">
        <f t="shared" si="26"/>
        <v>3.4885619984123893E-2</v>
      </c>
      <c r="AX16" s="39">
        <f t="shared" si="27"/>
        <v>1.7989017737481554</v>
      </c>
      <c r="AY16" s="39"/>
      <c r="AZ16" s="39">
        <f t="shared" si="28"/>
        <v>0.59624657058984698</v>
      </c>
      <c r="BA16" s="39">
        <f t="shared" si="29"/>
        <v>3.0811858104512055E-3</v>
      </c>
      <c r="BB16" s="39">
        <f t="shared" si="30"/>
        <v>0.17541283089272791</v>
      </c>
      <c r="BC16" s="39">
        <f t="shared" si="31"/>
        <v>3.425731739259559E-2</v>
      </c>
      <c r="BD16" s="39">
        <f t="shared" si="32"/>
        <v>2.8636559611632598E-2</v>
      </c>
      <c r="BE16" s="39">
        <f t="shared" si="33"/>
        <v>6.4434436829419975E-2</v>
      </c>
      <c r="BF16" s="39">
        <f t="shared" si="34"/>
        <v>7.8538366878050117E-2</v>
      </c>
      <c r="BG16" s="39">
        <f t="shared" si="35"/>
        <v>1.9392731995275605E-2</v>
      </c>
      <c r="BH16" s="39">
        <f t="shared" si="36"/>
        <v>1.0000000000000002</v>
      </c>
      <c r="BJ16" s="38">
        <f t="shared" si="52"/>
        <v>5.9068159649210605E-4</v>
      </c>
      <c r="BK16" s="5"/>
      <c r="BL16" s="5">
        <f t="shared" si="37"/>
        <v>-7.4342334395586258</v>
      </c>
      <c r="BM16" s="5">
        <f t="shared" si="53"/>
        <v>-6.3591772944465266</v>
      </c>
      <c r="BN16" s="4">
        <f t="shared" si="54"/>
        <v>0.22868931685501395</v>
      </c>
      <c r="BO16" s="1"/>
      <c r="BQ16" s="3">
        <f t="shared" si="55"/>
        <v>0.40048</v>
      </c>
      <c r="BR16" s="5">
        <f t="shared" si="56"/>
        <v>6.5</v>
      </c>
      <c r="BS16" s="3">
        <f t="shared" si="57"/>
        <v>7.4039508936253287E-2</v>
      </c>
      <c r="BT16" s="3">
        <f t="shared" si="58"/>
        <v>2.3376573963528244E-2</v>
      </c>
      <c r="BU16" s="3">
        <f t="shared" si="64"/>
        <v>2.9301574099317076</v>
      </c>
      <c r="BV16" s="4">
        <f t="shared" si="59"/>
        <v>1.1734694395294503</v>
      </c>
      <c r="BW16" s="4">
        <f t="shared" si="60"/>
        <v>2.051110186952195</v>
      </c>
      <c r="BX16" s="4">
        <f t="shared" si="38"/>
        <v>0.7325393524829269</v>
      </c>
      <c r="BY16" s="4">
        <f t="shared" si="38"/>
        <v>1.4650787049658538</v>
      </c>
      <c r="BZ16" s="4">
        <f t="shared" si="38"/>
        <v>2.9301574099317076</v>
      </c>
      <c r="CA16" s="4">
        <f t="shared" si="39"/>
        <v>0.35714285714285715</v>
      </c>
      <c r="CB16" s="4">
        <f t="shared" si="39"/>
        <v>0.7142857142857143</v>
      </c>
      <c r="CC16" s="4">
        <f t="shared" si="39"/>
        <v>1.4285714285714286</v>
      </c>
      <c r="CD16" s="40">
        <f t="shared" si="61"/>
        <v>0.73684210526315796</v>
      </c>
      <c r="CE16" s="41">
        <f t="shared" si="40"/>
        <v>0.58333333333333337</v>
      </c>
      <c r="CF16" s="42">
        <f t="shared" si="40"/>
        <v>0.41176470588235303</v>
      </c>
      <c r="CG16" s="40">
        <f t="shared" si="62"/>
        <v>0.26315789473684209</v>
      </c>
      <c r="CH16" s="41">
        <f t="shared" si="41"/>
        <v>0.41666666666666663</v>
      </c>
      <c r="CI16" s="42">
        <f t="shared" si="41"/>
        <v>0.58823529411764697</v>
      </c>
      <c r="CJ16" s="40">
        <f t="shared" si="63"/>
        <v>0</v>
      </c>
      <c r="CK16" s="41">
        <f t="shared" si="42"/>
        <v>0</v>
      </c>
      <c r="CL16" s="42">
        <f t="shared" si="42"/>
        <v>0</v>
      </c>
      <c r="CM16" s="4"/>
      <c r="CN16" s="4"/>
      <c r="CO16" s="4"/>
      <c r="CP16" s="4"/>
      <c r="CQ16" s="4"/>
      <c r="CR16" s="4"/>
      <c r="CS16" s="4"/>
      <c r="CT16" s="32"/>
      <c r="CU16" s="32"/>
      <c r="CV16" s="32"/>
      <c r="CW16" s="5"/>
    </row>
    <row r="17" spans="2:101">
      <c r="B17" s="2" t="s">
        <v>145</v>
      </c>
      <c r="C17" s="2">
        <v>850</v>
      </c>
      <c r="D17" s="2">
        <v>2000</v>
      </c>
      <c r="E17" s="5">
        <v>7</v>
      </c>
      <c r="G17" s="5">
        <f t="shared" si="65"/>
        <v>64.100810270440888</v>
      </c>
      <c r="H17" s="5">
        <f t="shared" si="65"/>
        <v>0.44038724613280006</v>
      </c>
      <c r="I17" s="5">
        <f t="shared" si="65"/>
        <v>16.000736609491735</v>
      </c>
      <c r="J17" s="5">
        <f t="shared" si="65"/>
        <v>4.4038724613280005</v>
      </c>
      <c r="K17" s="5">
        <f t="shared" si="65"/>
        <v>2.0649268652004622</v>
      </c>
      <c r="L17" s="5">
        <f t="shared" si="43"/>
        <v>7</v>
      </c>
      <c r="M17" s="5">
        <f t="shared" si="2"/>
        <v>4.354940545091023</v>
      </c>
      <c r="N17" s="5">
        <f t="shared" si="2"/>
        <v>1.6343260023150579</v>
      </c>
      <c r="O17" s="1">
        <f t="shared" si="3"/>
        <v>99.999999999999986</v>
      </c>
      <c r="P17" s="4">
        <f t="shared" si="44"/>
        <v>1</v>
      </c>
      <c r="Q17" s="5">
        <f t="shared" si="45"/>
        <v>5</v>
      </c>
      <c r="R17" s="25">
        <f t="shared" si="46"/>
        <v>4004.9</v>
      </c>
      <c r="T17" s="39">
        <f t="shared" si="47"/>
        <v>1.0668532433000613</v>
      </c>
      <c r="U17" s="39">
        <f t="shared" si="48"/>
        <v>5.5131102420230352E-3</v>
      </c>
      <c r="V17" s="39">
        <f t="shared" si="49"/>
        <v>0.15693150852777302</v>
      </c>
      <c r="W17" s="39">
        <f t="shared" si="4"/>
        <v>6.1296000630904998E-2</v>
      </c>
      <c r="X17" s="39">
        <f t="shared" si="5"/>
        <v>5.1238880029788145E-2</v>
      </c>
      <c r="Y17" s="39">
        <f t="shared" si="6"/>
        <v>0.12482747060313068</v>
      </c>
      <c r="Z17" s="39">
        <f t="shared" si="7"/>
        <v>7.0263642224766429E-2</v>
      </c>
      <c r="AA17" s="39">
        <f t="shared" si="8"/>
        <v>1.734953293328087E-2</v>
      </c>
      <c r="AB17" s="39">
        <f t="shared" si="50"/>
        <v>1.248969600079934E-2</v>
      </c>
      <c r="AC17" s="39">
        <f t="shared" si="51"/>
        <v>1.5667630844925275</v>
      </c>
      <c r="AD17" s="39"/>
      <c r="AE17" s="39">
        <f t="shared" si="9"/>
        <v>0.6809282487311179</v>
      </c>
      <c r="AF17" s="39">
        <f t="shared" si="10"/>
        <v>3.5187899795384343E-3</v>
      </c>
      <c r="AG17" s="39">
        <f t="shared" si="11"/>
        <v>0.10016288364274482</v>
      </c>
      <c r="AH17" s="39">
        <f t="shared" si="12"/>
        <v>3.9122699045949685E-2</v>
      </c>
      <c r="AI17" s="39">
        <f t="shared" si="13"/>
        <v>3.2703655413469451E-2</v>
      </c>
      <c r="AJ17" s="39">
        <f t="shared" si="14"/>
        <v>7.96722056057136E-2</v>
      </c>
      <c r="AK17" s="39">
        <f t="shared" si="15"/>
        <v>4.4846373341458148E-2</v>
      </c>
      <c r="AL17" s="39">
        <f t="shared" si="16"/>
        <v>1.1073488458467453E-2</v>
      </c>
      <c r="AM17" s="39">
        <f t="shared" si="17"/>
        <v>7.9716557815406631E-3</v>
      </c>
      <c r="AN17" s="39">
        <f t="shared" si="18"/>
        <v>1.0000000000000002</v>
      </c>
      <c r="AO17" s="39"/>
      <c r="AP17" s="39">
        <f t="shared" si="19"/>
        <v>1.0668532433000613</v>
      </c>
      <c r="AQ17" s="39">
        <f t="shared" si="20"/>
        <v>5.5131102420230352E-3</v>
      </c>
      <c r="AR17" s="39">
        <f t="shared" si="21"/>
        <v>0.31386301705554603</v>
      </c>
      <c r="AS17" s="39">
        <f t="shared" si="22"/>
        <v>6.1296000630904998E-2</v>
      </c>
      <c r="AT17" s="39">
        <f t="shared" si="23"/>
        <v>5.1238880029788145E-2</v>
      </c>
      <c r="AU17" s="39">
        <f t="shared" si="24"/>
        <v>0.12482747060313068</v>
      </c>
      <c r="AV17" s="39">
        <f t="shared" si="25"/>
        <v>0.14052728444953286</v>
      </c>
      <c r="AW17" s="39">
        <f t="shared" si="26"/>
        <v>3.469906586656174E-2</v>
      </c>
      <c r="AX17" s="39">
        <f t="shared" si="27"/>
        <v>1.7988180721775486</v>
      </c>
      <c r="AY17" s="39"/>
      <c r="AZ17" s="39">
        <f t="shared" si="28"/>
        <v>0.59308568209379198</v>
      </c>
      <c r="BA17" s="39">
        <f t="shared" si="29"/>
        <v>3.0648514862590703E-3</v>
      </c>
      <c r="BB17" s="39">
        <f t="shared" si="30"/>
        <v>0.17448291292493021</v>
      </c>
      <c r="BC17" s="39">
        <f t="shared" si="31"/>
        <v>3.4075708699492599E-2</v>
      </c>
      <c r="BD17" s="39">
        <f t="shared" si="32"/>
        <v>2.8484748303513108E-2</v>
      </c>
      <c r="BE17" s="39">
        <f t="shared" si="33"/>
        <v>6.9394160829183538E-2</v>
      </c>
      <c r="BF17" s="39">
        <f t="shared" si="34"/>
        <v>7.8122010570762374E-2</v>
      </c>
      <c r="BG17" s="39">
        <f t="shared" si="35"/>
        <v>1.9289925092067253E-2</v>
      </c>
      <c r="BH17" s="39">
        <f t="shared" si="36"/>
        <v>1.0000000000000002</v>
      </c>
      <c r="BJ17" s="38">
        <f t="shared" si="52"/>
        <v>6.3511939844488328E-4</v>
      </c>
      <c r="BK17" s="5"/>
      <c r="BL17" s="5">
        <f t="shared" si="37"/>
        <v>-7.3616975476997677</v>
      </c>
      <c r="BM17" s="5">
        <f t="shared" si="53"/>
        <v>-5.9591181257733457</v>
      </c>
      <c r="BN17" s="4">
        <f t="shared" si="54"/>
        <v>0.24244763739445285</v>
      </c>
      <c r="BO17" s="1"/>
      <c r="BQ17" s="3">
        <f t="shared" si="55"/>
        <v>0.40048</v>
      </c>
      <c r="BR17" s="5">
        <f t="shared" si="56"/>
        <v>7</v>
      </c>
      <c r="BS17" s="3">
        <f t="shared" si="57"/>
        <v>7.96722056057136E-2</v>
      </c>
      <c r="BT17" s="3">
        <f t="shared" si="58"/>
        <v>3.2410149986028244E-2</v>
      </c>
      <c r="BU17" s="3">
        <f t="shared" si="64"/>
        <v>4.0656735406310291</v>
      </c>
      <c r="BV17" s="4">
        <f t="shared" si="59"/>
        <v>1.6282209395519145</v>
      </c>
      <c r="BW17" s="4">
        <f t="shared" si="60"/>
        <v>2.84597147844172</v>
      </c>
      <c r="BX17" s="4">
        <f t="shared" si="38"/>
        <v>1.0164183851577573</v>
      </c>
      <c r="BY17" s="4">
        <f t="shared" si="38"/>
        <v>2.0328367703155146</v>
      </c>
      <c r="BZ17" s="4">
        <f t="shared" si="38"/>
        <v>4.0656735406310291</v>
      </c>
      <c r="CA17" s="4">
        <f t="shared" si="39"/>
        <v>0.35714285714285715</v>
      </c>
      <c r="CB17" s="4">
        <f t="shared" si="39"/>
        <v>0.7142857142857143</v>
      </c>
      <c r="CC17" s="4">
        <f t="shared" si="39"/>
        <v>1.4285714285714286</v>
      </c>
      <c r="CD17" s="40">
        <f t="shared" si="61"/>
        <v>0.73684210526315796</v>
      </c>
      <c r="CE17" s="41">
        <f t="shared" si="40"/>
        <v>0.58333333333333337</v>
      </c>
      <c r="CF17" s="42">
        <f t="shared" si="40"/>
        <v>0.41176470588235303</v>
      </c>
      <c r="CG17" s="40">
        <f t="shared" si="62"/>
        <v>0.26315789473684209</v>
      </c>
      <c r="CH17" s="41">
        <f t="shared" si="41"/>
        <v>0.41666666666666663</v>
      </c>
      <c r="CI17" s="42">
        <f t="shared" si="41"/>
        <v>0.58823529411764697</v>
      </c>
      <c r="CJ17" s="40">
        <f t="shared" si="63"/>
        <v>0</v>
      </c>
      <c r="CK17" s="41">
        <f t="shared" si="42"/>
        <v>0</v>
      </c>
      <c r="CL17" s="42">
        <f t="shared" si="42"/>
        <v>0</v>
      </c>
      <c r="CM17" s="4"/>
      <c r="CN17" s="4"/>
      <c r="CO17" s="4"/>
      <c r="CP17" s="4"/>
      <c r="CQ17" s="4"/>
      <c r="CR17" s="4"/>
      <c r="CS17" s="4"/>
      <c r="CT17" s="32"/>
      <c r="CU17" s="32"/>
      <c r="CV17" s="32"/>
      <c r="CW17" s="5"/>
    </row>
    <row r="18" spans="2:101">
      <c r="B18" s="2" t="s">
        <v>145</v>
      </c>
      <c r="C18" s="2">
        <v>850</v>
      </c>
      <c r="D18" s="2">
        <v>2000</v>
      </c>
      <c r="E18" s="5">
        <v>7.5</v>
      </c>
      <c r="G18" s="5">
        <f t="shared" si="65"/>
        <v>63.756182258234219</v>
      </c>
      <c r="H18" s="5">
        <f t="shared" si="65"/>
        <v>0.43801957276649467</v>
      </c>
      <c r="I18" s="5">
        <f t="shared" si="65"/>
        <v>15.914711143849308</v>
      </c>
      <c r="J18" s="5">
        <f t="shared" si="65"/>
        <v>4.3801957276649466</v>
      </c>
      <c r="K18" s="5">
        <f t="shared" si="65"/>
        <v>2.0538251078606748</v>
      </c>
      <c r="L18" s="5">
        <f t="shared" si="43"/>
        <v>7.5</v>
      </c>
      <c r="M18" s="5">
        <f t="shared" si="2"/>
        <v>4.3315268862464471</v>
      </c>
      <c r="N18" s="5">
        <f t="shared" si="2"/>
        <v>1.62553930337788</v>
      </c>
      <c r="O18" s="1">
        <f t="shared" si="3"/>
        <v>99.999999999999957</v>
      </c>
      <c r="P18" s="4">
        <f t="shared" si="44"/>
        <v>1</v>
      </c>
      <c r="Q18" s="5">
        <f t="shared" si="45"/>
        <v>5</v>
      </c>
      <c r="R18" s="25">
        <f t="shared" si="46"/>
        <v>4004.9</v>
      </c>
      <c r="T18" s="39">
        <f t="shared" si="47"/>
        <v>1.0611174731747923</v>
      </c>
      <c r="U18" s="39">
        <f t="shared" si="48"/>
        <v>5.4834698643777503E-3</v>
      </c>
      <c r="V18" s="39">
        <f t="shared" si="49"/>
        <v>0.1560877907399893</v>
      </c>
      <c r="W18" s="39">
        <f t="shared" si="4"/>
        <v>6.0966452240416254E-2</v>
      </c>
      <c r="X18" s="39">
        <f t="shared" si="5"/>
        <v>5.096340218016563E-2</v>
      </c>
      <c r="Y18" s="39">
        <f t="shared" si="6"/>
        <v>0.13374371850335429</v>
      </c>
      <c r="Z18" s="39">
        <f t="shared" si="7"/>
        <v>6.988588070742896E-2</v>
      </c>
      <c r="AA18" s="39">
        <f t="shared" si="8"/>
        <v>1.7256255874499787E-2</v>
      </c>
      <c r="AB18" s="39">
        <f t="shared" si="50"/>
        <v>1.248969600079934E-2</v>
      </c>
      <c r="AC18" s="39">
        <f t="shared" si="51"/>
        <v>1.5679941392858239</v>
      </c>
      <c r="AD18" s="39"/>
      <c r="AE18" s="39">
        <f t="shared" si="9"/>
        <v>0.67673561181682784</v>
      </c>
      <c r="AF18" s="39">
        <f t="shared" si="10"/>
        <v>3.4971239540954615E-3</v>
      </c>
      <c r="AG18" s="39">
        <f t="shared" si="11"/>
        <v>9.9546156984414991E-2</v>
      </c>
      <c r="AH18" s="39">
        <f t="shared" si="12"/>
        <v>3.8881811298213602E-2</v>
      </c>
      <c r="AI18" s="39">
        <f t="shared" si="13"/>
        <v>3.2502291241584609E-2</v>
      </c>
      <c r="AJ18" s="39">
        <f t="shared" si="14"/>
        <v>8.5296057652530954E-2</v>
      </c>
      <c r="AK18" s="39">
        <f t="shared" si="15"/>
        <v>4.4570243571994447E-2</v>
      </c>
      <c r="AL18" s="39">
        <f t="shared" si="16"/>
        <v>1.1005306360621676E-2</v>
      </c>
      <c r="AM18" s="39">
        <f t="shared" si="17"/>
        <v>7.9653971197163002E-3</v>
      </c>
      <c r="AN18" s="39">
        <f t="shared" si="18"/>
        <v>1</v>
      </c>
      <c r="AO18" s="39"/>
      <c r="AP18" s="39">
        <f t="shared" si="19"/>
        <v>1.0611174731747923</v>
      </c>
      <c r="AQ18" s="39">
        <f t="shared" si="20"/>
        <v>5.4834698643777503E-3</v>
      </c>
      <c r="AR18" s="39">
        <f t="shared" si="21"/>
        <v>0.31217558147997859</v>
      </c>
      <c r="AS18" s="39">
        <f t="shared" si="22"/>
        <v>6.0966452240416254E-2</v>
      </c>
      <c r="AT18" s="39">
        <f t="shared" si="23"/>
        <v>5.096340218016563E-2</v>
      </c>
      <c r="AU18" s="39">
        <f t="shared" si="24"/>
        <v>0.13374371850335429</v>
      </c>
      <c r="AV18" s="39">
        <f t="shared" si="25"/>
        <v>0.13977176141485792</v>
      </c>
      <c r="AW18" s="39">
        <f t="shared" si="26"/>
        <v>3.4512511748999573E-2</v>
      </c>
      <c r="AX18" s="39">
        <f t="shared" si="27"/>
        <v>1.7987343706069425</v>
      </c>
      <c r="AY18" s="39"/>
      <c r="AZ18" s="39">
        <f t="shared" si="28"/>
        <v>0.58992449942274805</v>
      </c>
      <c r="BA18" s="39">
        <f t="shared" si="29"/>
        <v>3.0485156418773923E-3</v>
      </c>
      <c r="BB18" s="39">
        <f t="shared" si="30"/>
        <v>0.17355290841228654</v>
      </c>
      <c r="BC18" s="39">
        <f t="shared" si="31"/>
        <v>3.3894083104580079E-2</v>
      </c>
      <c r="BD18" s="39">
        <f t="shared" si="32"/>
        <v>2.8332922866742785E-2</v>
      </c>
      <c r="BE18" s="39">
        <f t="shared" si="33"/>
        <v>7.4354346416489206E-2</v>
      </c>
      <c r="BF18" s="39">
        <f t="shared" si="34"/>
        <v>7.7705615514365847E-2</v>
      </c>
      <c r="BG18" s="39">
        <f t="shared" si="35"/>
        <v>1.9187108620909991E-2</v>
      </c>
      <c r="BH18" s="39">
        <f t="shared" si="36"/>
        <v>0.99999999999999989</v>
      </c>
      <c r="BJ18" s="38">
        <f t="shared" si="52"/>
        <v>6.7941697194862549E-4</v>
      </c>
      <c r="BK18" s="5"/>
      <c r="BL18" s="5">
        <f t="shared" si="37"/>
        <v>-7.2942755217599533</v>
      </c>
      <c r="BM18" s="5">
        <f t="shared" si="53"/>
        <v>-5.5547339931144339</v>
      </c>
      <c r="BN18" s="4">
        <f t="shared" si="54"/>
        <v>0.25635469653432075</v>
      </c>
      <c r="BO18" s="1"/>
      <c r="BQ18" s="3">
        <f t="shared" si="55"/>
        <v>0.40048</v>
      </c>
      <c r="BR18" s="5">
        <f t="shared" si="56"/>
        <v>7.5</v>
      </c>
      <c r="BS18" s="3">
        <f t="shared" si="57"/>
        <v>8.5296057652530954E-2</v>
      </c>
      <c r="BT18" s="3">
        <f t="shared" si="58"/>
        <v>4.5360801492827563E-2</v>
      </c>
      <c r="BU18" s="3">
        <f t="shared" si="64"/>
        <v>5.6947319526039095</v>
      </c>
      <c r="BV18" s="4">
        <f t="shared" si="59"/>
        <v>2.2806262523788137</v>
      </c>
      <c r="BW18" s="4">
        <f t="shared" si="60"/>
        <v>3.9863123668227365</v>
      </c>
      <c r="BX18" s="4">
        <f t="shared" si="38"/>
        <v>1.4236829881509774</v>
      </c>
      <c r="BY18" s="4">
        <f t="shared" si="38"/>
        <v>2.8473659763019548</v>
      </c>
      <c r="BZ18" s="4">
        <f t="shared" si="38"/>
        <v>5.6947319526039095</v>
      </c>
      <c r="CA18" s="4">
        <f t="shared" si="39"/>
        <v>0.35714285714285715</v>
      </c>
      <c r="CB18" s="4">
        <f t="shared" si="39"/>
        <v>0.7142857142857143</v>
      </c>
      <c r="CC18" s="4">
        <f t="shared" si="39"/>
        <v>1.4285714285714286</v>
      </c>
      <c r="CD18" s="40">
        <f t="shared" si="61"/>
        <v>0.73684210526315796</v>
      </c>
      <c r="CE18" s="41">
        <f t="shared" si="40"/>
        <v>0.58333333333333337</v>
      </c>
      <c r="CF18" s="42">
        <f t="shared" si="40"/>
        <v>0.41176470588235303</v>
      </c>
      <c r="CG18" s="40">
        <f t="shared" si="62"/>
        <v>0.26315789473684209</v>
      </c>
      <c r="CH18" s="41">
        <f t="shared" si="41"/>
        <v>0.41666666666666663</v>
      </c>
      <c r="CI18" s="42">
        <f t="shared" si="41"/>
        <v>0.58823529411764697</v>
      </c>
      <c r="CJ18" s="40">
        <f t="shared" si="63"/>
        <v>0</v>
      </c>
      <c r="CK18" s="41">
        <f t="shared" si="42"/>
        <v>0</v>
      </c>
      <c r="CL18" s="42">
        <f t="shared" si="42"/>
        <v>0</v>
      </c>
      <c r="CM18" s="4"/>
      <c r="CN18" s="4"/>
      <c r="CO18" s="4"/>
      <c r="CP18" s="4"/>
      <c r="CQ18" s="4"/>
      <c r="CR18" s="4"/>
      <c r="CS18" s="4"/>
      <c r="CT18" s="32"/>
      <c r="CU18" s="32"/>
      <c r="CV18" s="32"/>
      <c r="CW18" s="5"/>
    </row>
    <row r="19" spans="2:101">
      <c r="B19" s="2" t="s">
        <v>145</v>
      </c>
      <c r="C19" s="2">
        <v>850</v>
      </c>
      <c r="D19" s="2">
        <v>2000</v>
      </c>
      <c r="E19" s="5">
        <v>8</v>
      </c>
      <c r="G19" s="5">
        <f t="shared" si="65"/>
        <v>63.411554246027549</v>
      </c>
      <c r="H19" s="5">
        <f t="shared" si="65"/>
        <v>0.43565189940018928</v>
      </c>
      <c r="I19" s="5">
        <f t="shared" si="65"/>
        <v>15.828685678206877</v>
      </c>
      <c r="J19" s="5">
        <f t="shared" si="65"/>
        <v>4.3565189940018927</v>
      </c>
      <c r="K19" s="5">
        <f t="shared" si="65"/>
        <v>2.042723350520887</v>
      </c>
      <c r="L19" s="5">
        <f t="shared" si="43"/>
        <v>8</v>
      </c>
      <c r="M19" s="5">
        <f t="shared" si="2"/>
        <v>4.3081132274018721</v>
      </c>
      <c r="N19" s="5">
        <f t="shared" si="2"/>
        <v>1.6167526044407023</v>
      </c>
      <c r="O19" s="1">
        <f t="shared" si="3"/>
        <v>99.999999999999972</v>
      </c>
      <c r="P19" s="4">
        <f t="shared" si="44"/>
        <v>1</v>
      </c>
      <c r="Q19" s="5">
        <f t="shared" si="45"/>
        <v>5</v>
      </c>
      <c r="R19" s="25">
        <f t="shared" si="46"/>
        <v>4004.9</v>
      </c>
      <c r="T19" s="39">
        <f t="shared" si="47"/>
        <v>1.0553817030495232</v>
      </c>
      <c r="U19" s="39">
        <f t="shared" si="48"/>
        <v>5.4538294867324654E-3</v>
      </c>
      <c r="V19" s="39">
        <f t="shared" si="49"/>
        <v>0.15524407295220555</v>
      </c>
      <c r="W19" s="39">
        <f t="shared" si="4"/>
        <v>6.0636903849927516E-2</v>
      </c>
      <c r="X19" s="39">
        <f t="shared" si="5"/>
        <v>5.0687924330543109E-2</v>
      </c>
      <c r="Y19" s="39">
        <f t="shared" si="6"/>
        <v>0.14265996640357792</v>
      </c>
      <c r="Z19" s="39">
        <f t="shared" si="7"/>
        <v>6.9508119190091519E-2</v>
      </c>
      <c r="AA19" s="39">
        <f t="shared" si="8"/>
        <v>1.7162978815718707E-2</v>
      </c>
      <c r="AB19" s="39">
        <f t="shared" si="50"/>
        <v>1.248969600079934E-2</v>
      </c>
      <c r="AC19" s="39">
        <f t="shared" si="51"/>
        <v>1.5692251940791193</v>
      </c>
      <c r="AD19" s="39"/>
      <c r="AE19" s="39">
        <f t="shared" si="9"/>
        <v>0.67254955313718445</v>
      </c>
      <c r="AF19" s="39">
        <f t="shared" si="10"/>
        <v>3.475491922580926E-3</v>
      </c>
      <c r="AG19" s="39">
        <f t="shared" si="11"/>
        <v>9.8930397968348099E-2</v>
      </c>
      <c r="AH19" s="39">
        <f t="shared" si="12"/>
        <v>3.8641301502625659E-2</v>
      </c>
      <c r="AI19" s="39">
        <f t="shared" si="13"/>
        <v>3.230124300947685E-2</v>
      </c>
      <c r="AJ19" s="39">
        <f t="shared" si="14"/>
        <v>9.0911085892484783E-2</v>
      </c>
      <c r="AK19" s="39">
        <f t="shared" si="15"/>
        <v>4.4294547049304488E-2</v>
      </c>
      <c r="AL19" s="39">
        <f t="shared" si="16"/>
        <v>1.0937231240281349E-2</v>
      </c>
      <c r="AM19" s="39">
        <f t="shared" si="17"/>
        <v>7.9591482777134261E-3</v>
      </c>
      <c r="AN19" s="39">
        <f t="shared" si="18"/>
        <v>1</v>
      </c>
      <c r="AO19" s="39"/>
      <c r="AP19" s="39">
        <f t="shared" si="19"/>
        <v>1.0553817030495232</v>
      </c>
      <c r="AQ19" s="39">
        <f t="shared" si="20"/>
        <v>5.4538294867324654E-3</v>
      </c>
      <c r="AR19" s="39">
        <f t="shared" si="21"/>
        <v>0.31048814590441109</v>
      </c>
      <c r="AS19" s="39">
        <f t="shared" si="22"/>
        <v>6.0636903849927516E-2</v>
      </c>
      <c r="AT19" s="39">
        <f t="shared" si="23"/>
        <v>5.0687924330543109E-2</v>
      </c>
      <c r="AU19" s="39">
        <f t="shared" si="24"/>
        <v>0.14265996640357792</v>
      </c>
      <c r="AV19" s="39">
        <f t="shared" si="25"/>
        <v>0.13901623838018304</v>
      </c>
      <c r="AW19" s="39">
        <f t="shared" si="26"/>
        <v>3.4325957631437413E-2</v>
      </c>
      <c r="AX19" s="39">
        <f t="shared" si="27"/>
        <v>1.7986506690363357</v>
      </c>
      <c r="AY19" s="39"/>
      <c r="AZ19" s="39">
        <f t="shared" si="28"/>
        <v>0.58676302253564649</v>
      </c>
      <c r="BA19" s="39">
        <f t="shared" si="29"/>
        <v>3.0321782770939437E-3</v>
      </c>
      <c r="BB19" s="39">
        <f t="shared" si="30"/>
        <v>0.17262281734271476</v>
      </c>
      <c r="BC19" s="39">
        <f t="shared" si="31"/>
        <v>3.3712440605498446E-2</v>
      </c>
      <c r="BD19" s="39">
        <f t="shared" si="32"/>
        <v>2.818108329934918E-2</v>
      </c>
      <c r="BE19" s="39">
        <f t="shared" si="33"/>
        <v>7.9314993655778057E-2</v>
      </c>
      <c r="BF19" s="39">
        <f t="shared" si="34"/>
        <v>7.728918170345099E-2</v>
      </c>
      <c r="BG19" s="39">
        <f t="shared" si="35"/>
        <v>1.9084282580468088E-2</v>
      </c>
      <c r="BH19" s="39">
        <f t="shared" si="36"/>
        <v>1</v>
      </c>
      <c r="BJ19" s="38">
        <f t="shared" si="52"/>
        <v>7.2357481270622756E-4</v>
      </c>
      <c r="BK19" s="5"/>
      <c r="BL19" s="5">
        <f t="shared" si="37"/>
        <v>-7.2313066133598642</v>
      </c>
      <c r="BM19" s="5">
        <f t="shared" si="53"/>
        <v>-5.145954380752757</v>
      </c>
      <c r="BN19" s="4">
        <f t="shared" si="54"/>
        <v>0.27041291936048989</v>
      </c>
      <c r="BO19" s="1"/>
      <c r="BQ19" s="3">
        <f t="shared" si="55"/>
        <v>0.40048</v>
      </c>
      <c r="BR19" s="5">
        <f t="shared" si="56"/>
        <v>8</v>
      </c>
      <c r="BS19" s="3">
        <f t="shared" si="57"/>
        <v>9.0911085892484783E-2</v>
      </c>
      <c r="BT19" s="3">
        <f t="shared" si="58"/>
        <v>6.405065319217744E-2</v>
      </c>
      <c r="BU19" s="3">
        <f t="shared" si="64"/>
        <v>8.0474255482244228</v>
      </c>
      <c r="BV19" s="4">
        <f t="shared" si="59"/>
        <v>3.2228329835529168</v>
      </c>
      <c r="BW19" s="4">
        <f t="shared" si="60"/>
        <v>5.633197883757096</v>
      </c>
      <c r="BX19" s="4">
        <f t="shared" si="38"/>
        <v>2.0118563870561057</v>
      </c>
      <c r="BY19" s="4">
        <f t="shared" si="38"/>
        <v>4.0237127741122114</v>
      </c>
      <c r="BZ19" s="4">
        <f t="shared" si="38"/>
        <v>8.0474255482244228</v>
      </c>
      <c r="CA19" s="4">
        <f t="shared" si="39"/>
        <v>0.35714285714285715</v>
      </c>
      <c r="CB19" s="4">
        <f t="shared" si="39"/>
        <v>0.7142857142857143</v>
      </c>
      <c r="CC19" s="4">
        <f t="shared" si="39"/>
        <v>1.4285714285714286</v>
      </c>
      <c r="CD19" s="40">
        <f t="shared" si="61"/>
        <v>0.73684210526315796</v>
      </c>
      <c r="CE19" s="41">
        <f t="shared" si="40"/>
        <v>0.58333333333333337</v>
      </c>
      <c r="CF19" s="42">
        <f t="shared" si="40"/>
        <v>0.41176470588235303</v>
      </c>
      <c r="CG19" s="40">
        <f t="shared" si="62"/>
        <v>0.26315789473684209</v>
      </c>
      <c r="CH19" s="41">
        <f t="shared" si="41"/>
        <v>0.41666666666666663</v>
      </c>
      <c r="CI19" s="42">
        <f t="shared" si="41"/>
        <v>0.58823529411764697</v>
      </c>
      <c r="CJ19" s="40">
        <f t="shared" si="63"/>
        <v>0</v>
      </c>
      <c r="CK19" s="41">
        <f t="shared" si="42"/>
        <v>0</v>
      </c>
      <c r="CL19" s="42">
        <f t="shared" si="42"/>
        <v>0</v>
      </c>
      <c r="CM19" s="4"/>
      <c r="CN19" s="4"/>
      <c r="CO19" s="4"/>
      <c r="CP19" s="4"/>
      <c r="CQ19" s="4"/>
      <c r="CR19" s="4"/>
      <c r="CS19" s="4"/>
      <c r="CT19" s="32"/>
      <c r="CU19" s="32"/>
      <c r="CV19" s="32"/>
      <c r="CW19" s="5"/>
    </row>
    <row r="20" spans="2:101">
      <c r="B20" s="2" t="s">
        <v>145</v>
      </c>
      <c r="C20" s="2">
        <v>850</v>
      </c>
      <c r="D20" s="2">
        <v>2000</v>
      </c>
      <c r="E20" s="5">
        <v>8.5</v>
      </c>
      <c r="G20" s="5">
        <f t="shared" si="65"/>
        <v>63.06692623382088</v>
      </c>
      <c r="H20" s="5">
        <f t="shared" si="65"/>
        <v>0.43328422603388395</v>
      </c>
      <c r="I20" s="5">
        <f t="shared" si="65"/>
        <v>15.742660212564449</v>
      </c>
      <c r="J20" s="5">
        <f t="shared" si="65"/>
        <v>4.3328422603388388</v>
      </c>
      <c r="K20" s="5">
        <f t="shared" si="65"/>
        <v>2.0316215931811001</v>
      </c>
      <c r="L20" s="5">
        <f t="shared" si="43"/>
        <v>8.5</v>
      </c>
      <c r="M20" s="5">
        <f t="shared" si="2"/>
        <v>4.2846995685572962</v>
      </c>
      <c r="N20" s="5">
        <f t="shared" si="2"/>
        <v>1.6079659055035247</v>
      </c>
      <c r="O20" s="1">
        <f t="shared" si="3"/>
        <v>99.999999999999972</v>
      </c>
      <c r="P20" s="4">
        <f t="shared" si="44"/>
        <v>1</v>
      </c>
      <c r="Q20" s="5">
        <f t="shared" si="45"/>
        <v>5</v>
      </c>
      <c r="R20" s="25">
        <f t="shared" si="46"/>
        <v>4004.9</v>
      </c>
      <c r="T20" s="39">
        <f t="shared" si="47"/>
        <v>1.049645932924254</v>
      </c>
      <c r="U20" s="39">
        <f t="shared" si="48"/>
        <v>5.4241891090871805E-3</v>
      </c>
      <c r="V20" s="39">
        <f t="shared" si="49"/>
        <v>0.15440035516442183</v>
      </c>
      <c r="W20" s="39">
        <f t="shared" si="4"/>
        <v>6.0307355459438779E-2</v>
      </c>
      <c r="X20" s="39">
        <f t="shared" si="5"/>
        <v>5.0412446480920602E-2</v>
      </c>
      <c r="Y20" s="39">
        <f t="shared" si="6"/>
        <v>0.15157621430380153</v>
      </c>
      <c r="Z20" s="39">
        <f t="shared" si="7"/>
        <v>6.913035767275405E-2</v>
      </c>
      <c r="AA20" s="39">
        <f t="shared" si="8"/>
        <v>1.706970175693763E-2</v>
      </c>
      <c r="AB20" s="39">
        <f t="shared" si="50"/>
        <v>1.248969600079934E-2</v>
      </c>
      <c r="AC20" s="39">
        <f t="shared" si="51"/>
        <v>1.570456248872415</v>
      </c>
      <c r="AD20" s="39"/>
      <c r="AE20" s="39">
        <f t="shared" si="9"/>
        <v>0.66837005722247789</v>
      </c>
      <c r="AF20" s="39">
        <f t="shared" si="10"/>
        <v>3.4538938050529835E-3</v>
      </c>
      <c r="AG20" s="39">
        <f t="shared" si="11"/>
        <v>9.8315604318987573E-2</v>
      </c>
      <c r="AH20" s="39">
        <f t="shared" si="12"/>
        <v>3.8401168770374444E-2</v>
      </c>
      <c r="AI20" s="39">
        <f t="shared" si="13"/>
        <v>3.2100509974166205E-2</v>
      </c>
      <c r="AJ20" s="39">
        <f t="shared" si="14"/>
        <v>9.6517311076085688E-2</v>
      </c>
      <c r="AK20" s="39">
        <f t="shared" si="15"/>
        <v>4.4019282754543171E-2</v>
      </c>
      <c r="AL20" s="39">
        <f t="shared" si="16"/>
        <v>1.0869262845872751E-2</v>
      </c>
      <c r="AM20" s="39">
        <f t="shared" si="17"/>
        <v>7.9529092324392495E-3</v>
      </c>
      <c r="AN20" s="39">
        <f t="shared" si="18"/>
        <v>1</v>
      </c>
      <c r="AO20" s="39"/>
      <c r="AP20" s="39">
        <f t="shared" si="19"/>
        <v>1.049645932924254</v>
      </c>
      <c r="AQ20" s="39">
        <f t="shared" si="20"/>
        <v>5.4241891090871805E-3</v>
      </c>
      <c r="AR20" s="39">
        <f t="shared" si="21"/>
        <v>0.30880071032884365</v>
      </c>
      <c r="AS20" s="39">
        <f t="shared" si="22"/>
        <v>6.0307355459438779E-2</v>
      </c>
      <c r="AT20" s="39">
        <f t="shared" si="23"/>
        <v>5.0412446480920602E-2</v>
      </c>
      <c r="AU20" s="39">
        <f t="shared" si="24"/>
        <v>0.15157621430380153</v>
      </c>
      <c r="AV20" s="39">
        <f t="shared" si="25"/>
        <v>0.1382607153455081</v>
      </c>
      <c r="AW20" s="39">
        <f t="shared" si="26"/>
        <v>3.4139403513875261E-2</v>
      </c>
      <c r="AX20" s="39">
        <f t="shared" si="27"/>
        <v>1.7985669674657294</v>
      </c>
      <c r="AY20" s="39"/>
      <c r="AZ20" s="39">
        <f t="shared" si="28"/>
        <v>0.5836012513914105</v>
      </c>
      <c r="BA20" s="39">
        <f t="shared" si="29"/>
        <v>3.0158393916964537E-3</v>
      </c>
      <c r="BB20" s="39">
        <f t="shared" si="30"/>
        <v>0.17169263970413026</v>
      </c>
      <c r="BC20" s="39">
        <f t="shared" si="31"/>
        <v>3.3530781199887623E-2</v>
      </c>
      <c r="BD20" s="39">
        <f t="shared" si="32"/>
        <v>2.8029229599359457E-2</v>
      </c>
      <c r="BE20" s="39">
        <f t="shared" si="33"/>
        <v>8.4276102611502965E-2</v>
      </c>
      <c r="BF20" s="39">
        <f t="shared" si="34"/>
        <v>7.687270913260702E-2</v>
      </c>
      <c r="BG20" s="39">
        <f t="shared" si="35"/>
        <v>1.8981446969405527E-2</v>
      </c>
      <c r="BH20" s="39">
        <f t="shared" si="36"/>
        <v>0.99999999999999989</v>
      </c>
      <c r="BJ20" s="38">
        <f t="shared" si="52"/>
        <v>7.6759341434721291E-4</v>
      </c>
      <c r="BK20" s="5"/>
      <c r="BL20" s="5">
        <f t="shared" si="37"/>
        <v>-7.1722503734047756</v>
      </c>
      <c r="BM20" s="5">
        <f t="shared" si="53"/>
        <v>-4.7327072316439516</v>
      </c>
      <c r="BN20" s="4">
        <f t="shared" si="54"/>
        <v>0.28462478396618046</v>
      </c>
      <c r="BO20" s="1"/>
      <c r="BQ20" s="3">
        <f t="shared" si="55"/>
        <v>0.40048</v>
      </c>
      <c r="BR20" s="5">
        <f t="shared" si="56"/>
        <v>8.5</v>
      </c>
      <c r="BS20" s="3">
        <f t="shared" si="57"/>
        <v>9.6517311076085688E-2</v>
      </c>
      <c r="BT20" s="3">
        <f t="shared" si="58"/>
        <v>9.1202375571507996E-2</v>
      </c>
      <c r="BU20" s="3">
        <f t="shared" si="64"/>
        <v>11.467800386744157</v>
      </c>
      <c r="BV20" s="4">
        <f t="shared" si="59"/>
        <v>4.5926246988833004</v>
      </c>
      <c r="BW20" s="4">
        <f t="shared" si="60"/>
        <v>8.0274602707209102</v>
      </c>
      <c r="BX20" s="4">
        <f t="shared" si="38"/>
        <v>2.8669500966860393</v>
      </c>
      <c r="BY20" s="4">
        <f t="shared" si="38"/>
        <v>5.7339001933720786</v>
      </c>
      <c r="BZ20" s="4">
        <f t="shared" si="38"/>
        <v>11.467800386744157</v>
      </c>
      <c r="CA20" s="4">
        <f t="shared" si="39"/>
        <v>0.35714285714285715</v>
      </c>
      <c r="CB20" s="4">
        <f t="shared" si="39"/>
        <v>0.7142857142857143</v>
      </c>
      <c r="CC20" s="4">
        <f t="shared" si="39"/>
        <v>1.4285714285714286</v>
      </c>
      <c r="CD20" s="40">
        <f t="shared" si="61"/>
        <v>0.73684210526315796</v>
      </c>
      <c r="CE20" s="41">
        <f t="shared" si="61"/>
        <v>0.58333333333333337</v>
      </c>
      <c r="CF20" s="42">
        <f t="shared" si="61"/>
        <v>0.41176470588235303</v>
      </c>
      <c r="CG20" s="40">
        <f t="shared" si="62"/>
        <v>0.26315789473684209</v>
      </c>
      <c r="CH20" s="41">
        <f t="shared" si="62"/>
        <v>0.41666666666666663</v>
      </c>
      <c r="CI20" s="42">
        <f t="shared" si="62"/>
        <v>0.58823529411764697</v>
      </c>
      <c r="CJ20" s="40">
        <f t="shared" si="63"/>
        <v>0</v>
      </c>
      <c r="CK20" s="41">
        <f t="shared" si="63"/>
        <v>0</v>
      </c>
      <c r="CL20" s="42">
        <f t="shared" si="63"/>
        <v>0</v>
      </c>
      <c r="CM20" s="4"/>
      <c r="CN20" s="4"/>
      <c r="CO20" s="4"/>
      <c r="CP20" s="4"/>
      <c r="CQ20" s="4"/>
      <c r="CR20" s="4"/>
      <c r="CS20" s="4"/>
      <c r="CT20" s="32"/>
      <c r="CU20" s="32"/>
      <c r="CV20" s="32"/>
      <c r="CW20" s="5"/>
    </row>
    <row r="21" spans="2:101">
      <c r="B21" s="2" t="s">
        <v>145</v>
      </c>
      <c r="C21" s="2">
        <v>850</v>
      </c>
      <c r="D21" s="2">
        <v>2000</v>
      </c>
      <c r="E21" s="5">
        <v>9</v>
      </c>
      <c r="G21" s="5">
        <f t="shared" si="65"/>
        <v>62.72229822161421</v>
      </c>
      <c r="H21" s="5">
        <f t="shared" si="65"/>
        <v>0.43091655266757856</v>
      </c>
      <c r="I21" s="5">
        <f t="shared" si="65"/>
        <v>15.656634746922022</v>
      </c>
      <c r="J21" s="5">
        <f t="shared" si="65"/>
        <v>4.3091655266757849</v>
      </c>
      <c r="K21" s="5">
        <f t="shared" si="65"/>
        <v>2.0205198358413123</v>
      </c>
      <c r="L21" s="5">
        <f t="shared" si="43"/>
        <v>9</v>
      </c>
      <c r="M21" s="5">
        <f t="shared" si="2"/>
        <v>4.2612859097127211</v>
      </c>
      <c r="N21" s="5">
        <f t="shared" si="2"/>
        <v>1.599179206566347</v>
      </c>
      <c r="O21" s="1">
        <f t="shared" si="3"/>
        <v>99.999999999999972</v>
      </c>
      <c r="P21" s="4">
        <f t="shared" si="44"/>
        <v>1</v>
      </c>
      <c r="Q21" s="5">
        <f t="shared" si="45"/>
        <v>5</v>
      </c>
      <c r="R21" s="25">
        <f t="shared" si="46"/>
        <v>4004.9</v>
      </c>
      <c r="T21" s="39">
        <f t="shared" si="47"/>
        <v>1.0439101627989849</v>
      </c>
      <c r="U21" s="39">
        <f t="shared" si="48"/>
        <v>5.3945487314418948E-3</v>
      </c>
      <c r="V21" s="39">
        <f t="shared" si="49"/>
        <v>0.15355663737663811</v>
      </c>
      <c r="W21" s="39">
        <f t="shared" si="4"/>
        <v>5.9977807068950041E-2</v>
      </c>
      <c r="X21" s="39">
        <f t="shared" si="5"/>
        <v>5.0136968631298073E-2</v>
      </c>
      <c r="Y21" s="39">
        <f t="shared" si="6"/>
        <v>0.16049246220402516</v>
      </c>
      <c r="Z21" s="39">
        <f t="shared" si="7"/>
        <v>6.8752596155416609E-2</v>
      </c>
      <c r="AA21" s="39">
        <f t="shared" si="8"/>
        <v>1.697642469815655E-2</v>
      </c>
      <c r="AB21" s="39">
        <f t="shared" si="50"/>
        <v>1.248969600079934E-2</v>
      </c>
      <c r="AC21" s="39">
        <f t="shared" si="51"/>
        <v>1.5716873036657106</v>
      </c>
      <c r="AD21" s="39"/>
      <c r="AE21" s="39">
        <f t="shared" si="9"/>
        <v>0.66419710865146675</v>
      </c>
      <c r="AF21" s="39">
        <f t="shared" si="10"/>
        <v>3.432329521820255E-3</v>
      </c>
      <c r="AG21" s="39">
        <f t="shared" si="11"/>
        <v>9.7701773767906425E-2</v>
      </c>
      <c r="AH21" s="39">
        <f t="shared" si="12"/>
        <v>3.8161412215433281E-2</v>
      </c>
      <c r="AI21" s="39">
        <f t="shared" si="13"/>
        <v>3.1900091395000503E-2</v>
      </c>
      <c r="AJ21" s="39">
        <f t="shared" si="14"/>
        <v>0.10211475388883146</v>
      </c>
      <c r="AK21" s="39">
        <f t="shared" si="15"/>
        <v>4.3744449672057616E-2</v>
      </c>
      <c r="AL21" s="39">
        <f t="shared" si="16"/>
        <v>1.0801400926610364E-2</v>
      </c>
      <c r="AM21" s="39">
        <f t="shared" si="17"/>
        <v>7.9466799608733305E-3</v>
      </c>
      <c r="AN21" s="39">
        <f t="shared" si="18"/>
        <v>0.99999999999999989</v>
      </c>
      <c r="AO21" s="39"/>
      <c r="AP21" s="39">
        <f t="shared" si="19"/>
        <v>1.0439101627989849</v>
      </c>
      <c r="AQ21" s="39">
        <f t="shared" si="20"/>
        <v>5.3945487314418948E-3</v>
      </c>
      <c r="AR21" s="39">
        <f t="shared" si="21"/>
        <v>0.30711327475327621</v>
      </c>
      <c r="AS21" s="39">
        <f t="shared" si="22"/>
        <v>5.9977807068950041E-2</v>
      </c>
      <c r="AT21" s="39">
        <f t="shared" si="23"/>
        <v>5.0136968631298073E-2</v>
      </c>
      <c r="AU21" s="39">
        <f t="shared" si="24"/>
        <v>0.16049246220402516</v>
      </c>
      <c r="AV21" s="39">
        <f t="shared" si="25"/>
        <v>0.13750519231083322</v>
      </c>
      <c r="AW21" s="39">
        <f t="shared" si="26"/>
        <v>3.3952849396313101E-2</v>
      </c>
      <c r="AX21" s="39">
        <f t="shared" si="27"/>
        <v>1.7984832658951226</v>
      </c>
      <c r="AY21" s="39"/>
      <c r="AZ21" s="39">
        <f t="shared" si="28"/>
        <v>0.58043918594895605</v>
      </c>
      <c r="BA21" s="39">
        <f t="shared" si="29"/>
        <v>2.9994989854726147E-3</v>
      </c>
      <c r="BB21" s="39">
        <f t="shared" si="30"/>
        <v>0.17076237548444631</v>
      </c>
      <c r="BC21" s="39">
        <f t="shared" si="31"/>
        <v>3.3349104885387136E-2</v>
      </c>
      <c r="BD21" s="39">
        <f t="shared" si="32"/>
        <v>2.7877361764800417E-2</v>
      </c>
      <c r="BE21" s="39">
        <f t="shared" si="33"/>
        <v>8.9237673348128987E-2</v>
      </c>
      <c r="BF21" s="39">
        <f t="shared" si="34"/>
        <v>7.645619779642239E-2</v>
      </c>
      <c r="BG21" s="39">
        <f t="shared" si="35"/>
        <v>1.8878601786386062E-2</v>
      </c>
      <c r="BH21" s="39">
        <f t="shared" si="36"/>
        <v>0.99999999999999978</v>
      </c>
      <c r="BJ21" s="38">
        <f t="shared" si="52"/>
        <v>8.1147326843788894E-4</v>
      </c>
      <c r="BK21" s="5"/>
      <c r="BL21" s="5">
        <f t="shared" si="37"/>
        <v>-7.1166591124790086</v>
      </c>
      <c r="BM21" s="5">
        <f t="shared" si="53"/>
        <v>-4.3149189050723908</v>
      </c>
      <c r="BN21" s="4">
        <f t="shared" si="54"/>
        <v>0.29899282290819751</v>
      </c>
      <c r="BO21" s="1"/>
      <c r="BQ21" s="3">
        <f t="shared" si="55"/>
        <v>0.40048</v>
      </c>
      <c r="BR21" s="5">
        <f t="shared" si="56"/>
        <v>9</v>
      </c>
      <c r="BS21" s="3">
        <f t="shared" si="57"/>
        <v>0.10211475388883146</v>
      </c>
      <c r="BT21" s="3">
        <f t="shared" si="58"/>
        <v>0.1309079538496139</v>
      </c>
      <c r="BU21" s="3">
        <f t="shared" si="64"/>
        <v>16.473288781498542</v>
      </c>
      <c r="BV21" s="4">
        <f t="shared" si="59"/>
        <v>6.5972226912145366</v>
      </c>
      <c r="BW21" s="4">
        <f t="shared" si="60"/>
        <v>11.531302147048979</v>
      </c>
      <c r="BX21" s="4">
        <f t="shared" si="38"/>
        <v>4.1183221953746356</v>
      </c>
      <c r="BY21" s="4">
        <f t="shared" si="38"/>
        <v>8.2366443907492712</v>
      </c>
      <c r="BZ21" s="4">
        <f t="shared" si="38"/>
        <v>16.473288781498542</v>
      </c>
      <c r="CA21" s="4">
        <f t="shared" si="39"/>
        <v>0.35714285714285715</v>
      </c>
      <c r="CB21" s="4">
        <f t="shared" si="39"/>
        <v>0.7142857142857143</v>
      </c>
      <c r="CC21" s="4">
        <f t="shared" si="39"/>
        <v>1.4285714285714286</v>
      </c>
      <c r="CD21" s="40">
        <f t="shared" si="61"/>
        <v>0.73684210526315796</v>
      </c>
      <c r="CE21" s="41">
        <f t="shared" si="61"/>
        <v>0.58333333333333337</v>
      </c>
      <c r="CF21" s="42">
        <f t="shared" si="61"/>
        <v>0.41176470588235303</v>
      </c>
      <c r="CG21" s="40">
        <f t="shared" si="62"/>
        <v>0.26315789473684209</v>
      </c>
      <c r="CH21" s="41">
        <f t="shared" si="62"/>
        <v>0.41666666666666663</v>
      </c>
      <c r="CI21" s="42">
        <f t="shared" si="62"/>
        <v>0.58823529411764697</v>
      </c>
      <c r="CJ21" s="40">
        <f t="shared" si="63"/>
        <v>0</v>
      </c>
      <c r="CK21" s="41">
        <f t="shared" si="63"/>
        <v>0</v>
      </c>
      <c r="CL21" s="42">
        <f t="shared" si="63"/>
        <v>0</v>
      </c>
      <c r="CM21" s="4"/>
      <c r="CN21" s="4"/>
      <c r="CO21" s="4"/>
      <c r="CP21" s="4"/>
      <c r="CQ21" s="4"/>
      <c r="CR21" s="4"/>
      <c r="CS21" s="4"/>
      <c r="CT21" s="32"/>
      <c r="CU21" s="32"/>
      <c r="CV21" s="32"/>
      <c r="CW21" s="5"/>
    </row>
    <row r="22" spans="2:101">
      <c r="B22" s="2" t="s">
        <v>145</v>
      </c>
      <c r="C22" s="2">
        <v>850</v>
      </c>
      <c r="D22" s="2">
        <v>2000</v>
      </c>
      <c r="E22" s="5">
        <v>9.5</v>
      </c>
      <c r="G22" s="5">
        <f t="shared" si="65"/>
        <v>62.377670209407533</v>
      </c>
      <c r="H22" s="5">
        <f t="shared" si="65"/>
        <v>0.42854887930127317</v>
      </c>
      <c r="I22" s="5">
        <f t="shared" si="65"/>
        <v>15.570609281279593</v>
      </c>
      <c r="J22" s="5">
        <f t="shared" si="65"/>
        <v>4.2854887930127319</v>
      </c>
      <c r="K22" s="5">
        <f t="shared" si="65"/>
        <v>2.009418078501525</v>
      </c>
      <c r="L22" s="5">
        <f t="shared" si="43"/>
        <v>9.5</v>
      </c>
      <c r="M22" s="5">
        <f t="shared" si="2"/>
        <v>4.2378722508681461</v>
      </c>
      <c r="N22" s="5">
        <f t="shared" si="2"/>
        <v>1.5903925076291692</v>
      </c>
      <c r="O22" s="1">
        <f t="shared" si="3"/>
        <v>99.999999999999986</v>
      </c>
      <c r="P22" s="4">
        <f t="shared" si="44"/>
        <v>1</v>
      </c>
      <c r="Q22" s="5">
        <f t="shared" si="45"/>
        <v>5</v>
      </c>
      <c r="R22" s="25">
        <f t="shared" si="46"/>
        <v>4004.9</v>
      </c>
      <c r="T22" s="39">
        <f t="shared" si="47"/>
        <v>1.0381743926737157</v>
      </c>
      <c r="U22" s="39">
        <f t="shared" si="48"/>
        <v>5.3649083537966099E-3</v>
      </c>
      <c r="V22" s="39">
        <f t="shared" si="49"/>
        <v>0.15271291958885438</v>
      </c>
      <c r="W22" s="39">
        <f t="shared" si="4"/>
        <v>5.9648258678461318E-2</v>
      </c>
      <c r="X22" s="39">
        <f t="shared" si="5"/>
        <v>4.9861490781675559E-2</v>
      </c>
      <c r="Y22" s="39">
        <f t="shared" si="6"/>
        <v>0.16940871010424877</v>
      </c>
      <c r="Z22" s="39">
        <f t="shared" si="7"/>
        <v>6.8374834638079154E-2</v>
      </c>
      <c r="AA22" s="39">
        <f t="shared" si="8"/>
        <v>1.6883147639375467E-2</v>
      </c>
      <c r="AB22" s="39">
        <f t="shared" si="50"/>
        <v>1.248969600079934E-2</v>
      </c>
      <c r="AC22" s="39">
        <f t="shared" si="51"/>
        <v>1.5729183584590061</v>
      </c>
      <c r="AD22" s="39"/>
      <c r="AE22" s="39">
        <f t="shared" si="9"/>
        <v>0.66003069205118758</v>
      </c>
      <c r="AF22" s="39">
        <f t="shared" si="10"/>
        <v>3.4107989934408487E-3</v>
      </c>
      <c r="AG22" s="39">
        <f t="shared" si="11"/>
        <v>9.7088904053779235E-2</v>
      </c>
      <c r="AH22" s="39">
        <f t="shared" si="12"/>
        <v>3.792203095454931E-2</v>
      </c>
      <c r="AI22" s="39">
        <f t="shared" si="13"/>
        <v>3.1699986533646314E-2</v>
      </c>
      <c r="AJ22" s="39">
        <f t="shared" si="14"/>
        <v>0.10770343495146124</v>
      </c>
      <c r="AK22" s="39">
        <f t="shared" si="15"/>
        <v>4.3470046789374515E-2</v>
      </c>
      <c r="AL22" s="39">
        <f t="shared" si="16"/>
        <v>1.0733645232493788E-2</v>
      </c>
      <c r="AM22" s="39">
        <f t="shared" si="17"/>
        <v>7.9404604400673037E-3</v>
      </c>
      <c r="AN22" s="39">
        <f t="shared" si="18"/>
        <v>1.0000000000000002</v>
      </c>
      <c r="AO22" s="39"/>
      <c r="AP22" s="39">
        <f t="shared" si="19"/>
        <v>1.0381743926737157</v>
      </c>
      <c r="AQ22" s="39">
        <f t="shared" si="20"/>
        <v>5.3649083537966099E-3</v>
      </c>
      <c r="AR22" s="39">
        <f t="shared" si="21"/>
        <v>0.30542583917770877</v>
      </c>
      <c r="AS22" s="39">
        <f t="shared" si="22"/>
        <v>5.9648258678461318E-2</v>
      </c>
      <c r="AT22" s="39">
        <f t="shared" si="23"/>
        <v>4.9861490781675559E-2</v>
      </c>
      <c r="AU22" s="39">
        <f t="shared" si="24"/>
        <v>0.16940871010424877</v>
      </c>
      <c r="AV22" s="39">
        <f t="shared" si="25"/>
        <v>0.13674966927615831</v>
      </c>
      <c r="AW22" s="39">
        <f t="shared" si="26"/>
        <v>3.3766295278750934E-2</v>
      </c>
      <c r="AX22" s="39">
        <f t="shared" si="27"/>
        <v>1.7983995643245156</v>
      </c>
      <c r="AY22" s="39"/>
      <c r="AZ22" s="39">
        <f t="shared" si="28"/>
        <v>0.57727682616719111</v>
      </c>
      <c r="BA22" s="39">
        <f t="shared" si="29"/>
        <v>2.9831570582100789E-3</v>
      </c>
      <c r="BB22" s="39">
        <f t="shared" si="30"/>
        <v>0.16983202467157382</v>
      </c>
      <c r="BC22" s="39">
        <f t="shared" si="31"/>
        <v>3.3167411659636041E-2</v>
      </c>
      <c r="BD22" s="39">
        <f t="shared" si="32"/>
        <v>2.7725479793698507E-2</v>
      </c>
      <c r="BE22" s="39">
        <f t="shared" si="33"/>
        <v>9.4199705930133049E-2</v>
      </c>
      <c r="BF22" s="39">
        <f t="shared" si="34"/>
        <v>7.6039647689484346E-2</v>
      </c>
      <c r="BG22" s="39">
        <f t="shared" si="35"/>
        <v>1.8775747030073186E-2</v>
      </c>
      <c r="BH22" s="39">
        <f t="shared" si="36"/>
        <v>1.0000000000000002</v>
      </c>
      <c r="BJ22" s="38">
        <f t="shared" si="52"/>
        <v>8.5521486449144021E-4</v>
      </c>
      <c r="BK22" s="5"/>
      <c r="BL22" s="5">
        <f t="shared" si="37"/>
        <v>-7.0641578171001882</v>
      </c>
      <c r="BM22" s="5">
        <f t="shared" si="53"/>
        <v>-3.8925141329034023</v>
      </c>
      <c r="BN22" s="4">
        <f t="shared" si="54"/>
        <v>0.31351962471145139</v>
      </c>
      <c r="BO22" s="1"/>
      <c r="BQ22" s="3">
        <f t="shared" si="55"/>
        <v>0.40048</v>
      </c>
      <c r="BR22" s="5">
        <f t="shared" si="56"/>
        <v>9.5</v>
      </c>
      <c r="BS22" s="3">
        <f t="shared" si="57"/>
        <v>0.10770343495146124</v>
      </c>
      <c r="BT22" s="3">
        <f t="shared" si="58"/>
        <v>0.18935336920261212</v>
      </c>
      <c r="BU22" s="3">
        <f t="shared" si="64"/>
        <v>23.846648520171602</v>
      </c>
      <c r="BV22" s="4">
        <f t="shared" si="59"/>
        <v>9.5501057993583238</v>
      </c>
      <c r="BW22" s="4">
        <f t="shared" si="60"/>
        <v>16.692653964120122</v>
      </c>
      <c r="BX22" s="4">
        <f t="shared" si="38"/>
        <v>5.9616621300429005</v>
      </c>
      <c r="BY22" s="4">
        <f t="shared" si="38"/>
        <v>11.923324260085801</v>
      </c>
      <c r="BZ22" s="4">
        <f t="shared" si="38"/>
        <v>23.846648520171602</v>
      </c>
      <c r="CA22" s="4">
        <f t="shared" si="39"/>
        <v>0.35714285714285715</v>
      </c>
      <c r="CB22" s="4">
        <f t="shared" si="39"/>
        <v>0.7142857142857143</v>
      </c>
      <c r="CC22" s="4">
        <f t="shared" si="39"/>
        <v>1.4285714285714286</v>
      </c>
      <c r="CD22" s="40">
        <f t="shared" si="61"/>
        <v>0.73684210526315796</v>
      </c>
      <c r="CE22" s="41">
        <f t="shared" si="61"/>
        <v>0.58333333333333337</v>
      </c>
      <c r="CF22" s="42">
        <f t="shared" si="61"/>
        <v>0.41176470588235303</v>
      </c>
      <c r="CG22" s="40">
        <f t="shared" si="62"/>
        <v>0.26315789473684209</v>
      </c>
      <c r="CH22" s="41">
        <f t="shared" si="62"/>
        <v>0.41666666666666663</v>
      </c>
      <c r="CI22" s="42">
        <f t="shared" si="62"/>
        <v>0.58823529411764697</v>
      </c>
      <c r="CJ22" s="40">
        <f t="shared" si="63"/>
        <v>0</v>
      </c>
      <c r="CK22" s="41">
        <f t="shared" si="63"/>
        <v>0</v>
      </c>
      <c r="CL22" s="42">
        <f t="shared" si="63"/>
        <v>0</v>
      </c>
      <c r="CM22" s="4"/>
      <c r="CN22" s="4"/>
      <c r="CO22" s="4"/>
      <c r="CP22" s="4"/>
      <c r="CQ22" s="4"/>
      <c r="CR22" s="4"/>
      <c r="CS22" s="4"/>
      <c r="CT22" s="32"/>
      <c r="CU22" s="32"/>
      <c r="CV22" s="32"/>
      <c r="CW22" s="5"/>
    </row>
    <row r="23" spans="2:101">
      <c r="B23" s="2" t="s">
        <v>145</v>
      </c>
      <c r="C23" s="2">
        <v>850</v>
      </c>
      <c r="D23" s="2">
        <v>2000</v>
      </c>
      <c r="E23" s="5">
        <v>10</v>
      </c>
      <c r="G23" s="5">
        <f t="shared" si="65"/>
        <v>62.033042197200864</v>
      </c>
      <c r="H23" s="5">
        <f t="shared" si="65"/>
        <v>0.42618120593496778</v>
      </c>
      <c r="I23" s="5">
        <f t="shared" si="65"/>
        <v>15.484583815637166</v>
      </c>
      <c r="J23" s="5">
        <f t="shared" si="65"/>
        <v>4.261812059349678</v>
      </c>
      <c r="K23" s="5">
        <f t="shared" si="65"/>
        <v>1.9983163211617376</v>
      </c>
      <c r="L23" s="5">
        <f t="shared" si="43"/>
        <v>10</v>
      </c>
      <c r="M23" s="5">
        <f t="shared" si="2"/>
        <v>4.2144585920235702</v>
      </c>
      <c r="N23" s="5">
        <f t="shared" si="2"/>
        <v>1.5816058086919913</v>
      </c>
      <c r="O23" s="1">
        <f t="shared" si="3"/>
        <v>99.999999999999986</v>
      </c>
      <c r="P23" s="4">
        <f t="shared" si="44"/>
        <v>1</v>
      </c>
      <c r="Q23" s="5">
        <f t="shared" si="45"/>
        <v>5</v>
      </c>
      <c r="R23" s="25">
        <f t="shared" si="46"/>
        <v>4004.9</v>
      </c>
      <c r="T23" s="39">
        <f t="shared" si="47"/>
        <v>1.0324386225484465</v>
      </c>
      <c r="U23" s="39">
        <f t="shared" si="48"/>
        <v>5.3352679761513241E-3</v>
      </c>
      <c r="V23" s="39">
        <f t="shared" si="49"/>
        <v>0.15186920180107069</v>
      </c>
      <c r="W23" s="39">
        <f t="shared" si="4"/>
        <v>5.931871028797258E-2</v>
      </c>
      <c r="X23" s="39">
        <f t="shared" si="5"/>
        <v>4.9586012932053045E-2</v>
      </c>
      <c r="Y23" s="39">
        <f t="shared" si="6"/>
        <v>0.1783249580044724</v>
      </c>
      <c r="Z23" s="39">
        <f t="shared" si="7"/>
        <v>6.79970731207417E-2</v>
      </c>
      <c r="AA23" s="39">
        <f t="shared" si="8"/>
        <v>1.6789870580594387E-2</v>
      </c>
      <c r="AB23" s="39">
        <f t="shared" si="50"/>
        <v>1.248969600079934E-2</v>
      </c>
      <c r="AC23" s="39">
        <f t="shared" si="51"/>
        <v>1.5741494132523024</v>
      </c>
      <c r="AD23" s="39"/>
      <c r="AE23" s="39">
        <f t="shared" si="9"/>
        <v>0.65587079209676569</v>
      </c>
      <c r="AF23" s="39">
        <f t="shared" si="10"/>
        <v>3.3893021407213745E-3</v>
      </c>
      <c r="AG23" s="39">
        <f t="shared" si="11"/>
        <v>9.6476992922354385E-2</v>
      </c>
      <c r="AH23" s="39">
        <f t="shared" si="12"/>
        <v>3.7683024107232607E-2</v>
      </c>
      <c r="AI23" s="39">
        <f t="shared" si="13"/>
        <v>3.1500194654079806E-2</v>
      </c>
      <c r="AJ23" s="39">
        <f t="shared" si="14"/>
        <v>0.11328337482020885</v>
      </c>
      <c r="AK23" s="39">
        <f t="shared" si="15"/>
        <v>4.3196073097187773E-2</v>
      </c>
      <c r="AL23" s="39">
        <f t="shared" si="16"/>
        <v>1.0665995514304671E-2</v>
      </c>
      <c r="AM23" s="39">
        <f t="shared" si="17"/>
        <v>7.9342506471445796E-3</v>
      </c>
      <c r="AN23" s="39">
        <f t="shared" si="18"/>
        <v>0.99999999999999978</v>
      </c>
      <c r="AO23" s="39"/>
      <c r="AP23" s="39">
        <f t="shared" si="19"/>
        <v>1.0324386225484465</v>
      </c>
      <c r="AQ23" s="39">
        <f t="shared" si="20"/>
        <v>5.3352679761513241E-3</v>
      </c>
      <c r="AR23" s="39">
        <f t="shared" si="21"/>
        <v>0.30373840360214138</v>
      </c>
      <c r="AS23" s="39">
        <f t="shared" si="22"/>
        <v>5.931871028797258E-2</v>
      </c>
      <c r="AT23" s="39">
        <f t="shared" si="23"/>
        <v>4.9586012932053045E-2</v>
      </c>
      <c r="AU23" s="39">
        <f t="shared" si="24"/>
        <v>0.1783249580044724</v>
      </c>
      <c r="AV23" s="39">
        <f t="shared" si="25"/>
        <v>0.1359941462414834</v>
      </c>
      <c r="AW23" s="39">
        <f t="shared" si="26"/>
        <v>3.3579741161188774E-2</v>
      </c>
      <c r="AX23" s="39">
        <f t="shared" si="27"/>
        <v>1.7983158627539093</v>
      </c>
      <c r="AY23" s="39"/>
      <c r="AZ23" s="39">
        <f t="shared" si="28"/>
        <v>0.57411417200501591</v>
      </c>
      <c r="BA23" s="39">
        <f t="shared" si="29"/>
        <v>2.966813609696457E-3</v>
      </c>
      <c r="BB23" s="39">
        <f t="shared" si="30"/>
        <v>0.1689015872534215</v>
      </c>
      <c r="BC23" s="39">
        <f t="shared" si="31"/>
        <v>3.2985701520272949E-2</v>
      </c>
      <c r="BD23" s="39">
        <f t="shared" si="32"/>
        <v>2.7573583684079778E-2</v>
      </c>
      <c r="BE23" s="39">
        <f t="shared" si="33"/>
        <v>9.9162200422004118E-2</v>
      </c>
      <c r="BF23" s="39">
        <f t="shared" si="34"/>
        <v>7.5623058806379179E-2</v>
      </c>
      <c r="BG23" s="39">
        <f t="shared" si="35"/>
        <v>1.8672882699130144E-2</v>
      </c>
      <c r="BH23" s="39">
        <f t="shared" si="36"/>
        <v>1</v>
      </c>
      <c r="BJ23" s="38">
        <f t="shared" si="52"/>
        <v>8.988186899779641E-4</v>
      </c>
      <c r="BK23" s="5"/>
      <c r="BL23" s="5">
        <f t="shared" si="37"/>
        <v>-7.0144292235012937</v>
      </c>
      <c r="BM23" s="5">
        <f t="shared" si="53"/>
        <v>-3.4654159743769259</v>
      </c>
      <c r="BN23" s="4">
        <f t="shared" si="54"/>
        <v>0.32820783542363163</v>
      </c>
      <c r="BO23" s="1"/>
      <c r="BQ23" s="3">
        <f t="shared" si="55"/>
        <v>0.40048</v>
      </c>
      <c r="BR23" s="5">
        <f t="shared" si="56"/>
        <v>10</v>
      </c>
      <c r="BS23" s="3">
        <f t="shared" si="57"/>
        <v>0.11328337482020885</v>
      </c>
      <c r="BT23" s="3">
        <f t="shared" si="58"/>
        <v>0.27594516328878699</v>
      </c>
      <c r="BU23" s="3">
        <f t="shared" si="64"/>
        <v>34.778982358982525</v>
      </c>
      <c r="BV23" s="4">
        <f t="shared" si="59"/>
        <v>13.928286855125322</v>
      </c>
      <c r="BW23" s="4">
        <f t="shared" si="60"/>
        <v>24.345287651287766</v>
      </c>
      <c r="BX23" s="4">
        <f t="shared" si="38"/>
        <v>8.6947455897456312</v>
      </c>
      <c r="BY23" s="4">
        <f t="shared" si="38"/>
        <v>17.389491179491262</v>
      </c>
      <c r="BZ23" s="4">
        <f t="shared" si="38"/>
        <v>34.778982358982525</v>
      </c>
      <c r="CA23" s="4">
        <f t="shared" si="39"/>
        <v>0.35714285714285715</v>
      </c>
      <c r="CB23" s="4">
        <f t="shared" si="39"/>
        <v>0.7142857142857143</v>
      </c>
      <c r="CC23" s="4">
        <f t="shared" si="39"/>
        <v>1.4285714285714286</v>
      </c>
      <c r="CD23" s="40">
        <f t="shared" si="61"/>
        <v>0.73684210526315796</v>
      </c>
      <c r="CE23" s="41">
        <f t="shared" si="61"/>
        <v>0.58333333333333337</v>
      </c>
      <c r="CF23" s="42">
        <f t="shared" si="61"/>
        <v>0.41176470588235303</v>
      </c>
      <c r="CG23" s="40">
        <f t="shared" si="62"/>
        <v>0.26315789473684209</v>
      </c>
      <c r="CH23" s="41">
        <f t="shared" si="62"/>
        <v>0.41666666666666663</v>
      </c>
      <c r="CI23" s="42">
        <f t="shared" si="62"/>
        <v>0.58823529411764697</v>
      </c>
      <c r="CJ23" s="40">
        <f t="shared" si="63"/>
        <v>0</v>
      </c>
      <c r="CK23" s="41">
        <f t="shared" si="63"/>
        <v>0</v>
      </c>
      <c r="CL23" s="42">
        <f t="shared" si="63"/>
        <v>0</v>
      </c>
      <c r="CM23" s="4"/>
      <c r="CN23" s="4"/>
      <c r="CO23" s="4"/>
      <c r="CP23" s="4"/>
      <c r="CQ23" s="4"/>
      <c r="CR23" s="4"/>
      <c r="CS23" s="4"/>
      <c r="CT23" s="32"/>
      <c r="CU23" s="32"/>
      <c r="CV23" s="32"/>
      <c r="CW23" s="5"/>
    </row>
    <row r="24" spans="2:101">
      <c r="O24" s="1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J24" s="5"/>
      <c r="BK24" s="5"/>
      <c r="BL24" s="5"/>
      <c r="BM24" s="5"/>
      <c r="BN24" s="4"/>
    </row>
    <row r="25" spans="2:101">
      <c r="B25" s="46" t="s">
        <v>156</v>
      </c>
      <c r="C25" s="51">
        <v>5</v>
      </c>
      <c r="D25" s="34"/>
      <c r="O25" s="1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J25" s="5"/>
      <c r="BK25" s="5"/>
      <c r="BL25" s="5"/>
      <c r="BM25" s="5"/>
      <c r="BN25" s="4"/>
    </row>
    <row r="26" spans="2:101">
      <c r="B26" s="46" t="s">
        <v>146</v>
      </c>
      <c r="C26" s="51">
        <v>1</v>
      </c>
      <c r="D26" s="34"/>
      <c r="E26" s="28"/>
      <c r="F26" s="28"/>
      <c r="G26" s="31"/>
      <c r="H26" s="31"/>
      <c r="I26" s="31"/>
      <c r="J26" s="31"/>
      <c r="K26" s="31"/>
      <c r="L26" s="31"/>
      <c r="M26" s="31"/>
      <c r="N26" s="31"/>
      <c r="O26" s="28"/>
      <c r="P26" s="28"/>
      <c r="Q26" s="28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J26" s="5"/>
      <c r="BK26" s="5"/>
      <c r="BL26" s="5"/>
      <c r="BM26" s="5"/>
      <c r="BN26" s="4"/>
      <c r="CF26" s="6"/>
    </row>
    <row r="27" spans="2:101">
      <c r="B27" s="46" t="s">
        <v>147</v>
      </c>
      <c r="C27" s="51">
        <v>0.01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J27" s="5"/>
      <c r="BK27" s="5"/>
      <c r="BL27" s="5"/>
      <c r="BM27" s="5"/>
      <c r="BN27" s="4"/>
      <c r="BR27" s="5"/>
    </row>
    <row r="28" spans="2:101">
      <c r="B28" s="46" t="s">
        <v>148</v>
      </c>
      <c r="C28" s="51">
        <v>0.7</v>
      </c>
      <c r="D28" s="5"/>
      <c r="BO28" s="26"/>
      <c r="BR28" s="5"/>
    </row>
    <row r="29" spans="2:101">
      <c r="B29" s="33"/>
      <c r="C29" s="31"/>
      <c r="D29" s="5"/>
      <c r="BO29" s="26"/>
      <c r="BR29" s="5"/>
    </row>
    <row r="30" spans="2:101">
      <c r="B30" s="52" t="s">
        <v>166</v>
      </c>
      <c r="C30" s="53"/>
      <c r="D30" s="1"/>
      <c r="BQ30" s="34"/>
      <c r="BR30" s="5"/>
    </row>
    <row r="31" spans="2:101">
      <c r="B31" s="54">
        <v>8.9499999999999993</v>
      </c>
      <c r="C31" s="55" t="s">
        <v>4</v>
      </c>
      <c r="D31" s="35"/>
      <c r="G31" s="5"/>
      <c r="H31" s="5"/>
      <c r="I31" s="5"/>
      <c r="J31" s="5"/>
      <c r="K31" s="5"/>
      <c r="L31" s="5"/>
      <c r="M31" s="5"/>
      <c r="N31" s="5"/>
      <c r="O31" s="5"/>
      <c r="P31" s="5"/>
      <c r="BR31" s="5"/>
    </row>
    <row r="32" spans="2:101">
      <c r="B32" s="56">
        <v>-146.5</v>
      </c>
      <c r="C32" s="55" t="s">
        <v>5</v>
      </c>
      <c r="D32" s="35"/>
      <c r="G32" s="5"/>
      <c r="H32" s="5"/>
      <c r="I32" s="5"/>
      <c r="J32" s="5"/>
      <c r="K32" s="5"/>
      <c r="L32" s="5"/>
      <c r="M32" s="5"/>
      <c r="N32" s="5"/>
      <c r="O32" s="5"/>
      <c r="P32" s="5"/>
      <c r="BM32" s="5"/>
      <c r="BR32" s="5"/>
    </row>
    <row r="33" spans="2:70">
      <c r="B33" s="57">
        <v>-26960</v>
      </c>
      <c r="C33" s="55" t="s">
        <v>6</v>
      </c>
      <c r="D33" s="5"/>
      <c r="G33" s="5"/>
      <c r="H33" s="5"/>
      <c r="I33" s="5"/>
      <c r="J33" s="5"/>
      <c r="K33" s="5"/>
      <c r="L33" s="5"/>
      <c r="M33" s="5"/>
      <c r="N33" s="5"/>
      <c r="O33" s="5"/>
      <c r="P33" s="5"/>
      <c r="BM33" s="5"/>
      <c r="BO33" s="26"/>
      <c r="BR33" s="5"/>
    </row>
    <row r="34" spans="2:70">
      <c r="B34" s="57">
        <v>197200</v>
      </c>
      <c r="C34" s="55" t="s">
        <v>149</v>
      </c>
      <c r="G34" s="5"/>
      <c r="H34" s="5"/>
      <c r="I34" s="5"/>
      <c r="J34" s="5"/>
      <c r="K34" s="5"/>
      <c r="L34" s="5"/>
      <c r="M34" s="5"/>
      <c r="N34" s="5"/>
      <c r="O34" s="5"/>
      <c r="P34" s="5"/>
      <c r="V34" s="5"/>
      <c r="BM34" s="5"/>
      <c r="BO34" s="26"/>
      <c r="BR34" s="5"/>
    </row>
    <row r="35" spans="2:70">
      <c r="B35" s="58">
        <v>0.40899999999999997</v>
      </c>
      <c r="C35" s="55" t="s">
        <v>7</v>
      </c>
      <c r="G35" s="5"/>
      <c r="H35" s="5"/>
      <c r="I35" s="5"/>
      <c r="J35" s="5"/>
      <c r="K35" s="5"/>
      <c r="L35" s="5"/>
      <c r="M35" s="5"/>
      <c r="N35" s="5"/>
      <c r="O35" s="5"/>
      <c r="P35" s="5"/>
      <c r="V35" s="5"/>
      <c r="BM35" s="5"/>
      <c r="BO35" s="26"/>
      <c r="BR35" s="5"/>
    </row>
    <row r="36" spans="2:70">
      <c r="G36" s="5"/>
      <c r="H36" s="5"/>
      <c r="I36" s="5"/>
      <c r="J36" s="5"/>
      <c r="K36" s="5"/>
      <c r="L36" s="5"/>
      <c r="M36" s="5"/>
      <c r="N36" s="5"/>
      <c r="O36" s="5"/>
      <c r="P36" s="5"/>
      <c r="V36" s="5"/>
      <c r="BM36" s="5"/>
      <c r="BO36" s="26"/>
      <c r="BR36" s="5"/>
    </row>
    <row r="37" spans="2:70" ht="17.5">
      <c r="B37" s="64" t="s">
        <v>163</v>
      </c>
      <c r="C37" s="63">
        <v>25</v>
      </c>
      <c r="D37" s="4"/>
      <c r="G37" s="5"/>
      <c r="H37" s="5"/>
      <c r="I37" s="5"/>
      <c r="J37" s="5"/>
      <c r="K37" s="5"/>
      <c r="L37" s="5"/>
      <c r="M37" s="5"/>
      <c r="N37" s="5"/>
      <c r="O37" s="5"/>
      <c r="P37" s="5"/>
      <c r="V37" s="5"/>
      <c r="BM37" s="5"/>
      <c r="BO37" s="26"/>
      <c r="BR37" s="5"/>
    </row>
    <row r="38" spans="2:70" ht="17.5">
      <c r="B38" s="59" t="s">
        <v>164</v>
      </c>
      <c r="C38" s="61">
        <v>50</v>
      </c>
      <c r="D38" s="4"/>
      <c r="G38" s="5"/>
      <c r="H38" s="5"/>
      <c r="I38" s="5"/>
      <c r="J38" s="5"/>
      <c r="K38" s="5"/>
      <c r="L38" s="5"/>
      <c r="M38" s="5"/>
      <c r="N38" s="5"/>
      <c r="O38" s="5"/>
      <c r="P38" s="5"/>
      <c r="V38" s="5"/>
      <c r="BM38" s="5"/>
      <c r="BO38" s="26"/>
      <c r="BR38" s="5"/>
    </row>
    <row r="39" spans="2:70" ht="17.5">
      <c r="B39" s="60" t="s">
        <v>165</v>
      </c>
      <c r="C39" s="62">
        <v>100</v>
      </c>
      <c r="D39" s="4"/>
      <c r="G39" s="5"/>
      <c r="H39" s="5"/>
      <c r="I39" s="5"/>
      <c r="J39" s="5"/>
      <c r="K39" s="5"/>
      <c r="L39" s="5"/>
      <c r="M39" s="5"/>
      <c r="N39" s="5"/>
      <c r="O39" s="5"/>
      <c r="P39" s="5"/>
      <c r="V39" s="5"/>
      <c r="BM39" s="5"/>
      <c r="BO39" s="26"/>
      <c r="BR39" s="5"/>
    </row>
    <row r="40" spans="2:70">
      <c r="B40" s="44"/>
      <c r="G40" s="5"/>
      <c r="H40" s="5"/>
      <c r="I40" s="5"/>
      <c r="J40" s="5"/>
      <c r="K40" s="5"/>
      <c r="L40" s="5"/>
      <c r="M40" s="5"/>
      <c r="N40" s="5"/>
      <c r="O40" s="5"/>
      <c r="P40" s="5"/>
      <c r="V40" s="5"/>
      <c r="BM40" s="5"/>
      <c r="BO40" s="26"/>
      <c r="BR40" s="5"/>
    </row>
    <row r="41" spans="2:70">
      <c r="B41" s="44"/>
      <c r="G41" s="5"/>
      <c r="H41" s="5"/>
      <c r="I41" s="5"/>
      <c r="J41" s="5"/>
      <c r="K41" s="5"/>
      <c r="L41" s="5"/>
      <c r="M41" s="5"/>
      <c r="N41" s="5"/>
      <c r="O41" s="5"/>
      <c r="P41" s="5"/>
      <c r="V41" s="5"/>
      <c r="BM41" s="5"/>
      <c r="BR41" s="5"/>
    </row>
    <row r="42" spans="2:70">
      <c r="B42" s="45"/>
      <c r="G42" s="5"/>
      <c r="H42" s="5"/>
      <c r="I42" s="5"/>
      <c r="J42" s="5"/>
      <c r="K42" s="5"/>
      <c r="L42" s="5"/>
      <c r="M42" s="5"/>
      <c r="N42" s="5"/>
      <c r="O42" s="5"/>
      <c r="P42" s="5"/>
      <c r="V42" s="5"/>
      <c r="BM42" s="5"/>
      <c r="BR42" s="5"/>
    </row>
    <row r="43" spans="2:70">
      <c r="B43" s="5"/>
      <c r="G43" s="5"/>
      <c r="H43" s="5"/>
      <c r="I43" s="5"/>
      <c r="J43" s="5"/>
      <c r="K43" s="5"/>
      <c r="L43" s="5"/>
      <c r="M43" s="5"/>
      <c r="N43" s="5"/>
      <c r="O43" s="5"/>
      <c r="P43" s="5"/>
      <c r="V43" s="5"/>
      <c r="BM43" s="5"/>
      <c r="BR43" s="5"/>
    </row>
    <row r="44" spans="2:70">
      <c r="B44" s="1"/>
      <c r="G44" s="5"/>
      <c r="H44" s="5"/>
      <c r="I44" s="5"/>
      <c r="J44" s="5"/>
      <c r="K44" s="5"/>
      <c r="L44" s="5"/>
      <c r="M44" s="5"/>
      <c r="N44" s="5"/>
      <c r="O44" s="5"/>
      <c r="P44" s="5"/>
      <c r="V44" s="5"/>
      <c r="BM44" s="5"/>
      <c r="BR44" s="5"/>
    </row>
    <row r="45" spans="2:70">
      <c r="B45" s="35"/>
      <c r="G45" s="5"/>
      <c r="H45" s="5"/>
      <c r="I45" s="5"/>
      <c r="J45" s="5"/>
      <c r="K45" s="5"/>
      <c r="L45" s="5"/>
      <c r="M45" s="5"/>
      <c r="N45" s="5"/>
      <c r="O45" s="5"/>
      <c r="P45" s="5"/>
      <c r="BM45" s="5"/>
      <c r="BR45" s="5"/>
    </row>
    <row r="46" spans="2:70">
      <c r="B46" s="35"/>
      <c r="G46" s="5"/>
      <c r="H46" s="5"/>
      <c r="I46" s="5"/>
      <c r="J46" s="5"/>
      <c r="K46" s="5"/>
      <c r="L46" s="5"/>
      <c r="M46" s="5"/>
      <c r="N46" s="5"/>
      <c r="O46" s="5"/>
      <c r="P46" s="5"/>
      <c r="BM46" s="5"/>
      <c r="BR46" s="5"/>
    </row>
    <row r="47" spans="2:70">
      <c r="B47" s="5"/>
      <c r="G47" s="5"/>
      <c r="H47" s="5"/>
      <c r="I47" s="5"/>
      <c r="J47" s="5"/>
      <c r="K47" s="5"/>
      <c r="L47" s="5"/>
      <c r="M47" s="5"/>
      <c r="N47" s="5"/>
      <c r="O47" s="5"/>
      <c r="P47" s="5"/>
      <c r="BM47" s="5"/>
      <c r="BR47" s="5"/>
    </row>
    <row r="48" spans="2:70">
      <c r="G48" s="5"/>
      <c r="H48" s="5"/>
      <c r="I48" s="5"/>
      <c r="J48" s="5"/>
      <c r="K48" s="5"/>
      <c r="L48" s="5"/>
      <c r="M48" s="5"/>
      <c r="N48" s="5"/>
      <c r="O48" s="5"/>
      <c r="P48" s="5"/>
      <c r="BM48" s="5"/>
    </row>
    <row r="49" spans="65:90">
      <c r="BM49" s="5"/>
    </row>
    <row r="50" spans="65:90">
      <c r="BM50" s="5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</row>
    <row r="51" spans="65:90">
      <c r="BM51" s="5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</row>
    <row r="52" spans="65:90"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</row>
    <row r="53" spans="65:90"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</row>
    <row r="54" spans="65:90"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</row>
    <row r="55" spans="65:90"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</row>
    <row r="56" spans="65:90"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</row>
    <row r="57" spans="65:90"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</row>
    <row r="58" spans="65:90"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</row>
    <row r="59" spans="65:90"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</row>
    <row r="60" spans="65:90"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</row>
    <row r="61" spans="65:90"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</row>
    <row r="62" spans="65:90"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</row>
    <row r="63" spans="65:90"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</row>
    <row r="64" spans="65:90"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</row>
    <row r="65" spans="73:90"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</row>
    <row r="66" spans="73:90"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</row>
    <row r="67" spans="73:90"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</row>
    <row r="68" spans="73:90"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</row>
    <row r="69" spans="73:90"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</row>
  </sheetData>
  <pageMargins left="0.75000000000000011" right="0.75000000000000011" top="1" bottom="1" header="0.5" footer="0.5"/>
  <pageSetup paperSize="9" scale="3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0"/>
  <sheetViews>
    <sheetView zoomScale="57" workbookViewId="0">
      <pane ySplit="1" topLeftCell="A2" activePane="bottomLeft" state="frozen"/>
      <selection pane="bottomLeft" activeCell="T3" sqref="T3"/>
    </sheetView>
  </sheetViews>
  <sheetFormatPr defaultColWidth="10.83203125" defaultRowHeight="15.5"/>
  <cols>
    <col min="1" max="1" width="11.33203125" style="6" customWidth="1"/>
    <col min="2" max="3" width="8.1640625" style="6" customWidth="1"/>
    <col min="4" max="4" width="10.33203125" style="6" customWidth="1"/>
    <col min="5" max="5" width="29.1640625" style="10" customWidth="1"/>
    <col min="6" max="13" width="6.33203125" style="11" customWidth="1"/>
    <col min="14" max="14" width="6.33203125" style="18" customWidth="1"/>
    <col min="15" max="15" width="7" style="22" customWidth="1"/>
    <col min="16" max="17" width="8.6640625" style="11" customWidth="1"/>
    <col min="18" max="18" width="3.83203125" style="11" customWidth="1"/>
    <col min="19" max="20" width="7.83203125" style="11" customWidth="1"/>
    <col min="21" max="21" width="7.83203125" style="22" customWidth="1"/>
    <col min="22" max="22" width="8.5" style="18" customWidth="1"/>
    <col min="23" max="16384" width="10.83203125" style="11"/>
  </cols>
  <sheetData>
    <row r="1" spans="1:22" s="7" customFormat="1" ht="25" customHeight="1">
      <c r="A1" s="7" t="s">
        <v>8</v>
      </c>
      <c r="B1" s="7" t="s">
        <v>157</v>
      </c>
      <c r="C1" s="7" t="s">
        <v>158</v>
      </c>
      <c r="D1" s="7" t="s">
        <v>151</v>
      </c>
      <c r="E1" s="9" t="s">
        <v>150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8" t="s">
        <v>11</v>
      </c>
      <c r="O1" s="21" t="s">
        <v>20</v>
      </c>
      <c r="P1" s="43" t="s">
        <v>161</v>
      </c>
      <c r="Q1" s="43" t="s">
        <v>162</v>
      </c>
      <c r="R1" s="19"/>
      <c r="S1" s="7" t="s">
        <v>22</v>
      </c>
      <c r="T1" s="7" t="s">
        <v>23</v>
      </c>
      <c r="U1" s="21" t="s">
        <v>24</v>
      </c>
      <c r="V1" s="8" t="s">
        <v>31</v>
      </c>
    </row>
    <row r="2" spans="1:22" s="6" customFormat="1" ht="28" customHeight="1">
      <c r="B2" s="13" t="s">
        <v>154</v>
      </c>
      <c r="E2" s="10"/>
      <c r="F2" s="7"/>
      <c r="G2" s="7"/>
      <c r="H2" s="7"/>
      <c r="I2" s="7"/>
      <c r="J2" s="7"/>
      <c r="K2" s="7"/>
      <c r="L2" s="7"/>
      <c r="M2" s="7"/>
      <c r="N2" s="8"/>
      <c r="O2" s="21"/>
      <c r="P2" s="7"/>
      <c r="Q2" s="7"/>
      <c r="R2" s="19"/>
      <c r="U2" s="16"/>
      <c r="V2" s="15"/>
    </row>
    <row r="3" spans="1:22" s="6" customFormat="1" ht="13" customHeight="1">
      <c r="A3" s="6" t="s">
        <v>32</v>
      </c>
      <c r="B3" s="6">
        <v>850</v>
      </c>
      <c r="C3" s="6">
        <v>2000</v>
      </c>
      <c r="D3" s="6" t="s">
        <v>33</v>
      </c>
      <c r="E3" s="12" t="s">
        <v>152</v>
      </c>
      <c r="F3" s="14">
        <v>65.798294910669469</v>
      </c>
      <c r="G3" s="14">
        <v>0.46582676225391306</v>
      </c>
      <c r="H3" s="14">
        <v>18.936878744470498</v>
      </c>
      <c r="I3" s="14">
        <v>1.6260611071359012</v>
      </c>
      <c r="J3" s="14">
        <v>0.24950020121869182</v>
      </c>
      <c r="K3" s="14">
        <v>1.6961547764276441</v>
      </c>
      <c r="L3" s="14">
        <v>5.0178302427813977</v>
      </c>
      <c r="M3" s="14">
        <v>6.0557348285960497</v>
      </c>
      <c r="N3" s="15">
        <v>0.10564579802616089</v>
      </c>
      <c r="O3" s="16">
        <f>SUM(F3:N3)</f>
        <v>99.951927371579728</v>
      </c>
      <c r="P3" s="14">
        <v>8.5438428571428489</v>
      </c>
      <c r="Q3" s="14">
        <f>P3*0.91-0.45</f>
        <v>7.3248969999999929</v>
      </c>
      <c r="R3" s="20"/>
      <c r="S3" s="23">
        <v>423.10085651497178</v>
      </c>
      <c r="T3" s="14">
        <v>-1.7192995154063249</v>
      </c>
      <c r="U3" s="16">
        <v>-10.929520536345752</v>
      </c>
      <c r="V3" s="15">
        <v>2.5246808447943209E-2</v>
      </c>
    </row>
    <row r="4" spans="1:22" s="6" customFormat="1" ht="13" customHeight="1">
      <c r="A4" s="6" t="s">
        <v>34</v>
      </c>
      <c r="B4" s="6">
        <v>900</v>
      </c>
      <c r="C4" s="6">
        <v>2020</v>
      </c>
      <c r="D4" s="6" t="s">
        <v>33</v>
      </c>
      <c r="E4" s="12" t="s">
        <v>152</v>
      </c>
      <c r="F4" s="14">
        <v>63.915131774819905</v>
      </c>
      <c r="G4" s="14">
        <v>0.43452801093347987</v>
      </c>
      <c r="H4" s="14">
        <v>19.612935293297049</v>
      </c>
      <c r="I4" s="14">
        <v>1.7137672019149963</v>
      </c>
      <c r="J4" s="14">
        <v>0.79610471472956668</v>
      </c>
      <c r="K4" s="14">
        <v>2.7595424882428441</v>
      </c>
      <c r="L4" s="14">
        <v>5.6930327376363934</v>
      </c>
      <c r="M4" s="14">
        <v>4.8701917981675535</v>
      </c>
      <c r="N4" s="15">
        <v>0.22741742356133132</v>
      </c>
      <c r="O4" s="16">
        <f>SUM(F4:N4)</f>
        <v>100.0226514433031</v>
      </c>
      <c r="P4" s="14">
        <v>6.8095571428571366</v>
      </c>
      <c r="Q4" s="14">
        <f t="shared" ref="Q4:Q67" si="0">P4*0.91-0.45</f>
        <v>5.7466969999999939</v>
      </c>
      <c r="R4" s="20"/>
      <c r="S4" s="23">
        <v>910.78403962077584</v>
      </c>
      <c r="T4" s="14">
        <v>-0.46590317897959427</v>
      </c>
      <c r="U4" s="16">
        <v>-9.6874476988070626</v>
      </c>
      <c r="V4" s="15">
        <v>6.0541814649075737E-2</v>
      </c>
    </row>
    <row r="5" spans="1:22" s="6" customFormat="1" ht="13" customHeight="1">
      <c r="A5" s="6" t="s">
        <v>35</v>
      </c>
      <c r="B5" s="6">
        <v>900</v>
      </c>
      <c r="C5" s="6">
        <v>2020</v>
      </c>
      <c r="D5" s="6" t="s">
        <v>33</v>
      </c>
      <c r="E5" s="12" t="s">
        <v>152</v>
      </c>
      <c r="F5" s="14">
        <v>63.870341555789672</v>
      </c>
      <c r="G5" s="14">
        <v>0.47799002413357927</v>
      </c>
      <c r="H5" s="14">
        <v>19.56160176264753</v>
      </c>
      <c r="I5" s="14">
        <v>1.8341621338662304</v>
      </c>
      <c r="J5" s="14">
        <v>0.65165145520015588</v>
      </c>
      <c r="K5" s="14">
        <v>2.9971399469559947</v>
      </c>
      <c r="L5" s="14">
        <v>5.6104740979928422</v>
      </c>
      <c r="M5" s="14">
        <v>4.7988592336125357</v>
      </c>
      <c r="N5" s="15">
        <v>0.20741901162885204</v>
      </c>
      <c r="O5" s="16">
        <f>SUM(F5:N5)</f>
        <v>100.0096392218274</v>
      </c>
      <c r="P5" s="14">
        <v>7.480483333333332</v>
      </c>
      <c r="Q5" s="14">
        <f t="shared" si="0"/>
        <v>6.357239833333332</v>
      </c>
      <c r="R5" s="20"/>
      <c r="S5" s="23">
        <v>830.69239967238957</v>
      </c>
      <c r="T5" s="14">
        <v>-0.47535583797815656</v>
      </c>
      <c r="U5" s="16">
        <v>-9.6959464442406329</v>
      </c>
      <c r="V5" s="15">
        <v>6.1614319738689749E-2</v>
      </c>
    </row>
    <row r="6" spans="1:22" s="6" customFormat="1" ht="13" customHeight="1">
      <c r="A6" s="6" t="s">
        <v>36</v>
      </c>
      <c r="B6" s="6">
        <v>950</v>
      </c>
      <c r="C6" s="6">
        <v>1950</v>
      </c>
      <c r="D6" s="6" t="s">
        <v>33</v>
      </c>
      <c r="E6" s="12" t="s">
        <v>152</v>
      </c>
      <c r="F6" s="14">
        <v>60.192120319314832</v>
      </c>
      <c r="G6" s="14">
        <v>0.88099822073443324</v>
      </c>
      <c r="H6" s="14">
        <v>19.128214334185571</v>
      </c>
      <c r="I6" s="14">
        <v>3.3158345857411429</v>
      </c>
      <c r="J6" s="14">
        <v>1.4744584171780868</v>
      </c>
      <c r="K6" s="14">
        <v>5.2321123001510106</v>
      </c>
      <c r="L6" s="14">
        <v>5.5993036070052202</v>
      </c>
      <c r="M6" s="14">
        <v>3.7021105610307794</v>
      </c>
      <c r="N6" s="15">
        <v>0.46414605858385971</v>
      </c>
      <c r="O6" s="16">
        <f>SUM(F6:N6)</f>
        <v>99.989298403924948</v>
      </c>
      <c r="P6" s="14">
        <v>8.6233625000000025</v>
      </c>
      <c r="Q6" s="14">
        <f t="shared" si="0"/>
        <v>7.3972598750000023</v>
      </c>
      <c r="R6" s="20"/>
      <c r="S6" s="23">
        <v>1858.8585500224999</v>
      </c>
      <c r="T6" s="14">
        <v>0.88725908316225854</v>
      </c>
      <c r="U6" s="16">
        <v>-8.3490756530800461</v>
      </c>
      <c r="V6" s="15">
        <v>0.17013444362425595</v>
      </c>
    </row>
    <row r="7" spans="1:22" s="6" customFormat="1" ht="13" customHeight="1">
      <c r="A7" s="6" t="s">
        <v>37</v>
      </c>
      <c r="B7" s="6">
        <v>1000</v>
      </c>
      <c r="C7" s="6">
        <v>1990</v>
      </c>
      <c r="D7" s="6" t="s">
        <v>33</v>
      </c>
      <c r="E7" s="12" t="s">
        <v>152</v>
      </c>
      <c r="F7" s="14">
        <v>56.494103924602861</v>
      </c>
      <c r="G7" s="14">
        <v>0.90545120621000275</v>
      </c>
      <c r="H7" s="14">
        <v>19.446544279551564</v>
      </c>
      <c r="I7" s="14">
        <v>4.4355994911059691</v>
      </c>
      <c r="J7" s="14">
        <v>2.3818354793283052</v>
      </c>
      <c r="K7" s="14">
        <v>7.6527286144633324</v>
      </c>
      <c r="L7" s="14">
        <v>4.9006287626955558</v>
      </c>
      <c r="M7" s="14">
        <v>2.9798508655492704</v>
      </c>
      <c r="N7" s="15">
        <v>0.69603888888888887</v>
      </c>
      <c r="O7" s="16">
        <v>100</v>
      </c>
      <c r="P7" s="14">
        <v>7.989091666666666</v>
      </c>
      <c r="Q7" s="14">
        <f t="shared" si="0"/>
        <v>6.8200734166666663</v>
      </c>
      <c r="R7" s="20"/>
      <c r="S7" s="23">
        <v>2787.5661461111113</v>
      </c>
      <c r="T7" s="14">
        <v>1.6727125205035673</v>
      </c>
      <c r="U7" s="16">
        <v>-7.572997563002132</v>
      </c>
      <c r="V7" s="15">
        <v>0.26598033016819139</v>
      </c>
    </row>
    <row r="8" spans="1:22" s="6" customFormat="1" ht="13" customHeight="1">
      <c r="A8" s="6" t="s">
        <v>38</v>
      </c>
      <c r="B8" s="6">
        <v>850</v>
      </c>
      <c r="C8" s="6">
        <v>2000</v>
      </c>
      <c r="D8" s="6" t="s">
        <v>39</v>
      </c>
      <c r="E8" s="12" t="s">
        <v>152</v>
      </c>
      <c r="F8" s="14">
        <v>64.709999999999994</v>
      </c>
      <c r="G8" s="14">
        <v>0.67</v>
      </c>
      <c r="H8" s="14">
        <v>19.510000000000002</v>
      </c>
      <c r="I8" s="14">
        <v>1.64</v>
      </c>
      <c r="J8" s="14">
        <v>0.48</v>
      </c>
      <c r="K8" s="14">
        <v>2.2799999999999998</v>
      </c>
      <c r="L8" s="14">
        <v>4.8099999999999996</v>
      </c>
      <c r="M8" s="14">
        <v>5.76</v>
      </c>
      <c r="N8" s="15">
        <v>0.12998565006583387</v>
      </c>
      <c r="O8" s="16">
        <f t="shared" ref="O8:O33" si="1">SUM(F8:N8)</f>
        <v>99.989985650065847</v>
      </c>
      <c r="P8" s="14">
        <v>8.817499999999999</v>
      </c>
      <c r="Q8" s="14">
        <f t="shared" si="0"/>
        <v>7.573925</v>
      </c>
      <c r="R8" s="20"/>
      <c r="S8" s="23">
        <v>520.57952994865809</v>
      </c>
      <c r="T8" s="14">
        <v>-1.2161557757619497</v>
      </c>
      <c r="U8" s="16">
        <v>-10.426645564847416</v>
      </c>
      <c r="V8" s="15">
        <v>3.1058261407909973E-2</v>
      </c>
    </row>
    <row r="9" spans="1:22" s="6" customFormat="1" ht="13" customHeight="1">
      <c r="A9" s="6" t="s">
        <v>40</v>
      </c>
      <c r="B9" s="6">
        <v>850</v>
      </c>
      <c r="C9" s="6">
        <v>2000</v>
      </c>
      <c r="D9" s="6" t="s">
        <v>39</v>
      </c>
      <c r="E9" s="12" t="s">
        <v>152</v>
      </c>
      <c r="F9" s="14">
        <v>65.21848974684174</v>
      </c>
      <c r="G9" s="14">
        <v>0.61494413300994732</v>
      </c>
      <c r="H9" s="14">
        <v>19.560685070938913</v>
      </c>
      <c r="I9" s="14">
        <v>1.4504895415402896</v>
      </c>
      <c r="J9" s="14">
        <v>0.43449873480355633</v>
      </c>
      <c r="K9" s="14">
        <v>2.4922409841859605</v>
      </c>
      <c r="L9" s="14">
        <v>4.6963508638640343</v>
      </c>
      <c r="M9" s="14">
        <v>5.3932859862996541</v>
      </c>
      <c r="N9" s="15">
        <v>0.15651634186083724</v>
      </c>
      <c r="O9" s="16">
        <f>SUM(F9:N9)</f>
        <v>100.01750140334494</v>
      </c>
      <c r="P9" s="14">
        <v>8.3014285714285716</v>
      </c>
      <c r="Q9" s="14">
        <f t="shared" si="0"/>
        <v>7.1043000000000003</v>
      </c>
      <c r="R9" s="20"/>
      <c r="S9" s="23">
        <v>626.83229751846704</v>
      </c>
      <c r="T9" s="14">
        <v>-0.94141255424324122</v>
      </c>
      <c r="U9" s="16">
        <v>-10.155776156956176</v>
      </c>
      <c r="V9" s="15">
        <v>2.2469900181234893E-2</v>
      </c>
    </row>
    <row r="10" spans="1:22" s="6" customFormat="1" ht="13" customHeight="1">
      <c r="A10" s="6" t="s">
        <v>41</v>
      </c>
      <c r="B10" s="6">
        <v>900</v>
      </c>
      <c r="C10" s="6">
        <v>2020</v>
      </c>
      <c r="D10" s="6" t="s">
        <v>39</v>
      </c>
      <c r="E10" s="12" t="s">
        <v>152</v>
      </c>
      <c r="F10" s="14">
        <v>62.809098670568822</v>
      </c>
      <c r="G10" s="14">
        <v>0.57880871232514131</v>
      </c>
      <c r="H10" s="14">
        <v>19.793667476321716</v>
      </c>
      <c r="I10" s="14">
        <v>1.9760757991490612</v>
      </c>
      <c r="J10" s="14">
        <v>0.71264998806978319</v>
      </c>
      <c r="K10" s="14">
        <v>3.525079619974802</v>
      </c>
      <c r="L10" s="14">
        <v>5.833065881881911</v>
      </c>
      <c r="M10" s="14">
        <v>4.504099487650981</v>
      </c>
      <c r="N10" s="15">
        <v>0.27992131913629764</v>
      </c>
      <c r="O10" s="16">
        <f t="shared" si="1"/>
        <v>100.01246695507851</v>
      </c>
      <c r="P10" s="14">
        <v>7.8016909090909108</v>
      </c>
      <c r="Q10" s="14">
        <f t="shared" si="0"/>
        <v>6.6495387272727289</v>
      </c>
      <c r="R10" s="20"/>
      <c r="S10" s="23">
        <v>1121.0568910089585</v>
      </c>
      <c r="T10" s="14">
        <v>-1.3343695150264706E-2</v>
      </c>
      <c r="U10" s="16">
        <v>-9.2341298269432848</v>
      </c>
      <c r="V10" s="15">
        <v>7.7513910477615952E-2</v>
      </c>
    </row>
    <row r="11" spans="1:22" s="6" customFormat="1" ht="13" customHeight="1">
      <c r="A11" s="6" t="s">
        <v>42</v>
      </c>
      <c r="B11" s="6">
        <v>900</v>
      </c>
      <c r="C11" s="6">
        <v>2020</v>
      </c>
      <c r="D11" s="6" t="s">
        <v>39</v>
      </c>
      <c r="E11" s="12" t="s">
        <v>152</v>
      </c>
      <c r="F11" s="14">
        <v>63.983466055454734</v>
      </c>
      <c r="G11" s="14">
        <v>0.47980490615653798</v>
      </c>
      <c r="H11" s="14">
        <v>19.652165107389408</v>
      </c>
      <c r="I11" s="14">
        <v>1.8168698848875287</v>
      </c>
      <c r="J11" s="14">
        <v>0.81578701312077362</v>
      </c>
      <c r="K11" s="14">
        <v>2.7487930570272403</v>
      </c>
      <c r="L11" s="14">
        <v>5.3632224046749348</v>
      </c>
      <c r="M11" s="14">
        <v>4.9068882877990578</v>
      </c>
      <c r="N11" s="15">
        <v>0.2405767926912655</v>
      </c>
      <c r="O11" s="16">
        <f t="shared" si="1"/>
        <v>100.00757350920148</v>
      </c>
      <c r="P11" s="14">
        <v>6.9700500000000076</v>
      </c>
      <c r="Q11" s="14">
        <f t="shared" si="0"/>
        <v>5.8927455000000073</v>
      </c>
      <c r="R11" s="20"/>
      <c r="S11" s="23">
        <v>963.48599704924914</v>
      </c>
      <c r="T11" s="14">
        <v>-0.41355400908844703</v>
      </c>
      <c r="U11" s="16">
        <v>-9.6338365341732128</v>
      </c>
      <c r="V11" s="15">
        <v>5.551631053083108E-2</v>
      </c>
    </row>
    <row r="12" spans="1:22" s="6" customFormat="1" ht="13" customHeight="1">
      <c r="A12" s="6" t="s">
        <v>43</v>
      </c>
      <c r="B12" s="6">
        <v>950</v>
      </c>
      <c r="C12" s="6">
        <v>1700</v>
      </c>
      <c r="D12" s="6" t="s">
        <v>39</v>
      </c>
      <c r="E12" s="12" t="s">
        <v>152</v>
      </c>
      <c r="F12" s="14">
        <v>62.013375521571909</v>
      </c>
      <c r="G12" s="14">
        <v>0.64126700240179535</v>
      </c>
      <c r="H12" s="14">
        <v>19.287122897478572</v>
      </c>
      <c r="I12" s="14">
        <v>2.4599518594756922</v>
      </c>
      <c r="J12" s="14">
        <v>1.1549723264115741</v>
      </c>
      <c r="K12" s="14">
        <v>4.5795782392673985</v>
      </c>
      <c r="L12" s="14">
        <v>5.5064286155050821</v>
      </c>
      <c r="M12" s="14">
        <v>3.9862993031021055</v>
      </c>
      <c r="N12" s="15">
        <v>0.34715033190307371</v>
      </c>
      <c r="O12" s="16">
        <f>SUM(F12:N12)</f>
        <v>99.976146097117194</v>
      </c>
      <c r="P12" s="14">
        <v>7.1211714285714294</v>
      </c>
      <c r="Q12" s="14">
        <f t="shared" si="0"/>
        <v>6.030266000000001</v>
      </c>
      <c r="R12" s="20"/>
      <c r="S12" s="23">
        <v>1390.3023642386199</v>
      </c>
      <c r="T12" s="14">
        <v>0.46360954668598381</v>
      </c>
      <c r="U12" s="16">
        <v>-8.7693486333806216</v>
      </c>
      <c r="V12" s="15">
        <v>0.12204689076723391</v>
      </c>
    </row>
    <row r="13" spans="1:22" s="6" customFormat="1" ht="13" customHeight="1">
      <c r="A13" s="6" t="s">
        <v>44</v>
      </c>
      <c r="B13" s="6">
        <v>950</v>
      </c>
      <c r="C13" s="6">
        <v>1700</v>
      </c>
      <c r="D13" s="6" t="s">
        <v>39</v>
      </c>
      <c r="E13" s="12" t="s">
        <v>152</v>
      </c>
      <c r="F13" s="14">
        <v>62.020557582509106</v>
      </c>
      <c r="G13" s="14">
        <v>0.62853115289018713</v>
      </c>
      <c r="H13" s="14">
        <v>19.175323419034193</v>
      </c>
      <c r="I13" s="14">
        <v>2.3849054333801192</v>
      </c>
      <c r="J13" s="14">
        <v>1.2791085587298716</v>
      </c>
      <c r="K13" s="14">
        <v>4.579311271563177</v>
      </c>
      <c r="L13" s="14">
        <v>5.629781369478966</v>
      </c>
      <c r="M13" s="14">
        <v>3.9381308866942093</v>
      </c>
      <c r="N13" s="15">
        <v>0.37213869105905167</v>
      </c>
      <c r="O13" s="16">
        <f t="shared" si="1"/>
        <v>100.00778836533888</v>
      </c>
      <c r="P13" s="14">
        <v>7.7058875000000047</v>
      </c>
      <c r="Q13" s="14">
        <f t="shared" si="0"/>
        <v>6.5623576250000042</v>
      </c>
      <c r="R13" s="20"/>
      <c r="S13" s="23">
        <v>1490.3782438223961</v>
      </c>
      <c r="T13" s="14">
        <v>0.53305994066676521</v>
      </c>
      <c r="U13" s="16">
        <v>-8.7034535980493768</v>
      </c>
      <c r="V13" s="15">
        <v>0.12874440340407942</v>
      </c>
    </row>
    <row r="14" spans="1:22" s="6" customFormat="1" ht="13" customHeight="1">
      <c r="A14" s="6" t="s">
        <v>45</v>
      </c>
      <c r="B14" s="6">
        <v>950</v>
      </c>
      <c r="C14" s="6">
        <v>2020</v>
      </c>
      <c r="D14" s="6" t="s">
        <v>39</v>
      </c>
      <c r="E14" s="12" t="s">
        <v>152</v>
      </c>
      <c r="F14" s="14">
        <v>62.350278680845094</v>
      </c>
      <c r="G14" s="14">
        <v>0.49008133397990189</v>
      </c>
      <c r="H14" s="14">
        <v>19.709542721544238</v>
      </c>
      <c r="I14" s="14">
        <v>2.0948267972846586</v>
      </c>
      <c r="J14" s="14">
        <v>0.9743969989309762</v>
      </c>
      <c r="K14" s="14">
        <v>3.4174069627956745</v>
      </c>
      <c r="L14" s="14">
        <v>6.0830064923644125</v>
      </c>
      <c r="M14" s="14">
        <v>4.6006008514030947</v>
      </c>
      <c r="N14" s="15">
        <v>0.31969999999999998</v>
      </c>
      <c r="O14" s="16">
        <v>100</v>
      </c>
      <c r="P14" s="14">
        <v>6.1169166666666657</v>
      </c>
      <c r="Q14" s="14">
        <f t="shared" si="0"/>
        <v>5.1163941666666659</v>
      </c>
      <c r="R14" s="20"/>
      <c r="S14" s="23">
        <v>1280.36653</v>
      </c>
      <c r="T14" s="14">
        <v>8.8509842567728703E-2</v>
      </c>
      <c r="U14" s="16">
        <v>-9.1352196652098421</v>
      </c>
      <c r="V14" s="15">
        <v>9.5008642101732238E-2</v>
      </c>
    </row>
    <row r="15" spans="1:22" s="6" customFormat="1" ht="13" customHeight="1">
      <c r="A15" s="6" t="s">
        <v>46</v>
      </c>
      <c r="B15" s="6">
        <v>1000</v>
      </c>
      <c r="C15" s="6">
        <v>2000</v>
      </c>
      <c r="D15" s="6" t="s">
        <v>39</v>
      </c>
      <c r="E15" s="12" t="s">
        <v>152</v>
      </c>
      <c r="F15" s="14">
        <v>59.426735129287486</v>
      </c>
      <c r="G15" s="14">
        <v>0.70268913334482974</v>
      </c>
      <c r="H15" s="14">
        <v>19.133024249041764</v>
      </c>
      <c r="I15" s="14">
        <v>3.0432651667144492</v>
      </c>
      <c r="J15" s="14">
        <v>1.588317786129432</v>
      </c>
      <c r="K15" s="14">
        <v>6.3103175372308389</v>
      </c>
      <c r="L15" s="14">
        <v>5.6864185835274483</v>
      </c>
      <c r="M15" s="14">
        <v>3.5230452395165366</v>
      </c>
      <c r="N15" s="15">
        <v>0.52968499999999985</v>
      </c>
      <c r="O15" s="16">
        <v>100</v>
      </c>
      <c r="P15" s="14">
        <v>6.5600499999999995</v>
      </c>
      <c r="Q15" s="14">
        <f t="shared" si="0"/>
        <v>5.5196454999999993</v>
      </c>
      <c r="R15" s="20"/>
      <c r="S15" s="23">
        <v>2121.3354564999995</v>
      </c>
      <c r="T15" s="14">
        <v>1.206713209396054</v>
      </c>
      <c r="U15" s="16">
        <v>-8.0344547856442645</v>
      </c>
      <c r="V15" s="15">
        <v>0.19778090107785667</v>
      </c>
    </row>
    <row r="16" spans="1:22" s="6" customFormat="1" ht="13" customHeight="1">
      <c r="A16" s="6" t="s">
        <v>47</v>
      </c>
      <c r="B16" s="6">
        <v>850</v>
      </c>
      <c r="C16" s="6">
        <v>2000</v>
      </c>
      <c r="D16" s="6" t="s">
        <v>33</v>
      </c>
      <c r="E16" s="12" t="s">
        <v>152</v>
      </c>
      <c r="F16" s="14">
        <v>72.312516757696557</v>
      </c>
      <c r="G16" s="14">
        <v>0.37914377484694656</v>
      </c>
      <c r="H16" s="14">
        <v>16.442290676746616</v>
      </c>
      <c r="I16" s="14">
        <v>1.5551358449425461</v>
      </c>
      <c r="J16" s="14">
        <v>0.57089472508616546</v>
      </c>
      <c r="K16" s="14">
        <v>1.6993368803213613</v>
      </c>
      <c r="L16" s="14">
        <v>4.465743349754173</v>
      </c>
      <c r="M16" s="14">
        <v>2.4901779167855715</v>
      </c>
      <c r="N16" s="15">
        <v>6.5928916297907356E-2</v>
      </c>
      <c r="O16" s="16">
        <f>SUM(F16:N16)</f>
        <v>99.981168842477842</v>
      </c>
      <c r="P16" s="14">
        <v>9.6297285714285756</v>
      </c>
      <c r="Q16" s="14">
        <f t="shared" si="0"/>
        <v>8.3130530000000054</v>
      </c>
      <c r="R16" s="20"/>
      <c r="S16" s="23">
        <v>264.03871688148917</v>
      </c>
      <c r="T16" s="14">
        <v>-2.1889400385883269</v>
      </c>
      <c r="U16" s="16">
        <v>-11.455528965142493</v>
      </c>
      <c r="V16" s="15">
        <v>4.3626346931885255E-3</v>
      </c>
    </row>
    <row r="17" spans="1:22" s="6" customFormat="1" ht="13" customHeight="1">
      <c r="A17" s="6" t="s">
        <v>48</v>
      </c>
      <c r="B17" s="6">
        <v>850</v>
      </c>
      <c r="C17" s="6">
        <v>2000</v>
      </c>
      <c r="D17" s="6" t="s">
        <v>33</v>
      </c>
      <c r="E17" s="12" t="s">
        <v>152</v>
      </c>
      <c r="F17" s="14">
        <v>72.028859527654589</v>
      </c>
      <c r="G17" s="14">
        <v>0.394379856914158</v>
      </c>
      <c r="H17" s="14">
        <v>16.478144526041699</v>
      </c>
      <c r="I17" s="14">
        <v>1.5412141040667897</v>
      </c>
      <c r="J17" s="14">
        <v>0.68163646343215833</v>
      </c>
      <c r="K17" s="14">
        <v>1.7593026916333805</v>
      </c>
      <c r="L17" s="14">
        <v>4.6865747287238726</v>
      </c>
      <c r="M17" s="14">
        <v>2.3595473693134847</v>
      </c>
      <c r="N17" s="15">
        <v>6.8911690398194808E-2</v>
      </c>
      <c r="O17" s="16">
        <f>SUM(F17:N17)</f>
        <v>99.998570958178334</v>
      </c>
      <c r="P17" s="14">
        <v>7.861679999999998</v>
      </c>
      <c r="Q17" s="14">
        <f t="shared" si="0"/>
        <v>6.7041287999999986</v>
      </c>
      <c r="R17" s="20"/>
      <c r="S17" s="23">
        <v>275.98442887573043</v>
      </c>
      <c r="T17" s="14">
        <v>-2.1100119107856528</v>
      </c>
      <c r="U17" s="16">
        <v>-11.378760432286469</v>
      </c>
      <c r="V17" s="15">
        <v>1.1509366331246884E-2</v>
      </c>
    </row>
    <row r="18" spans="1:22" s="6" customFormat="1" ht="13" customHeight="1">
      <c r="A18" s="6" t="s">
        <v>49</v>
      </c>
      <c r="B18" s="6">
        <v>900</v>
      </c>
      <c r="C18" s="6">
        <v>2000</v>
      </c>
      <c r="D18" s="6" t="s">
        <v>33</v>
      </c>
      <c r="E18" s="12" t="s">
        <v>152</v>
      </c>
      <c r="F18" s="14">
        <v>67.841072968663966</v>
      </c>
      <c r="G18" s="14">
        <v>0.64890109949507768</v>
      </c>
      <c r="H18" s="14">
        <v>17.831084933684465</v>
      </c>
      <c r="I18" s="14">
        <v>2.0889784707807926</v>
      </c>
      <c r="J18" s="14">
        <v>1.3923622649160847</v>
      </c>
      <c r="K18" s="14">
        <v>2.6251417732160371</v>
      </c>
      <c r="L18" s="14">
        <v>5.3664303297494902</v>
      </c>
      <c r="M18" s="14">
        <v>1.9765309760283951</v>
      </c>
      <c r="N18" s="15">
        <v>0.17571638799322203</v>
      </c>
      <c r="O18" s="16">
        <f>SUM(F18:N18)</f>
        <v>99.946219204527537</v>
      </c>
      <c r="P18" s="14">
        <v>6.7353833333333384</v>
      </c>
      <c r="Q18" s="14">
        <f t="shared" si="0"/>
        <v>5.6791988333333379</v>
      </c>
      <c r="R18" s="20"/>
      <c r="S18" s="23">
        <v>703.72656227405491</v>
      </c>
      <c r="T18" s="14">
        <v>-0.77374911212412245</v>
      </c>
      <c r="U18" s="16">
        <v>-10.03688493719924</v>
      </c>
      <c r="V18" s="15">
        <v>5.7997484016409813E-2</v>
      </c>
    </row>
    <row r="19" spans="1:22" s="6" customFormat="1" ht="13" customHeight="1">
      <c r="A19" s="6" t="s">
        <v>50</v>
      </c>
      <c r="B19" s="6">
        <v>900</v>
      </c>
      <c r="C19" s="6">
        <v>2000</v>
      </c>
      <c r="D19" s="6" t="s">
        <v>33</v>
      </c>
      <c r="E19" s="12" t="s">
        <v>152</v>
      </c>
      <c r="F19" s="14">
        <v>68.196602614918547</v>
      </c>
      <c r="G19" s="14">
        <v>0.62125883472734389</v>
      </c>
      <c r="H19" s="14">
        <v>17.665577189863658</v>
      </c>
      <c r="I19" s="14">
        <v>2.1300806277296029</v>
      </c>
      <c r="J19" s="14">
        <v>1.3963794860935363</v>
      </c>
      <c r="K19" s="14">
        <v>2.8229803635303994</v>
      </c>
      <c r="L19" s="14">
        <v>5.156749323869759</v>
      </c>
      <c r="M19" s="14">
        <v>1.8543031317256757</v>
      </c>
      <c r="N19" s="15">
        <v>0.170621516001073</v>
      </c>
      <c r="O19" s="16">
        <f>SUM(F19:N19)</f>
        <v>100.01455308845959</v>
      </c>
      <c r="P19" s="14">
        <v>6.8911499999999961</v>
      </c>
      <c r="Q19" s="14">
        <f t="shared" si="0"/>
        <v>5.8209464999999962</v>
      </c>
      <c r="R19" s="20"/>
      <c r="S19" s="23">
        <v>683.32210943269729</v>
      </c>
      <c r="T19" s="14">
        <v>-0.73051433893276707</v>
      </c>
      <c r="U19" s="16">
        <v>-9.9980874420224044</v>
      </c>
      <c r="V19" s="15">
        <v>5.9441093655013252E-2</v>
      </c>
    </row>
    <row r="20" spans="1:22" s="6" customFormat="1" ht="13" customHeight="1">
      <c r="A20" s="6" t="s">
        <v>51</v>
      </c>
      <c r="B20" s="6">
        <v>950</v>
      </c>
      <c r="C20" s="6">
        <v>1950</v>
      </c>
      <c r="D20" s="6" t="s">
        <v>33</v>
      </c>
      <c r="E20" s="12" t="s">
        <v>152</v>
      </c>
      <c r="F20" s="14">
        <v>65.48566174816024</v>
      </c>
      <c r="G20" s="14">
        <v>0.69577292566268878</v>
      </c>
      <c r="H20" s="14">
        <v>17.674104328643146</v>
      </c>
      <c r="I20" s="14">
        <v>2.701865070968803</v>
      </c>
      <c r="J20" s="14">
        <v>1.9632340088286644</v>
      </c>
      <c r="K20" s="14">
        <v>3.4007254311101685</v>
      </c>
      <c r="L20" s="14">
        <v>6.0179248504302638</v>
      </c>
      <c r="M20" s="14">
        <v>1.7643352285340446</v>
      </c>
      <c r="N20" s="15">
        <v>0.26240788565392958</v>
      </c>
      <c r="O20" s="16">
        <f>SUM(F20:N20)</f>
        <v>99.966031477991976</v>
      </c>
      <c r="P20" s="14">
        <v>6.4284099999999995</v>
      </c>
      <c r="Q20" s="14">
        <f t="shared" si="0"/>
        <v>5.3998530999999996</v>
      </c>
      <c r="R20" s="20"/>
      <c r="S20" s="23">
        <v>1050.9173412554226</v>
      </c>
      <c r="T20" s="14">
        <v>-0.11386639937407597</v>
      </c>
      <c r="U20" s="16">
        <v>-9.3844455858989964</v>
      </c>
      <c r="V20" s="15">
        <v>0.1237751196511248</v>
      </c>
    </row>
    <row r="21" spans="1:22" s="6" customFormat="1" ht="13" customHeight="1">
      <c r="A21" s="6" t="s">
        <v>52</v>
      </c>
      <c r="B21" s="6">
        <v>1000</v>
      </c>
      <c r="C21" s="6">
        <v>2000</v>
      </c>
      <c r="D21" s="6" t="s">
        <v>33</v>
      </c>
      <c r="E21" s="12" t="s">
        <v>152</v>
      </c>
      <c r="F21" s="14">
        <v>66.476136735401823</v>
      </c>
      <c r="G21" s="14">
        <v>0.34052381862978698</v>
      </c>
      <c r="H21" s="14">
        <v>19.917262433967476</v>
      </c>
      <c r="I21" s="14">
        <v>0.80557668301042218</v>
      </c>
      <c r="J21" s="14">
        <v>0.18495249740233247</v>
      </c>
      <c r="K21" s="14">
        <v>4.158396886275022</v>
      </c>
      <c r="L21" s="14">
        <v>6.0816697205900816</v>
      </c>
      <c r="M21" s="14">
        <v>1.7188544200333069</v>
      </c>
      <c r="N21" s="15">
        <v>0.33363333333333328</v>
      </c>
      <c r="O21" s="16">
        <v>100</v>
      </c>
      <c r="P21" s="14">
        <v>7.6341500000000009</v>
      </c>
      <c r="Q21" s="14">
        <f t="shared" si="0"/>
        <v>6.4970765000000013</v>
      </c>
      <c r="R21" s="20"/>
      <c r="S21" s="23">
        <v>1336.1681366666664</v>
      </c>
      <c r="T21" s="14">
        <v>0.32741694269996124</v>
      </c>
      <c r="U21" s="16">
        <v>-8.9149601464372914</v>
      </c>
      <c r="V21" s="15">
        <v>1.4630438560897064E-2</v>
      </c>
    </row>
    <row r="22" spans="1:22" s="6" customFormat="1" ht="13" customHeight="1">
      <c r="A22" s="6" t="s">
        <v>53</v>
      </c>
      <c r="B22" s="6">
        <v>950</v>
      </c>
      <c r="C22" s="6">
        <v>2020</v>
      </c>
      <c r="D22" s="6" t="s">
        <v>39</v>
      </c>
      <c r="E22" s="12" t="s">
        <v>152</v>
      </c>
      <c r="F22" s="14">
        <v>66.887155212184936</v>
      </c>
      <c r="G22" s="14">
        <v>0.45796526081274597</v>
      </c>
      <c r="H22" s="14">
        <v>17.956437463700134</v>
      </c>
      <c r="I22" s="14">
        <v>1.9937947614842164</v>
      </c>
      <c r="J22" s="14">
        <v>1.8330888497084994</v>
      </c>
      <c r="K22" s="14">
        <v>2.7672644065813885</v>
      </c>
      <c r="L22" s="14">
        <v>5.9913537609647891</v>
      </c>
      <c r="M22" s="14">
        <v>1.8728678943133301</v>
      </c>
      <c r="N22" s="15">
        <v>0.20204166666666665</v>
      </c>
      <c r="O22" s="16">
        <v>100</v>
      </c>
      <c r="P22" s="14">
        <v>6.7378400000000003</v>
      </c>
      <c r="Q22" s="14">
        <f t="shared" si="0"/>
        <v>5.6814344000000006</v>
      </c>
      <c r="R22" s="20"/>
      <c r="S22" s="23">
        <v>809.15667083333324</v>
      </c>
      <c r="T22" s="14">
        <v>-0.58142207885426533</v>
      </c>
      <c r="U22" s="16">
        <v>-9.8503179648895038</v>
      </c>
      <c r="V22" s="15">
        <v>8.5671623426918128E-2</v>
      </c>
    </row>
    <row r="23" spans="1:22" s="6" customFormat="1" ht="13" customHeight="1">
      <c r="A23" s="6" t="s">
        <v>54</v>
      </c>
      <c r="B23" s="6">
        <v>1000</v>
      </c>
      <c r="C23" s="6">
        <v>2000</v>
      </c>
      <c r="D23" s="6" t="s">
        <v>39</v>
      </c>
      <c r="E23" s="12" t="s">
        <v>152</v>
      </c>
      <c r="F23" s="14">
        <v>65.051754534349001</v>
      </c>
      <c r="G23" s="14">
        <v>0.5169563044740062</v>
      </c>
      <c r="H23" s="14">
        <v>17.991918336761202</v>
      </c>
      <c r="I23" s="14">
        <v>2.3368491391673447</v>
      </c>
      <c r="J23" s="14">
        <v>1.9182457245974898</v>
      </c>
      <c r="K23" s="14">
        <v>4.3729174550955561</v>
      </c>
      <c r="L23" s="14">
        <v>5.8749940624826626</v>
      </c>
      <c r="M23" s="14">
        <v>1.6204709990272153</v>
      </c>
      <c r="N23" s="15">
        <v>0.29553888888888896</v>
      </c>
      <c r="O23" s="16">
        <v>100</v>
      </c>
      <c r="P23" s="14">
        <v>5.3213153846153833</v>
      </c>
      <c r="Q23" s="14">
        <f t="shared" si="0"/>
        <v>4.392396999999999</v>
      </c>
      <c r="R23" s="20"/>
      <c r="S23" s="23">
        <v>1183.6036961111115</v>
      </c>
      <c r="T23" s="14">
        <v>0.25647554910676795</v>
      </c>
      <c r="U23" s="16">
        <v>-9.0158935029731087</v>
      </c>
      <c r="V23" s="15">
        <v>0.12986226733760445</v>
      </c>
    </row>
    <row r="24" spans="1:22" s="6" customFormat="1" ht="13" customHeight="1">
      <c r="A24" s="6" t="s">
        <v>55</v>
      </c>
      <c r="B24" s="6">
        <v>800</v>
      </c>
      <c r="C24" s="6">
        <v>2000</v>
      </c>
      <c r="D24" s="6" t="s">
        <v>33</v>
      </c>
      <c r="E24" s="12" t="s">
        <v>152</v>
      </c>
      <c r="F24" s="14">
        <v>77.235617330848939</v>
      </c>
      <c r="G24" s="14">
        <v>0.26132465752962419</v>
      </c>
      <c r="H24" s="14">
        <v>12.712381351284343</v>
      </c>
      <c r="I24" s="14">
        <v>0.97292953585872688</v>
      </c>
      <c r="J24" s="14">
        <v>0.26013678473750529</v>
      </c>
      <c r="K24" s="14">
        <v>1.1736919595294368</v>
      </c>
      <c r="L24" s="14">
        <v>3.0745801431695452</v>
      </c>
      <c r="M24" s="14">
        <v>4.280339715995745</v>
      </c>
      <c r="N24" s="15">
        <v>1.7466666666666669E-2</v>
      </c>
      <c r="O24" s="16">
        <v>100</v>
      </c>
      <c r="P24" s="14">
        <v>6.3536076923076914</v>
      </c>
      <c r="Q24" s="14">
        <f t="shared" si="0"/>
        <v>5.3317829999999988</v>
      </c>
      <c r="R24" s="20"/>
      <c r="S24" s="23">
        <v>69.952253333333346</v>
      </c>
      <c r="T24" s="14">
        <v>-3.8873066747557581</v>
      </c>
      <c r="U24" s="16">
        <v>-13.172887018854945</v>
      </c>
      <c r="V24" s="15">
        <v>1.4682486641354884E-2</v>
      </c>
    </row>
    <row r="25" spans="1:22" s="6" customFormat="1" ht="13" customHeight="1">
      <c r="A25" s="6" t="s">
        <v>56</v>
      </c>
      <c r="B25" s="6">
        <v>800</v>
      </c>
      <c r="C25" s="6">
        <v>2000</v>
      </c>
      <c r="D25" s="6" t="s">
        <v>33</v>
      </c>
      <c r="E25" s="12" t="s">
        <v>152</v>
      </c>
      <c r="F25" s="14">
        <v>76.143389818768568</v>
      </c>
      <c r="G25" s="14">
        <v>0.34455537234543243</v>
      </c>
      <c r="H25" s="14">
        <v>12.940383204062377</v>
      </c>
      <c r="I25" s="14">
        <v>1.2126317132624516</v>
      </c>
      <c r="J25" s="14">
        <v>0.33540208669080357</v>
      </c>
      <c r="K25" s="14">
        <v>1.5345392214013194</v>
      </c>
      <c r="L25" s="14">
        <v>3.1960098673216084</v>
      </c>
      <c r="M25" s="14">
        <v>4.0706480556081095</v>
      </c>
      <c r="N25" s="15">
        <v>1.976E-2</v>
      </c>
      <c r="O25" s="16">
        <v>100</v>
      </c>
      <c r="P25" s="14">
        <v>6.4850090909090907</v>
      </c>
      <c r="Q25" s="14">
        <f t="shared" si="0"/>
        <v>5.4513582727272727</v>
      </c>
      <c r="R25" s="20"/>
      <c r="S25" s="23">
        <v>79.136824000000004</v>
      </c>
      <c r="T25" s="14">
        <v>-3.4958654321842508</v>
      </c>
      <c r="U25" s="16">
        <v>-12.776923833745901</v>
      </c>
      <c r="V25" s="15">
        <v>2.6782296323609633E-2</v>
      </c>
    </row>
    <row r="26" spans="1:22" s="6" customFormat="1" ht="13" customHeight="1">
      <c r="A26" s="6" t="s">
        <v>57</v>
      </c>
      <c r="B26" s="6">
        <v>850</v>
      </c>
      <c r="C26" s="6">
        <v>1700</v>
      </c>
      <c r="D26" s="6" t="s">
        <v>33</v>
      </c>
      <c r="E26" s="12" t="s">
        <v>152</v>
      </c>
      <c r="F26" s="14">
        <v>72.760108303936562</v>
      </c>
      <c r="G26" s="14">
        <v>0.42314801722431711</v>
      </c>
      <c r="H26" s="14">
        <v>14.796300386577643</v>
      </c>
      <c r="I26" s="14">
        <v>1.7253233226531437</v>
      </c>
      <c r="J26" s="14">
        <v>0.65259636542404165</v>
      </c>
      <c r="K26" s="14">
        <v>2.37859723505577</v>
      </c>
      <c r="L26" s="14">
        <v>3.6507514783822139</v>
      </c>
      <c r="M26" s="14">
        <v>3.5636341879605897</v>
      </c>
      <c r="N26" s="15">
        <v>4.5583333333333337E-2</v>
      </c>
      <c r="O26" s="16">
        <v>100</v>
      </c>
      <c r="P26" s="14">
        <v>7.740555555555555</v>
      </c>
      <c r="Q26" s="14">
        <f t="shared" si="0"/>
        <v>6.5939055555555548</v>
      </c>
      <c r="R26" s="20"/>
      <c r="S26" s="23">
        <v>182.55669166666669</v>
      </c>
      <c r="T26" s="14">
        <v>-2.2217022094628764</v>
      </c>
      <c r="U26" s="16">
        <v>-11.49655824967023</v>
      </c>
      <c r="V26" s="15">
        <v>4.5453325493720748E-2</v>
      </c>
    </row>
    <row r="27" spans="1:22" s="6" customFormat="1" ht="13" customHeight="1">
      <c r="A27" s="6" t="s">
        <v>58</v>
      </c>
      <c r="B27" s="6">
        <v>850</v>
      </c>
      <c r="C27" s="6">
        <v>1700</v>
      </c>
      <c r="D27" s="6" t="s">
        <v>33</v>
      </c>
      <c r="E27" s="12" t="s">
        <v>152</v>
      </c>
      <c r="F27" s="14">
        <v>74.527409740149949</v>
      </c>
      <c r="G27" s="14">
        <v>0.4107611226208509</v>
      </c>
      <c r="H27" s="14">
        <v>13.711411410285084</v>
      </c>
      <c r="I27" s="14">
        <v>1.5757020097354744</v>
      </c>
      <c r="J27" s="14">
        <v>0.50782802078956957</v>
      </c>
      <c r="K27" s="14">
        <v>1.7586640230464232</v>
      </c>
      <c r="L27" s="14">
        <v>3.4681810324804818</v>
      </c>
      <c r="M27" s="14">
        <v>3.9446549592364892</v>
      </c>
      <c r="N27" s="15">
        <v>3.6049999999999999E-2</v>
      </c>
      <c r="O27" s="16">
        <v>100</v>
      </c>
      <c r="P27" s="14">
        <v>7.3575444444444464</v>
      </c>
      <c r="Q27" s="14">
        <f t="shared" si="0"/>
        <v>6.2453654444444462</v>
      </c>
      <c r="R27" s="20"/>
      <c r="S27" s="23">
        <v>144.376645</v>
      </c>
      <c r="T27" s="14">
        <v>-2.7582939722610917</v>
      </c>
      <c r="U27" s="16">
        <v>-12.03686907360405</v>
      </c>
      <c r="V27" s="15">
        <v>3.8623871371108384E-2</v>
      </c>
    </row>
    <row r="28" spans="1:22" s="6" customFormat="1" ht="13" customHeight="1">
      <c r="A28" s="6" t="s">
        <v>59</v>
      </c>
      <c r="B28" s="6">
        <v>900</v>
      </c>
      <c r="C28" s="6">
        <v>1800</v>
      </c>
      <c r="D28" s="6" t="s">
        <v>33</v>
      </c>
      <c r="E28" s="12" t="s">
        <v>152</v>
      </c>
      <c r="F28" s="14">
        <v>73.850003481387702</v>
      </c>
      <c r="G28" s="14">
        <v>0.60302553959819538</v>
      </c>
      <c r="H28" s="14">
        <v>14.469552602885235</v>
      </c>
      <c r="I28" s="14">
        <v>1.3327422963124012</v>
      </c>
      <c r="J28" s="14">
        <v>0.33861186544189464</v>
      </c>
      <c r="K28" s="14">
        <v>2.158720015014747</v>
      </c>
      <c r="L28" s="14">
        <v>3.692559884537582</v>
      </c>
      <c r="M28" s="14">
        <v>3.5036621858089472</v>
      </c>
      <c r="N28" s="15">
        <v>5.2409090909090919E-2</v>
      </c>
      <c r="O28" s="16">
        <v>100</v>
      </c>
      <c r="P28" s="14">
        <v>5.8099733333333328</v>
      </c>
      <c r="Q28" s="14">
        <f t="shared" si="0"/>
        <v>4.8370757333333332</v>
      </c>
      <c r="R28" s="20"/>
      <c r="S28" s="23">
        <v>209.89316818181823</v>
      </c>
      <c r="T28" s="14">
        <v>-2.1791597516649066</v>
      </c>
      <c r="U28" s="16">
        <v>-11.454189036150403</v>
      </c>
      <c r="V28" s="15">
        <v>2.6707343419624524E-2</v>
      </c>
    </row>
    <row r="29" spans="1:22" s="6" customFormat="1" ht="13" customHeight="1">
      <c r="A29" s="6" t="s">
        <v>60</v>
      </c>
      <c r="B29" s="6">
        <v>900</v>
      </c>
      <c r="C29" s="6">
        <v>1800</v>
      </c>
      <c r="D29" s="6" t="s">
        <v>33</v>
      </c>
      <c r="E29" s="12" t="s">
        <v>152</v>
      </c>
      <c r="F29" s="14">
        <v>74.574227759385607</v>
      </c>
      <c r="G29" s="14">
        <v>0.60036643294138359</v>
      </c>
      <c r="H29" s="14">
        <v>13.920599221971655</v>
      </c>
      <c r="I29" s="14">
        <v>1.3530914206541087</v>
      </c>
      <c r="J29" s="14">
        <v>0.29167896328425602</v>
      </c>
      <c r="K29" s="14">
        <v>1.6825531771015532</v>
      </c>
      <c r="L29" s="14">
        <v>3.6498632607321322</v>
      </c>
      <c r="M29" s="14">
        <v>3.8641560534435899</v>
      </c>
      <c r="N29" s="15">
        <v>4.363333333333333E-2</v>
      </c>
      <c r="O29" s="16">
        <v>100</v>
      </c>
      <c r="P29" s="14">
        <v>5.2834933333333334</v>
      </c>
      <c r="Q29" s="14">
        <f t="shared" si="0"/>
        <v>4.3579789333333334</v>
      </c>
      <c r="R29" s="20"/>
      <c r="S29" s="23">
        <v>174.74713666666665</v>
      </c>
      <c r="T29" s="14">
        <v>-2.6116215066932109</v>
      </c>
      <c r="U29" s="16">
        <v>-11.887029684236657</v>
      </c>
      <c r="V29" s="15">
        <v>2.5567476184389801E-2</v>
      </c>
    </row>
    <row r="30" spans="1:22" s="6" customFormat="1" ht="13" customHeight="1">
      <c r="A30" s="6" t="s">
        <v>61</v>
      </c>
      <c r="B30" s="6">
        <v>800</v>
      </c>
      <c r="C30" s="6">
        <v>1820</v>
      </c>
      <c r="D30" s="6" t="s">
        <v>39</v>
      </c>
      <c r="E30" s="12" t="s">
        <v>152</v>
      </c>
      <c r="F30" s="14">
        <v>76.883430548705959</v>
      </c>
      <c r="G30" s="14">
        <v>0.20628403746099269</v>
      </c>
      <c r="H30" s="14">
        <v>12.602968879368564</v>
      </c>
      <c r="I30" s="14">
        <v>0.9653805742822138</v>
      </c>
      <c r="J30" s="14">
        <v>0.71903310366366902</v>
      </c>
      <c r="K30" s="14">
        <v>1.4636947159275644</v>
      </c>
      <c r="L30" s="14">
        <v>3.1658756941389301</v>
      </c>
      <c r="M30" s="14">
        <v>3.9464120098601621</v>
      </c>
      <c r="N30" s="15">
        <v>2.0132164180267219E-2</v>
      </c>
      <c r="O30" s="16">
        <f t="shared" si="1"/>
        <v>99.973211727588307</v>
      </c>
      <c r="P30" s="14">
        <v>5.3742285714285698</v>
      </c>
      <c r="Q30" s="14">
        <f t="shared" si="0"/>
        <v>4.4405479999999988</v>
      </c>
      <c r="R30" s="20"/>
      <c r="S30" s="23">
        <v>80.627304325552174</v>
      </c>
      <c r="T30" s="14">
        <v>-3.524472668489782</v>
      </c>
      <c r="U30" s="16">
        <v>-12.818798816856591</v>
      </c>
      <c r="V30" s="15">
        <v>3.4976058229186889E-2</v>
      </c>
    </row>
    <row r="31" spans="1:22" s="6" customFormat="1" ht="13" customHeight="1">
      <c r="A31" s="6" t="s">
        <v>62</v>
      </c>
      <c r="B31" s="6">
        <v>800</v>
      </c>
      <c r="C31" s="6">
        <v>1820</v>
      </c>
      <c r="D31" s="6" t="s">
        <v>39</v>
      </c>
      <c r="E31" s="12" t="s">
        <v>152</v>
      </c>
      <c r="F31" s="14">
        <v>76.849999999999994</v>
      </c>
      <c r="G31" s="14">
        <v>0.16907029785376348</v>
      </c>
      <c r="H31" s="14">
        <v>12.625711556757132</v>
      </c>
      <c r="I31" s="14">
        <v>1.0554554842964348</v>
      </c>
      <c r="J31" s="14">
        <v>0.79942236724879656</v>
      </c>
      <c r="K31" s="14">
        <v>1.3306373566697336</v>
      </c>
      <c r="L31" s="14">
        <v>3.1477027385927223</v>
      </c>
      <c r="M31" s="14">
        <v>3.9218472336609569</v>
      </c>
      <c r="N31" s="15">
        <v>1.3188500713631686E-2</v>
      </c>
      <c r="O31" s="16">
        <f t="shared" si="1"/>
        <v>99.913035535793171</v>
      </c>
      <c r="P31" s="14">
        <v>5.2727166666666676</v>
      </c>
      <c r="Q31" s="14">
        <f t="shared" si="0"/>
        <v>4.3481721666666679</v>
      </c>
      <c r="R31" s="20"/>
      <c r="S31" s="23">
        <v>52.818626508023542</v>
      </c>
      <c r="T31" s="14">
        <v>-4.0427519441390034</v>
      </c>
      <c r="U31" s="16">
        <v>-13.336352992404633</v>
      </c>
      <c r="V31" s="15">
        <v>3.5118376708342801E-2</v>
      </c>
    </row>
    <row r="32" spans="1:22" s="6" customFormat="1" ht="13" customHeight="1">
      <c r="A32" s="6" t="s">
        <v>63</v>
      </c>
      <c r="B32" s="6">
        <v>850</v>
      </c>
      <c r="C32" s="6">
        <v>2010</v>
      </c>
      <c r="D32" s="6" t="s">
        <v>39</v>
      </c>
      <c r="E32" s="12" t="s">
        <v>152</v>
      </c>
      <c r="F32" s="14">
        <v>74.962020336384896</v>
      </c>
      <c r="G32" s="14">
        <v>0.2237490651103391</v>
      </c>
      <c r="H32" s="14">
        <v>13.820266700714171</v>
      </c>
      <c r="I32" s="14">
        <v>1.1646292030588079</v>
      </c>
      <c r="J32" s="14">
        <v>0.63979714417519107</v>
      </c>
      <c r="K32" s="14">
        <v>1.8638193941537309</v>
      </c>
      <c r="L32" s="14">
        <v>3.5637112303593588</v>
      </c>
      <c r="M32" s="14">
        <v>3.7254824656944492</v>
      </c>
      <c r="N32" s="15">
        <v>2.9801679969060076E-2</v>
      </c>
      <c r="O32" s="16">
        <f t="shared" si="1"/>
        <v>99.993277219620012</v>
      </c>
      <c r="P32" s="14">
        <v>5.5158299999999985</v>
      </c>
      <c r="Q32" s="14">
        <f t="shared" si="0"/>
        <v>4.5694052999999988</v>
      </c>
      <c r="R32" s="20"/>
      <c r="S32" s="23">
        <v>119.3527481080887</v>
      </c>
      <c r="T32" s="14">
        <v>-2.8905626922384213</v>
      </c>
      <c r="U32" s="16">
        <v>-12.174989552717232</v>
      </c>
      <c r="V32" s="15">
        <v>3.5258224615531492E-2</v>
      </c>
    </row>
    <row r="33" spans="1:22" s="6" customFormat="1" ht="13" customHeight="1">
      <c r="A33" s="6" t="s">
        <v>64</v>
      </c>
      <c r="B33" s="6">
        <v>850</v>
      </c>
      <c r="C33" s="6">
        <v>2010</v>
      </c>
      <c r="D33" s="6" t="s">
        <v>39</v>
      </c>
      <c r="E33" s="12" t="s">
        <v>152</v>
      </c>
      <c r="F33" s="14">
        <v>75.687746789384491</v>
      </c>
      <c r="G33" s="14">
        <v>0.2378866694310125</v>
      </c>
      <c r="H33" s="14">
        <v>13.319908431710521</v>
      </c>
      <c r="I33" s="14">
        <v>1.1846788789185811</v>
      </c>
      <c r="J33" s="14">
        <v>0.49930373579084392</v>
      </c>
      <c r="K33" s="14">
        <v>1.6754523820528864</v>
      </c>
      <c r="L33" s="14">
        <v>3.4864644056239866</v>
      </c>
      <c r="M33" s="14">
        <v>3.8770377986226565</v>
      </c>
      <c r="N33" s="15">
        <v>2.8894769683871856E-2</v>
      </c>
      <c r="O33" s="16">
        <f t="shared" si="1"/>
        <v>99.997373861218833</v>
      </c>
      <c r="P33" s="14">
        <v>4.925849999999997</v>
      </c>
      <c r="Q33" s="14">
        <f t="shared" si="0"/>
        <v>4.0325234999999973</v>
      </c>
      <c r="R33" s="20"/>
      <c r="S33" s="23">
        <v>115.72066310693839</v>
      </c>
      <c r="T33" s="14">
        <v>-3.0280114723895419</v>
      </c>
      <c r="U33" s="16">
        <v>-12.313901162514844</v>
      </c>
      <c r="V33" s="15">
        <v>3.350061375224489E-2</v>
      </c>
    </row>
    <row r="34" spans="1:22" s="6" customFormat="1" ht="13" customHeight="1">
      <c r="A34" s="6" t="s">
        <v>65</v>
      </c>
      <c r="B34" s="6">
        <v>900</v>
      </c>
      <c r="C34" s="6">
        <v>1990</v>
      </c>
      <c r="D34" s="6" t="s">
        <v>39</v>
      </c>
      <c r="E34" s="12" t="s">
        <v>152</v>
      </c>
      <c r="F34" s="14">
        <v>73.965091542261774</v>
      </c>
      <c r="G34" s="14">
        <v>0.35383284496490408</v>
      </c>
      <c r="H34" s="14">
        <v>14.88100094401946</v>
      </c>
      <c r="I34" s="14">
        <v>0.98072666685726351</v>
      </c>
      <c r="J34" s="14">
        <v>0.48726905436652002</v>
      </c>
      <c r="K34" s="14">
        <v>2.0384338148301606</v>
      </c>
      <c r="L34" s="14">
        <v>3.7424177798873313</v>
      </c>
      <c r="M34" s="14">
        <v>3.4758908563321067</v>
      </c>
      <c r="N34" s="15">
        <v>5.5649999999999998E-2</v>
      </c>
      <c r="O34" s="16">
        <v>100</v>
      </c>
      <c r="P34" s="14">
        <v>6.1894461538461538</v>
      </c>
      <c r="Q34" s="14">
        <f t="shared" si="0"/>
        <v>5.1823959999999998</v>
      </c>
      <c r="R34" s="20"/>
      <c r="S34" s="23">
        <v>222.87268499999999</v>
      </c>
      <c r="T34" s="14">
        <v>-2.1764914260944246</v>
      </c>
      <c r="U34" s="16">
        <v>-11.451553814580944</v>
      </c>
      <c r="V34" s="15">
        <v>1.7576137883454232E-2</v>
      </c>
    </row>
    <row r="35" spans="1:22" s="6" customFormat="1" ht="13" customHeight="1">
      <c r="A35" s="6" t="s">
        <v>66</v>
      </c>
      <c r="B35" s="6">
        <v>900</v>
      </c>
      <c r="C35" s="6">
        <v>1990</v>
      </c>
      <c r="D35" s="6" t="s">
        <v>39</v>
      </c>
      <c r="E35" s="12" t="s">
        <v>152</v>
      </c>
      <c r="F35" s="14">
        <v>74.188662028856413</v>
      </c>
      <c r="G35" s="14">
        <v>0.35538449892658386</v>
      </c>
      <c r="H35" s="14">
        <v>14.471908910925773</v>
      </c>
      <c r="I35" s="14">
        <v>1.0834671599287213</v>
      </c>
      <c r="J35" s="14">
        <v>0.36647376299324635</v>
      </c>
      <c r="K35" s="14">
        <v>2.1033451677574457</v>
      </c>
      <c r="L35" s="14">
        <v>3.7345761039653138</v>
      </c>
      <c r="M35" s="14">
        <v>3.6019342814278832</v>
      </c>
      <c r="N35" s="15">
        <v>5.1977777777777776E-2</v>
      </c>
      <c r="O35" s="16">
        <v>100</v>
      </c>
      <c r="P35" s="14">
        <v>6.1144769230769223</v>
      </c>
      <c r="Q35" s="14">
        <f t="shared" si="0"/>
        <v>5.1141739999999993</v>
      </c>
      <c r="R35" s="20"/>
      <c r="S35" s="23">
        <v>208.1658022222222</v>
      </c>
      <c r="T35" s="14">
        <v>-2.2134099877900075</v>
      </c>
      <c r="U35" s="16">
        <v>-11.489100126647521</v>
      </c>
      <c r="V35" s="15">
        <v>2.3946932015548792E-2</v>
      </c>
    </row>
    <row r="36" spans="1:22" s="6" customFormat="1" ht="13" customHeight="1">
      <c r="A36" s="6" t="s">
        <v>67</v>
      </c>
      <c r="B36" s="6">
        <v>900</v>
      </c>
      <c r="C36" s="6">
        <v>1750</v>
      </c>
      <c r="D36" s="6" t="s">
        <v>33</v>
      </c>
      <c r="E36" s="12" t="s">
        <v>152</v>
      </c>
      <c r="F36" s="14">
        <v>76.037949589230635</v>
      </c>
      <c r="G36" s="14">
        <v>3.4895496110359428E-2</v>
      </c>
      <c r="H36" s="14">
        <v>13.134353887630313</v>
      </c>
      <c r="I36" s="14">
        <v>5.7772708274603922E-2</v>
      </c>
      <c r="J36" s="14">
        <v>1.6743787296782667E-2</v>
      </c>
      <c r="K36" s="14">
        <v>0.99748577334305533</v>
      </c>
      <c r="L36" s="14">
        <v>4.9375683698960584</v>
      </c>
      <c r="M36" s="14">
        <v>4.7151843022397681</v>
      </c>
      <c r="N36" s="15">
        <v>5.5410526315789459E-2</v>
      </c>
      <c r="O36" s="16">
        <v>100</v>
      </c>
      <c r="P36" s="14">
        <v>4.5642666666666649</v>
      </c>
      <c r="Q36" s="14">
        <f t="shared" si="0"/>
        <v>3.7034826666666651</v>
      </c>
      <c r="R36" s="20"/>
      <c r="S36" s="23">
        <v>221.9136168421052</v>
      </c>
      <c r="T36" s="14">
        <v>-2.8955030902100778</v>
      </c>
      <c r="U36" s="16">
        <v>-12.174100790504575</v>
      </c>
      <c r="V36" s="15">
        <v>2.6132156172428249E-2</v>
      </c>
    </row>
    <row r="37" spans="1:22" s="6" customFormat="1" ht="13" customHeight="1">
      <c r="A37" s="6" t="s">
        <v>68</v>
      </c>
      <c r="B37" s="6">
        <v>800</v>
      </c>
      <c r="C37" s="6">
        <v>2020</v>
      </c>
      <c r="D37" s="6" t="s">
        <v>33</v>
      </c>
      <c r="E37" s="12" t="s">
        <v>152</v>
      </c>
      <c r="F37" s="14">
        <v>77.711173708573</v>
      </c>
      <c r="G37" s="14">
        <v>2.8588308163368319E-2</v>
      </c>
      <c r="H37" s="14">
        <v>12.295792346209586</v>
      </c>
      <c r="I37" s="14">
        <v>6.2306733580178034E-2</v>
      </c>
      <c r="J37" s="14">
        <v>1.6878514530328997E-2</v>
      </c>
      <c r="K37" s="14">
        <v>0.44398797017923969</v>
      </c>
      <c r="L37" s="14">
        <v>4.7242160926274659</v>
      </c>
      <c r="M37" s="14">
        <v>4.6509038085670094</v>
      </c>
      <c r="N37" s="15">
        <v>2.2190000000000001E-2</v>
      </c>
      <c r="O37" s="16">
        <v>100</v>
      </c>
      <c r="P37" s="14">
        <v>4.6029818181818172</v>
      </c>
      <c r="Q37" s="14">
        <f t="shared" si="0"/>
        <v>3.7387134545454535</v>
      </c>
      <c r="R37" s="20"/>
      <c r="S37" s="23">
        <v>88.868731000000011</v>
      </c>
      <c r="T37" s="14">
        <v>-4.6200713531455024</v>
      </c>
      <c r="U37" s="16">
        <v>-13.905394337361418</v>
      </c>
      <c r="V37" s="15">
        <v>1.8507076755259328E-2</v>
      </c>
    </row>
    <row r="38" spans="1:22" s="6" customFormat="1" ht="13" customHeight="1">
      <c r="A38" s="6" t="s">
        <v>69</v>
      </c>
      <c r="B38" s="6">
        <v>900</v>
      </c>
      <c r="C38" s="6">
        <v>1750</v>
      </c>
      <c r="D38" s="6" t="s">
        <v>33</v>
      </c>
      <c r="E38" s="12" t="s">
        <v>152</v>
      </c>
      <c r="F38" s="14">
        <v>76.032661424964047</v>
      </c>
      <c r="G38" s="14">
        <v>2.8725159017743966E-2</v>
      </c>
      <c r="H38" s="14">
        <v>13.067683391964778</v>
      </c>
      <c r="I38" s="14">
        <v>5.6914816773719193E-2</v>
      </c>
      <c r="J38" s="14">
        <v>1.935363183340516E-2</v>
      </c>
      <c r="K38" s="14">
        <v>1.0848344163456638</v>
      </c>
      <c r="L38" s="14">
        <v>4.985607340573404</v>
      </c>
      <c r="M38" s="14">
        <v>4.7062701548199755</v>
      </c>
      <c r="N38" s="15">
        <v>5.9152631578947366E-2</v>
      </c>
      <c r="O38" s="16">
        <v>100</v>
      </c>
      <c r="P38" s="14">
        <v>5.2448999999999986</v>
      </c>
      <c r="Q38" s="14">
        <f t="shared" si="0"/>
        <v>4.3228589999999985</v>
      </c>
      <c r="R38" s="20"/>
      <c r="S38" s="23">
        <v>236.90037421052631</v>
      </c>
      <c r="T38" s="14">
        <v>-2.7462068359412606</v>
      </c>
      <c r="U38" s="16">
        <v>-12.02677027889427</v>
      </c>
      <c r="V38" s="15">
        <v>3.0026756970704411E-2</v>
      </c>
    </row>
    <row r="39" spans="1:22" s="6" customFormat="1" ht="13" customHeight="1">
      <c r="A39" s="6" t="s">
        <v>70</v>
      </c>
      <c r="B39" s="6">
        <v>800</v>
      </c>
      <c r="C39" s="6">
        <v>2020</v>
      </c>
      <c r="D39" s="6" t="s">
        <v>33</v>
      </c>
      <c r="E39" s="12" t="s">
        <v>152</v>
      </c>
      <c r="F39" s="14">
        <v>76.647021072156434</v>
      </c>
      <c r="G39" s="14">
        <v>2.9285230672559111E-2</v>
      </c>
      <c r="H39" s="14">
        <v>13.04521313480479</v>
      </c>
      <c r="I39" s="14">
        <v>3.5176630720446897E-2</v>
      </c>
      <c r="J39" s="14">
        <v>2.2043653812506135E-2</v>
      </c>
      <c r="K39" s="14">
        <v>0.44992347193504728</v>
      </c>
      <c r="L39" s="14">
        <v>4.9650882200501529</v>
      </c>
      <c r="M39" s="14">
        <v>4.7852849781107514</v>
      </c>
      <c r="N39" s="15">
        <v>2.4233333333333336E-2</v>
      </c>
      <c r="O39" s="16">
        <v>100</v>
      </c>
      <c r="P39" s="14">
        <v>5.2857083333333321</v>
      </c>
      <c r="Q39" s="14">
        <f t="shared" si="0"/>
        <v>4.3599945833333322</v>
      </c>
      <c r="R39" s="20"/>
      <c r="S39" s="23">
        <v>97.052076666666679</v>
      </c>
      <c r="T39" s="14">
        <v>-4.5187039561573501</v>
      </c>
      <c r="U39" s="16">
        <v>-13.797358489628513</v>
      </c>
      <c r="V39" s="15">
        <v>1.5696057320780395E-2</v>
      </c>
    </row>
    <row r="40" spans="1:22" s="6" customFormat="1" ht="13" customHeight="1">
      <c r="A40" s="6" t="s">
        <v>71</v>
      </c>
      <c r="B40" s="6">
        <v>900</v>
      </c>
      <c r="C40" s="6">
        <v>1910</v>
      </c>
      <c r="D40" s="6" t="s">
        <v>33</v>
      </c>
      <c r="E40" s="12" t="s">
        <v>152</v>
      </c>
      <c r="F40" s="14">
        <v>75.822454068542129</v>
      </c>
      <c r="G40" s="14">
        <v>1.728883345579204E-2</v>
      </c>
      <c r="H40" s="14">
        <v>13.216077710170167</v>
      </c>
      <c r="I40" s="14">
        <v>5.1075579532830172E-2</v>
      </c>
      <c r="J40" s="14">
        <v>1.5230524525818662E-2</v>
      </c>
      <c r="K40" s="14">
        <v>0.96463699260010027</v>
      </c>
      <c r="L40" s="14">
        <v>5.0771801290494887</v>
      </c>
      <c r="M40" s="14">
        <v>4.7946272525302307</v>
      </c>
      <c r="N40" s="15">
        <v>3.8945E-2</v>
      </c>
      <c r="O40" s="16">
        <v>100</v>
      </c>
      <c r="P40" s="14">
        <v>3.8908166666666646</v>
      </c>
      <c r="Q40" s="14">
        <f t="shared" si="0"/>
        <v>3.0906431666666649</v>
      </c>
      <c r="R40" s="20"/>
      <c r="S40" s="23">
        <v>155.97083050000001</v>
      </c>
      <c r="T40" s="14">
        <v>-3.2816083064957642</v>
      </c>
      <c r="U40" s="16">
        <v>-12.559128429485941</v>
      </c>
      <c r="V40" s="15">
        <v>2.8244161817335661E-2</v>
      </c>
    </row>
    <row r="41" spans="1:22" s="6" customFormat="1" ht="13" customHeight="1">
      <c r="A41" s="6" t="s">
        <v>72</v>
      </c>
      <c r="B41" s="6">
        <v>800</v>
      </c>
      <c r="C41" s="6">
        <v>2000</v>
      </c>
      <c r="D41" s="6" t="s">
        <v>33</v>
      </c>
      <c r="E41" s="12" t="s">
        <v>152</v>
      </c>
      <c r="F41" s="14">
        <v>76.979889772003773</v>
      </c>
      <c r="G41" s="14">
        <v>2.2961292278945816E-2</v>
      </c>
      <c r="H41" s="14">
        <v>12.782722033900001</v>
      </c>
      <c r="I41" s="14">
        <v>4.0060109056045824E-2</v>
      </c>
      <c r="J41" s="14">
        <v>1.6921032256863318E-2</v>
      </c>
      <c r="K41" s="14">
        <v>0.4475496327743172</v>
      </c>
      <c r="L41" s="14">
        <v>4.9853187217151254</v>
      </c>
      <c r="M41" s="14">
        <v>4.6808496887260604</v>
      </c>
      <c r="N41" s="15">
        <v>2.6936842105263155E-2</v>
      </c>
      <c r="O41" s="16">
        <v>100</v>
      </c>
      <c r="P41" s="14">
        <v>4.776023076923078</v>
      </c>
      <c r="Q41" s="14">
        <f t="shared" si="0"/>
        <v>3.8961810000000012</v>
      </c>
      <c r="R41" s="20"/>
      <c r="S41" s="23">
        <v>107.8793589473684</v>
      </c>
      <c r="T41" s="14">
        <v>-4.4182281706127871</v>
      </c>
      <c r="U41" s="16">
        <v>-13.699518473311038</v>
      </c>
      <c r="V41" s="15">
        <v>1.7899744585775611E-2</v>
      </c>
    </row>
    <row r="42" spans="1:22" s="6" customFormat="1" ht="13" customHeight="1">
      <c r="A42" s="6" t="s">
        <v>73</v>
      </c>
      <c r="B42" s="6">
        <v>900</v>
      </c>
      <c r="C42" s="6">
        <v>1910</v>
      </c>
      <c r="D42" s="6" t="s">
        <v>33</v>
      </c>
      <c r="E42" s="12" t="s">
        <v>152</v>
      </c>
      <c r="F42" s="14">
        <v>76.124724857073616</v>
      </c>
      <c r="G42" s="14">
        <v>2.996603394360833E-2</v>
      </c>
      <c r="H42" s="14">
        <v>13.009198027194705</v>
      </c>
      <c r="I42" s="14">
        <v>5.3393257723428851E-2</v>
      </c>
      <c r="J42" s="14">
        <v>1.6366851018289871E-2</v>
      </c>
      <c r="K42" s="14">
        <v>1.1863803883011683</v>
      </c>
      <c r="L42" s="14">
        <v>4.879802753531302</v>
      </c>
      <c r="M42" s="14">
        <v>4.6388893074258659</v>
      </c>
      <c r="N42" s="15">
        <v>4.9944999999999996E-2</v>
      </c>
      <c r="O42" s="16">
        <v>100</v>
      </c>
      <c r="P42" s="14">
        <v>4.5330416666666666</v>
      </c>
      <c r="Q42" s="14">
        <f t="shared" si="0"/>
        <v>3.6750679166666664</v>
      </c>
      <c r="R42" s="20"/>
      <c r="S42" s="23">
        <v>200.0247305</v>
      </c>
      <c r="T42" s="14">
        <v>-2.825925897720269</v>
      </c>
      <c r="U42" s="16">
        <v>-12.106650405328038</v>
      </c>
      <c r="V42" s="15">
        <v>2.9807272612332056E-2</v>
      </c>
    </row>
    <row r="43" spans="1:22" s="6" customFormat="1" ht="13" customHeight="1">
      <c r="A43" s="6" t="s">
        <v>74</v>
      </c>
      <c r="B43" s="6">
        <v>800</v>
      </c>
      <c r="C43" s="6">
        <v>2000</v>
      </c>
      <c r="D43" s="6" t="s">
        <v>33</v>
      </c>
      <c r="E43" s="12" t="s">
        <v>152</v>
      </c>
      <c r="F43" s="14">
        <v>76.296093767602102</v>
      </c>
      <c r="G43" s="14">
        <v>2.2776106163867237E-2</v>
      </c>
      <c r="H43" s="14">
        <v>13.278406502158957</v>
      </c>
      <c r="I43" s="14">
        <v>5.9126178925989079E-2</v>
      </c>
      <c r="J43" s="14">
        <v>2.2291537396234302E-2</v>
      </c>
      <c r="K43" s="14">
        <v>0.51501946043013014</v>
      </c>
      <c r="L43" s="14">
        <v>5.0609487633204493</v>
      </c>
      <c r="M43" s="14">
        <v>4.7084541111830882</v>
      </c>
      <c r="N43" s="15">
        <v>2.6590909090909089E-2</v>
      </c>
      <c r="O43" s="16">
        <v>100</v>
      </c>
      <c r="P43" s="14">
        <v>5.6532999999999998</v>
      </c>
      <c r="Q43" s="14">
        <f t="shared" si="0"/>
        <v>4.6945030000000001</v>
      </c>
      <c r="R43" s="20"/>
      <c r="S43" s="23">
        <v>106.49393181818182</v>
      </c>
      <c r="T43" s="14">
        <v>-4.2907364768979459</v>
      </c>
      <c r="U43" s="16">
        <v>-13.567610444651839</v>
      </c>
      <c r="V43" s="15">
        <v>1.5637013728262202E-2</v>
      </c>
    </row>
    <row r="44" spans="1:22" ht="13" customHeight="1">
      <c r="A44" s="6" t="s">
        <v>93</v>
      </c>
      <c r="B44" s="6">
        <v>1027</v>
      </c>
      <c r="C44" s="6">
        <v>2060</v>
      </c>
      <c r="D44" s="6" t="s">
        <v>94</v>
      </c>
      <c r="E44" s="10" t="s">
        <v>88</v>
      </c>
      <c r="F44" s="17">
        <v>69.66</v>
      </c>
      <c r="G44" s="17">
        <v>0.42</v>
      </c>
      <c r="H44" s="17">
        <v>17.89</v>
      </c>
      <c r="I44" s="17">
        <v>3.35</v>
      </c>
      <c r="J44" s="17">
        <v>1.01</v>
      </c>
      <c r="K44" s="17">
        <v>1.36</v>
      </c>
      <c r="L44" s="17">
        <v>4.78</v>
      </c>
      <c r="M44" s="17">
        <v>1.53</v>
      </c>
      <c r="N44" s="18">
        <v>0.57179954555669299</v>
      </c>
      <c r="O44" s="22">
        <v>100.229</v>
      </c>
      <c r="P44" s="17">
        <v>4.58</v>
      </c>
      <c r="Q44" s="14">
        <f t="shared" si="0"/>
        <v>3.7178000000000004</v>
      </c>
      <c r="R44" s="17"/>
      <c r="S44" s="24">
        <v>2290</v>
      </c>
      <c r="T44" s="14">
        <v>-0.25148209410547456</v>
      </c>
      <c r="U44" s="16">
        <v>-9.5201361248507297</v>
      </c>
      <c r="V44" s="15">
        <v>1.826980573080882E-2</v>
      </c>
    </row>
    <row r="45" spans="1:22" ht="13" customHeight="1">
      <c r="A45" s="6" t="s">
        <v>95</v>
      </c>
      <c r="B45" s="6">
        <v>985</v>
      </c>
      <c r="C45" s="6">
        <v>2020</v>
      </c>
      <c r="D45" s="6" t="s">
        <v>94</v>
      </c>
      <c r="E45" s="10" t="s">
        <v>88</v>
      </c>
      <c r="F45" s="17">
        <v>60.14</v>
      </c>
      <c r="G45" s="17">
        <v>0.64</v>
      </c>
      <c r="H45" s="17">
        <v>19.05</v>
      </c>
      <c r="I45" s="17">
        <v>4.18</v>
      </c>
      <c r="J45" s="17">
        <v>1.98</v>
      </c>
      <c r="K45" s="17">
        <v>6.29</v>
      </c>
      <c r="L45" s="17">
        <v>4.96</v>
      </c>
      <c r="M45" s="17">
        <v>2.63</v>
      </c>
      <c r="N45" s="18">
        <v>0.484406601912657</v>
      </c>
      <c r="O45" s="22">
        <v>100.06399999999999</v>
      </c>
      <c r="P45" s="17">
        <v>6.88</v>
      </c>
      <c r="Q45" s="14">
        <f t="shared" si="0"/>
        <v>5.8107999999999995</v>
      </c>
      <c r="R45" s="17"/>
      <c r="S45" s="24">
        <v>1940</v>
      </c>
      <c r="T45" s="14">
        <v>1.1141304323680026</v>
      </c>
      <c r="U45" s="16">
        <v>-8.1450153243815269</v>
      </c>
      <c r="V45" s="15">
        <v>0.20336038571424159</v>
      </c>
    </row>
    <row r="46" spans="1:22" ht="13" customHeight="1">
      <c r="A46" s="6" t="s">
        <v>96</v>
      </c>
      <c r="B46" s="6">
        <v>985</v>
      </c>
      <c r="C46" s="6">
        <v>2020</v>
      </c>
      <c r="D46" s="6" t="s">
        <v>94</v>
      </c>
      <c r="E46" s="10" t="s">
        <v>88</v>
      </c>
      <c r="F46" s="17">
        <v>61.56</v>
      </c>
      <c r="G46" s="17">
        <v>0.75</v>
      </c>
      <c r="H46" s="17">
        <v>18.809999999999999</v>
      </c>
      <c r="I46" s="17">
        <v>3.68</v>
      </c>
      <c r="J46" s="17">
        <v>1.91</v>
      </c>
      <c r="K46" s="17">
        <v>5.95</v>
      </c>
      <c r="L46" s="17">
        <v>4.6900000000000004</v>
      </c>
      <c r="M46" s="17">
        <v>2.52</v>
      </c>
      <c r="N46" s="18">
        <v>0.46443107193687733</v>
      </c>
      <c r="O46" s="22">
        <v>100.05600000000001</v>
      </c>
      <c r="P46" s="17">
        <v>6.24</v>
      </c>
      <c r="Q46" s="14">
        <f t="shared" si="0"/>
        <v>5.2284000000000006</v>
      </c>
      <c r="R46" s="17"/>
      <c r="S46" s="24">
        <v>1860</v>
      </c>
      <c r="T46" s="14">
        <v>1.0164490958630648</v>
      </c>
      <c r="U46" s="16">
        <v>-8.24547251673666</v>
      </c>
      <c r="V46" s="15">
        <v>0.17485723253033639</v>
      </c>
    </row>
    <row r="47" spans="1:22" ht="13" customHeight="1">
      <c r="A47" s="6" t="s">
        <v>97</v>
      </c>
      <c r="B47" s="6">
        <v>950</v>
      </c>
      <c r="C47" s="6">
        <v>1950</v>
      </c>
      <c r="D47" s="6" t="s">
        <v>94</v>
      </c>
      <c r="E47" s="10" t="s">
        <v>88</v>
      </c>
      <c r="F47" s="17">
        <v>67.08</v>
      </c>
      <c r="G47" s="17">
        <v>0.1</v>
      </c>
      <c r="H47" s="17">
        <v>19.600000000000001</v>
      </c>
      <c r="I47" s="17">
        <v>1.76</v>
      </c>
      <c r="J47" s="17">
        <v>1.32</v>
      </c>
      <c r="K47" s="17">
        <v>1.81</v>
      </c>
      <c r="L47" s="17">
        <v>4.33</v>
      </c>
      <c r="M47" s="17">
        <v>3.11</v>
      </c>
      <c r="N47" s="18">
        <v>0.36455342205797897</v>
      </c>
      <c r="O47" s="22">
        <v>99.256</v>
      </c>
      <c r="P47" s="17">
        <v>4.95</v>
      </c>
      <c r="Q47" s="14">
        <f t="shared" si="0"/>
        <v>4.0545</v>
      </c>
      <c r="R47" s="17"/>
      <c r="S47" s="24">
        <v>1460</v>
      </c>
      <c r="T47" s="14">
        <v>-0.41575533042160395</v>
      </c>
      <c r="U47" s="16">
        <v>-9.6454199345957718</v>
      </c>
      <c r="V47" s="15">
        <v>2.2881806575065754E-4</v>
      </c>
    </row>
    <row r="48" spans="1:22" ht="13" customHeight="1">
      <c r="A48" s="6" t="s">
        <v>98</v>
      </c>
      <c r="B48" s="6">
        <v>940</v>
      </c>
      <c r="C48" s="6">
        <v>2200</v>
      </c>
      <c r="D48" s="6" t="s">
        <v>94</v>
      </c>
      <c r="E48" s="10" t="s">
        <v>88</v>
      </c>
      <c r="F48" s="17">
        <v>69.05</v>
      </c>
      <c r="G48" s="17">
        <v>0.36</v>
      </c>
      <c r="H48" s="17">
        <v>18.11</v>
      </c>
      <c r="I48" s="17">
        <v>3.39</v>
      </c>
      <c r="J48" s="17">
        <v>1.52</v>
      </c>
      <c r="K48" s="17">
        <v>1.79</v>
      </c>
      <c r="L48" s="17">
        <v>4.62</v>
      </c>
      <c r="M48" s="17">
        <v>1.1399999999999999</v>
      </c>
      <c r="N48" s="18">
        <v>0.32210542085944716</v>
      </c>
      <c r="O48" s="22">
        <v>100.10900000000001</v>
      </c>
      <c r="P48" s="17">
        <v>5.51</v>
      </c>
      <c r="Q48" s="14">
        <f t="shared" si="0"/>
        <v>4.5640999999999998</v>
      </c>
      <c r="R48" s="17"/>
      <c r="S48" s="24">
        <v>1290</v>
      </c>
      <c r="T48" s="14">
        <v>-0.55066077319333917</v>
      </c>
      <c r="U48" s="16">
        <v>-9.822298145704238</v>
      </c>
      <c r="V48" s="15">
        <v>3.4255128459480859E-2</v>
      </c>
    </row>
    <row r="49" spans="1:22" ht="13" customHeight="1">
      <c r="A49" s="6" t="s">
        <v>99</v>
      </c>
      <c r="B49" s="6">
        <v>920</v>
      </c>
      <c r="C49" s="6">
        <v>1950</v>
      </c>
      <c r="D49" s="6" t="s">
        <v>94</v>
      </c>
      <c r="E49" s="10" t="s">
        <v>88</v>
      </c>
      <c r="F49" s="17">
        <v>67.11</v>
      </c>
      <c r="G49" s="17">
        <v>0.61</v>
      </c>
      <c r="H49" s="17">
        <v>18.32</v>
      </c>
      <c r="I49" s="17">
        <v>2.54</v>
      </c>
      <c r="J49" s="17">
        <v>1.82</v>
      </c>
      <c r="K49" s="17">
        <v>3.76</v>
      </c>
      <c r="L49" s="17">
        <v>4.7</v>
      </c>
      <c r="M49" s="17">
        <v>1.0900000000000001</v>
      </c>
      <c r="N49" s="18">
        <v>0.24470024220330094</v>
      </c>
      <c r="O49" s="22">
        <v>100.048</v>
      </c>
      <c r="P49" s="17">
        <v>4.29</v>
      </c>
      <c r="Q49" s="14">
        <f t="shared" si="0"/>
        <v>3.4539</v>
      </c>
      <c r="R49" s="17"/>
      <c r="S49" s="24">
        <v>980</v>
      </c>
      <c r="T49" s="14">
        <v>-8.3302361335299765E-2</v>
      </c>
      <c r="U49" s="16">
        <v>-9.359402680955986</v>
      </c>
      <c r="V49" s="15">
        <v>7.4516488777669421E-2</v>
      </c>
    </row>
    <row r="50" spans="1:22" ht="13" customHeight="1">
      <c r="A50" s="6" t="s">
        <v>100</v>
      </c>
      <c r="B50" s="6">
        <v>920</v>
      </c>
      <c r="C50" s="6">
        <v>1950</v>
      </c>
      <c r="D50" s="6" t="s">
        <v>94</v>
      </c>
      <c r="E50" s="10" t="s">
        <v>88</v>
      </c>
      <c r="F50" s="17">
        <v>62.94</v>
      </c>
      <c r="G50" s="17">
        <v>0.77</v>
      </c>
      <c r="H50" s="17">
        <v>19.989999999999998</v>
      </c>
      <c r="I50" s="17">
        <v>2.34</v>
      </c>
      <c r="J50" s="17">
        <v>1.86</v>
      </c>
      <c r="K50" s="17">
        <v>5.3</v>
      </c>
      <c r="L50" s="17">
        <v>3.18</v>
      </c>
      <c r="M50" s="17">
        <v>3.18</v>
      </c>
      <c r="N50" s="18">
        <v>0.28714824340183276</v>
      </c>
      <c r="O50" s="22">
        <v>99.675000000000011</v>
      </c>
      <c r="P50" s="17">
        <v>7.02</v>
      </c>
      <c r="Q50" s="14">
        <f t="shared" si="0"/>
        <v>5.9381999999999993</v>
      </c>
      <c r="R50" s="17"/>
      <c r="S50" s="24">
        <v>1150</v>
      </c>
      <c r="T50" s="14">
        <v>0.41995015151365139</v>
      </c>
      <c r="U50" s="16">
        <v>-8.820619555332577</v>
      </c>
      <c r="V50" s="15">
        <v>8.5895028839636359E-2</v>
      </c>
    </row>
    <row r="51" spans="1:22" ht="13" customHeight="1">
      <c r="A51" s="6" t="s">
        <v>101</v>
      </c>
      <c r="B51" s="6">
        <v>870</v>
      </c>
      <c r="C51" s="6">
        <v>2009.9999999999998</v>
      </c>
      <c r="D51" s="6" t="s">
        <v>94</v>
      </c>
      <c r="E51" s="10" t="s">
        <v>88</v>
      </c>
      <c r="F51" s="17">
        <v>69.91</v>
      </c>
      <c r="G51" s="17">
        <v>0.53</v>
      </c>
      <c r="H51" s="17">
        <v>17.28</v>
      </c>
      <c r="I51" s="17">
        <v>1.94</v>
      </c>
      <c r="J51" s="17">
        <v>1.35</v>
      </c>
      <c r="K51" s="17">
        <v>2.56</v>
      </c>
      <c r="L51" s="17">
        <v>4.84</v>
      </c>
      <c r="M51" s="17">
        <v>1.53</v>
      </c>
      <c r="N51" s="18">
        <v>0.12235012110165047</v>
      </c>
      <c r="O51" s="22">
        <v>99.989000000000004</v>
      </c>
      <c r="P51" s="17">
        <v>7.1</v>
      </c>
      <c r="Q51" s="14">
        <f t="shared" si="0"/>
        <v>6.0110000000000001</v>
      </c>
      <c r="R51" s="17"/>
      <c r="S51" s="24">
        <v>490</v>
      </c>
      <c r="T51" s="14">
        <v>-1.1608612408055772</v>
      </c>
      <c r="U51" s="16">
        <v>-10.436168694252475</v>
      </c>
      <c r="V51" s="15">
        <v>4.1090805436657545E-2</v>
      </c>
    </row>
    <row r="52" spans="1:22" ht="13" customHeight="1">
      <c r="A52" s="6" t="s">
        <v>102</v>
      </c>
      <c r="B52" s="6">
        <v>870</v>
      </c>
      <c r="C52" s="6">
        <v>2009.9999999999998</v>
      </c>
      <c r="D52" s="6" t="s">
        <v>94</v>
      </c>
      <c r="E52" s="10" t="s">
        <v>88</v>
      </c>
      <c r="F52" s="17">
        <v>67.92</v>
      </c>
      <c r="G52" s="17">
        <v>0.31</v>
      </c>
      <c r="H52" s="17">
        <v>17.649999999999999</v>
      </c>
      <c r="I52" s="17">
        <v>1.69</v>
      </c>
      <c r="J52" s="17">
        <v>0.75</v>
      </c>
      <c r="K52" s="17">
        <v>2.76</v>
      </c>
      <c r="L52" s="17">
        <v>4.72</v>
      </c>
      <c r="M52" s="17">
        <v>4.01</v>
      </c>
      <c r="N52" s="18">
        <v>0.11985317985467801</v>
      </c>
      <c r="O52" s="22">
        <v>99.858000000000004</v>
      </c>
      <c r="P52" s="17">
        <v>5.16</v>
      </c>
      <c r="Q52" s="14">
        <f t="shared" si="0"/>
        <v>4.2456000000000005</v>
      </c>
      <c r="R52" s="17"/>
      <c r="S52" s="24">
        <v>480</v>
      </c>
      <c r="T52" s="14">
        <v>-1.1062571067707252</v>
      </c>
      <c r="U52" s="16">
        <v>-10.351913485423305</v>
      </c>
      <c r="V52" s="15">
        <v>4.9936958079968133E-2</v>
      </c>
    </row>
    <row r="53" spans="1:22" ht="13" customHeight="1">
      <c r="A53" s="6" t="s">
        <v>103</v>
      </c>
      <c r="B53" s="6">
        <v>850</v>
      </c>
      <c r="C53" s="6">
        <v>2070</v>
      </c>
      <c r="D53" s="6" t="s">
        <v>94</v>
      </c>
      <c r="E53" s="10" t="s">
        <v>88</v>
      </c>
      <c r="F53" s="17">
        <v>74.23</v>
      </c>
      <c r="G53" s="17">
        <v>0.26</v>
      </c>
      <c r="H53" s="17">
        <v>16.3</v>
      </c>
      <c r="I53" s="17">
        <v>0.76</v>
      </c>
      <c r="J53" s="17">
        <v>0.86</v>
      </c>
      <c r="K53" s="17">
        <v>1.19</v>
      </c>
      <c r="L53" s="17">
        <v>4.63</v>
      </c>
      <c r="M53" s="17">
        <v>1.71</v>
      </c>
      <c r="N53" s="18">
        <v>5.9926589927339007E-2</v>
      </c>
      <c r="O53" s="22">
        <v>99.963999999999999</v>
      </c>
      <c r="P53" s="17">
        <v>7.81</v>
      </c>
      <c r="Q53" s="14">
        <f t="shared" si="0"/>
        <v>6.6570999999999998</v>
      </c>
      <c r="R53" s="17"/>
      <c r="S53" s="24">
        <v>240</v>
      </c>
      <c r="T53" s="14">
        <v>-2.6406816599362912</v>
      </c>
      <c r="U53" s="16">
        <v>-11.920702226076513</v>
      </c>
      <c r="V53" s="15">
        <v>-1.7804422462004692E-2</v>
      </c>
    </row>
    <row r="54" spans="1:22" ht="13" customHeight="1">
      <c r="A54" s="6" t="s">
        <v>87</v>
      </c>
      <c r="B54" s="6">
        <v>974</v>
      </c>
      <c r="C54" s="6">
        <v>1160</v>
      </c>
      <c r="D54" s="6" t="s">
        <v>160</v>
      </c>
      <c r="E54" s="10" t="s">
        <v>88</v>
      </c>
      <c r="F54" s="17">
        <v>63.47</v>
      </c>
      <c r="G54" s="17">
        <v>0.83</v>
      </c>
      <c r="H54" s="17">
        <v>17.350000000000001</v>
      </c>
      <c r="I54" s="17">
        <v>3.01</v>
      </c>
      <c r="J54" s="17">
        <v>1.8</v>
      </c>
      <c r="K54" s="17">
        <v>5.14</v>
      </c>
      <c r="L54" s="17">
        <v>3.97</v>
      </c>
      <c r="M54" s="17">
        <v>3.05</v>
      </c>
      <c r="N54" s="18">
        <v>0.26717271342605309</v>
      </c>
      <c r="O54" s="22">
        <v>98.727000000000004</v>
      </c>
      <c r="P54" s="17">
        <v>5.64</v>
      </c>
      <c r="Q54" s="14">
        <f t="shared" si="0"/>
        <v>4.6823999999999995</v>
      </c>
      <c r="R54" s="17"/>
      <c r="S54" s="24">
        <v>1070</v>
      </c>
      <c r="T54" s="14">
        <v>0.31719311652130511</v>
      </c>
      <c r="U54" s="16">
        <v>-8.9230856198115536</v>
      </c>
      <c r="V54" s="15">
        <v>0.14851419714593769</v>
      </c>
    </row>
    <row r="55" spans="1:22" ht="13" customHeight="1">
      <c r="A55" s="6" t="s">
        <v>159</v>
      </c>
      <c r="B55" s="6">
        <v>953</v>
      </c>
      <c r="C55" s="6">
        <v>2029.9999999999998</v>
      </c>
      <c r="D55" s="6" t="s">
        <v>160</v>
      </c>
      <c r="E55" s="10" t="s">
        <v>88</v>
      </c>
      <c r="F55" s="17">
        <v>60.59</v>
      </c>
      <c r="G55" s="17">
        <v>0.76</v>
      </c>
      <c r="H55" s="17">
        <v>18.47</v>
      </c>
      <c r="I55" s="17">
        <v>4.6399999999999997</v>
      </c>
      <c r="J55" s="17">
        <v>0.87</v>
      </c>
      <c r="K55" s="17">
        <v>5.46</v>
      </c>
      <c r="L55" s="17">
        <v>5.38</v>
      </c>
      <c r="M55" s="17">
        <v>3.38</v>
      </c>
      <c r="N55" s="18">
        <v>0.22971859472146619</v>
      </c>
      <c r="O55" s="22">
        <v>99.641999999999982</v>
      </c>
      <c r="P55" s="17">
        <v>8.41</v>
      </c>
      <c r="Q55" s="14">
        <f t="shared" si="0"/>
        <v>7.2031000000000001</v>
      </c>
      <c r="R55" s="17"/>
      <c r="S55" s="24">
        <v>920</v>
      </c>
      <c r="T55" s="14">
        <v>0.22654856939817908</v>
      </c>
      <c r="U55" s="16">
        <v>-9.0048346269985018</v>
      </c>
      <c r="V55" s="15">
        <v>0.18122992952043324</v>
      </c>
    </row>
    <row r="56" spans="1:22" ht="13" customHeight="1">
      <c r="A56" s="6" t="s">
        <v>89</v>
      </c>
      <c r="B56" s="6">
        <v>927</v>
      </c>
      <c r="C56" s="6">
        <v>2040</v>
      </c>
      <c r="D56" s="6" t="s">
        <v>160</v>
      </c>
      <c r="E56" s="10" t="s">
        <v>88</v>
      </c>
      <c r="F56" s="17">
        <v>63.17</v>
      </c>
      <c r="G56" s="17">
        <v>0.68</v>
      </c>
      <c r="H56" s="17">
        <v>19.079999999999998</v>
      </c>
      <c r="I56" s="17">
        <v>2.2799999999999998</v>
      </c>
      <c r="J56" s="17">
        <v>1.1100000000000001</v>
      </c>
      <c r="K56" s="17">
        <v>5.0999999999999996</v>
      </c>
      <c r="L56" s="17">
        <v>5.22</v>
      </c>
      <c r="M56" s="17">
        <v>3.22</v>
      </c>
      <c r="N56" s="18">
        <v>7.2411296162201308E-2</v>
      </c>
      <c r="O56" s="22">
        <v>99.888999999999996</v>
      </c>
      <c r="P56" s="17">
        <v>7</v>
      </c>
      <c r="Q56" s="14">
        <f t="shared" si="0"/>
        <v>5.92</v>
      </c>
      <c r="R56" s="17"/>
      <c r="S56" s="24">
        <v>290</v>
      </c>
      <c r="T56" s="14">
        <v>-0.99615242769092072</v>
      </c>
      <c r="U56" s="16">
        <v>-10.238596552938853</v>
      </c>
      <c r="V56" s="15">
        <v>0.1136498150496244</v>
      </c>
    </row>
    <row r="57" spans="1:22" ht="13" customHeight="1">
      <c r="A57" s="6" t="s">
        <v>90</v>
      </c>
      <c r="B57" s="6">
        <v>927</v>
      </c>
      <c r="C57" s="6">
        <v>2040</v>
      </c>
      <c r="D57" s="6" t="s">
        <v>160</v>
      </c>
      <c r="E57" s="10" t="s">
        <v>88</v>
      </c>
      <c r="F57" s="17">
        <v>63.32</v>
      </c>
      <c r="G57" s="17">
        <v>0.69</v>
      </c>
      <c r="H57" s="17">
        <v>19.02</v>
      </c>
      <c r="I57" s="17">
        <v>2.34</v>
      </c>
      <c r="J57" s="17">
        <v>1.47</v>
      </c>
      <c r="K57" s="17">
        <v>4.7699999999999996</v>
      </c>
      <c r="L57" s="17">
        <v>4.96</v>
      </c>
      <c r="M57" s="17">
        <v>3.3</v>
      </c>
      <c r="N57" s="18">
        <v>7.2411296162201308E-2</v>
      </c>
      <c r="O57" s="22">
        <v>99.898999999999987</v>
      </c>
      <c r="P57" s="17">
        <v>6.17</v>
      </c>
      <c r="Q57" s="14">
        <f t="shared" si="0"/>
        <v>5.1646999999999998</v>
      </c>
      <c r="R57" s="17"/>
      <c r="S57" s="24">
        <v>290</v>
      </c>
      <c r="T57" s="14">
        <v>-1.0630466625209509</v>
      </c>
      <c r="U57" s="16">
        <v>-10.308878508834157</v>
      </c>
      <c r="V57" s="15">
        <v>0.11510444519782256</v>
      </c>
    </row>
    <row r="58" spans="1:22" ht="13" customHeight="1">
      <c r="A58" s="6" t="s">
        <v>91</v>
      </c>
      <c r="B58" s="6">
        <v>927</v>
      </c>
      <c r="C58" s="6">
        <v>2040</v>
      </c>
      <c r="D58" s="6" t="s">
        <v>160</v>
      </c>
      <c r="E58" s="10" t="s">
        <v>88</v>
      </c>
      <c r="F58" s="17">
        <v>65.819999999999993</v>
      </c>
      <c r="G58" s="17">
        <v>0.68</v>
      </c>
      <c r="H58" s="17">
        <v>18.920000000000002</v>
      </c>
      <c r="I58" s="17">
        <v>1.38</v>
      </c>
      <c r="J58" s="17">
        <v>1.49</v>
      </c>
      <c r="K58" s="17">
        <v>3.75</v>
      </c>
      <c r="L58" s="17">
        <v>4.5999999999999996</v>
      </c>
      <c r="M58" s="17">
        <v>3.29</v>
      </c>
      <c r="N58" s="18">
        <v>0.17478588728807209</v>
      </c>
      <c r="O58" s="22">
        <v>99.999999999999986</v>
      </c>
      <c r="P58" s="17">
        <v>8.6300000000000008</v>
      </c>
      <c r="Q58" s="14">
        <f t="shared" si="0"/>
        <v>7.4033000000000007</v>
      </c>
      <c r="R58" s="17"/>
      <c r="S58" s="24">
        <v>700</v>
      </c>
      <c r="T58" s="14">
        <v>-0.4224377153759965</v>
      </c>
      <c r="U58" s="16">
        <v>-9.6745945991400593</v>
      </c>
      <c r="V58" s="15">
        <v>6.3226042923385378E-2</v>
      </c>
    </row>
    <row r="59" spans="1:22" ht="13" customHeight="1">
      <c r="A59" s="6" t="s">
        <v>92</v>
      </c>
      <c r="B59" s="6">
        <v>927</v>
      </c>
      <c r="C59" s="6">
        <v>2040</v>
      </c>
      <c r="D59" s="6" t="s">
        <v>160</v>
      </c>
      <c r="E59" s="10" t="s">
        <v>88</v>
      </c>
      <c r="F59" s="17">
        <v>64.87</v>
      </c>
      <c r="G59" s="17">
        <v>0.67</v>
      </c>
      <c r="H59" s="17">
        <v>18.55</v>
      </c>
      <c r="I59" s="17">
        <v>2.0099999999999998</v>
      </c>
      <c r="J59" s="17">
        <v>1.24</v>
      </c>
      <c r="K59" s="17">
        <v>4.1900000000000004</v>
      </c>
      <c r="L59" s="17">
        <v>4.8499999999999996</v>
      </c>
      <c r="M59" s="17">
        <v>3.53</v>
      </c>
      <c r="N59" s="18">
        <v>0.24470024220330094</v>
      </c>
      <c r="O59" s="22">
        <v>100.008</v>
      </c>
      <c r="P59" s="17">
        <v>7.98</v>
      </c>
      <c r="Q59" s="14">
        <f t="shared" si="0"/>
        <v>6.8118000000000007</v>
      </c>
      <c r="R59" s="17"/>
      <c r="S59" s="24">
        <v>980</v>
      </c>
      <c r="T59" s="14">
        <v>2.4979415196943522E-2</v>
      </c>
      <c r="U59" s="16">
        <v>-9.2249462645072029</v>
      </c>
      <c r="V59" s="15">
        <v>9.2642476138466864E-2</v>
      </c>
    </row>
    <row r="60" spans="1:22" ht="13" customHeight="1">
      <c r="A60" s="6">
        <v>149</v>
      </c>
      <c r="B60" s="6">
        <v>800</v>
      </c>
      <c r="C60" s="6">
        <v>2000</v>
      </c>
      <c r="D60" s="6" t="s">
        <v>104</v>
      </c>
      <c r="E60" s="10" t="s">
        <v>105</v>
      </c>
      <c r="F60" s="17">
        <v>70.349999999999994</v>
      </c>
      <c r="G60" s="17">
        <v>0.26</v>
      </c>
      <c r="H60" s="17">
        <v>15.86</v>
      </c>
      <c r="I60" s="17">
        <v>1.26</v>
      </c>
      <c r="J60" s="17">
        <v>0.25</v>
      </c>
      <c r="K60" s="17">
        <v>1.61</v>
      </c>
      <c r="L60" s="17">
        <v>4.6100000000000003</v>
      </c>
      <c r="M60" s="17">
        <v>5.61</v>
      </c>
      <c r="N60" s="18">
        <v>0.04</v>
      </c>
      <c r="O60" s="22">
        <v>99.850000000000009</v>
      </c>
      <c r="P60" s="17">
        <v>8.91</v>
      </c>
      <c r="Q60" s="14">
        <f t="shared" si="0"/>
        <v>7.6581000000000001</v>
      </c>
      <c r="R60" s="17"/>
      <c r="S60" s="24">
        <v>160.19600000000003</v>
      </c>
      <c r="T60" s="14">
        <v>-2.7426416458718292</v>
      </c>
      <c r="U60" s="16">
        <v>-11.985102827636739</v>
      </c>
      <c r="V60" s="15">
        <v>4.1519934410323089E-2</v>
      </c>
    </row>
    <row r="61" spans="1:22" ht="13" customHeight="1">
      <c r="A61" s="6">
        <v>105</v>
      </c>
      <c r="B61" s="6">
        <v>800</v>
      </c>
      <c r="C61" s="6">
        <v>2000</v>
      </c>
      <c r="D61" s="6" t="s">
        <v>39</v>
      </c>
      <c r="E61" s="10" t="s">
        <v>105</v>
      </c>
      <c r="F61" s="17">
        <v>70.59</v>
      </c>
      <c r="G61" s="17">
        <v>0.19</v>
      </c>
      <c r="H61" s="17">
        <v>16.100000000000001</v>
      </c>
      <c r="I61" s="17">
        <v>1.29</v>
      </c>
      <c r="J61" s="17">
        <v>0.24</v>
      </c>
      <c r="K61" s="17">
        <v>1.64</v>
      </c>
      <c r="L61" s="17">
        <v>4.07</v>
      </c>
      <c r="M61" s="17">
        <v>5.79</v>
      </c>
      <c r="N61" s="18">
        <v>0.04</v>
      </c>
      <c r="O61" s="22">
        <v>99.950000000000017</v>
      </c>
      <c r="P61" s="17">
        <v>8.6999999999999993</v>
      </c>
      <c r="Q61" s="14">
        <f t="shared" si="0"/>
        <v>7.4669999999999996</v>
      </c>
      <c r="R61" s="17"/>
      <c r="S61" s="24">
        <v>160.19600000000003</v>
      </c>
      <c r="T61" s="14">
        <v>-2.7241795830320936</v>
      </c>
      <c r="U61" s="16">
        <v>-11.96581595162956</v>
      </c>
      <c r="V61" s="15">
        <v>2.9981636992360287E-2</v>
      </c>
    </row>
    <row r="62" spans="1:22" ht="13" customHeight="1">
      <c r="A62" s="6">
        <v>263</v>
      </c>
      <c r="B62" s="6">
        <v>800</v>
      </c>
      <c r="C62" s="6">
        <v>2500</v>
      </c>
      <c r="D62" s="6" t="s">
        <v>104</v>
      </c>
      <c r="E62" s="10" t="s">
        <v>105</v>
      </c>
      <c r="F62" s="17">
        <v>69.930000000000007</v>
      </c>
      <c r="G62" s="17">
        <v>0.24</v>
      </c>
      <c r="H62" s="17">
        <v>16.22</v>
      </c>
      <c r="I62" s="17">
        <v>1.1599999999999999</v>
      </c>
      <c r="J62" s="17">
        <v>0.24</v>
      </c>
      <c r="K62" s="17">
        <v>1.86</v>
      </c>
      <c r="L62" s="17">
        <v>4.46</v>
      </c>
      <c r="M62" s="17">
        <v>5.68</v>
      </c>
      <c r="N62" s="18">
        <v>0.04</v>
      </c>
      <c r="O62" s="22">
        <v>99.83</v>
      </c>
      <c r="P62" s="17">
        <v>9.9</v>
      </c>
      <c r="Q62" s="14">
        <f t="shared" si="0"/>
        <v>8.5590000000000011</v>
      </c>
      <c r="R62" s="17"/>
      <c r="S62" s="24">
        <v>160.19600000000003</v>
      </c>
      <c r="T62" s="14">
        <v>-2.5982993371430907</v>
      </c>
      <c r="U62" s="16">
        <v>-11.837370078517434</v>
      </c>
      <c r="V62" s="15">
        <v>3.8306554836989394E-2</v>
      </c>
    </row>
    <row r="63" spans="1:22" ht="13" customHeight="1">
      <c r="A63" s="6">
        <v>203</v>
      </c>
      <c r="B63" s="6">
        <v>800</v>
      </c>
      <c r="C63" s="6">
        <v>4000</v>
      </c>
      <c r="D63" s="6" t="s">
        <v>104</v>
      </c>
      <c r="E63" s="10" t="s">
        <v>105</v>
      </c>
      <c r="F63" s="17">
        <v>67.31</v>
      </c>
      <c r="G63" s="17">
        <v>0.19</v>
      </c>
      <c r="H63" s="17">
        <v>17.89</v>
      </c>
      <c r="I63" s="17">
        <v>1.32</v>
      </c>
      <c r="J63" s="17">
        <v>0.38</v>
      </c>
      <c r="K63" s="17">
        <v>2.71</v>
      </c>
      <c r="L63" s="17">
        <v>5.31</v>
      </c>
      <c r="M63" s="17">
        <v>4.63</v>
      </c>
      <c r="N63" s="18">
        <v>0.12</v>
      </c>
      <c r="O63" s="22">
        <v>99.859999999999985</v>
      </c>
      <c r="P63" s="17">
        <v>10.81</v>
      </c>
      <c r="Q63" s="14">
        <f t="shared" si="0"/>
        <v>9.387100000000002</v>
      </c>
      <c r="R63" s="17"/>
      <c r="S63" s="24">
        <v>480.58799999999997</v>
      </c>
      <c r="T63" s="14">
        <v>-1.1233149013084816</v>
      </c>
      <c r="U63" s="16">
        <v>-10.357853041850621</v>
      </c>
      <c r="V63" s="15">
        <v>4.816962803512017E-2</v>
      </c>
    </row>
    <row r="64" spans="1:22" ht="13" customHeight="1">
      <c r="A64" s="6">
        <v>193</v>
      </c>
      <c r="B64" s="6">
        <v>800</v>
      </c>
      <c r="C64" s="6">
        <v>4000</v>
      </c>
      <c r="D64" s="6" t="s">
        <v>39</v>
      </c>
      <c r="E64" s="10" t="s">
        <v>105</v>
      </c>
      <c r="F64" s="17">
        <v>67.12</v>
      </c>
      <c r="G64" s="17">
        <v>0.1</v>
      </c>
      <c r="H64" s="17">
        <v>17.739999999999998</v>
      </c>
      <c r="I64" s="17">
        <v>1.27</v>
      </c>
      <c r="J64" s="17">
        <v>0.38</v>
      </c>
      <c r="K64" s="17">
        <v>2.7</v>
      </c>
      <c r="L64" s="17">
        <v>5.66</v>
      </c>
      <c r="M64" s="17">
        <v>4.62</v>
      </c>
      <c r="N64" s="18">
        <v>0.13</v>
      </c>
      <c r="O64" s="22">
        <v>99.719999999999985</v>
      </c>
      <c r="P64" s="17">
        <v>10.56</v>
      </c>
      <c r="Q64" s="14">
        <f t="shared" si="0"/>
        <v>9.1596000000000011</v>
      </c>
      <c r="R64" s="17"/>
      <c r="S64" s="24">
        <v>520.63700000000006</v>
      </c>
      <c r="T64" s="14">
        <v>-1.0469690555162712</v>
      </c>
      <c r="U64" s="16">
        <v>-10.280224302353476</v>
      </c>
      <c r="V64" s="15">
        <v>5.6778711243637474E-2</v>
      </c>
    </row>
    <row r="65" spans="1:22" ht="13" customHeight="1">
      <c r="A65" s="6">
        <v>139</v>
      </c>
      <c r="B65" s="6">
        <v>850</v>
      </c>
      <c r="C65" s="6">
        <v>2000</v>
      </c>
      <c r="D65" s="6" t="s">
        <v>39</v>
      </c>
      <c r="E65" s="10" t="s">
        <v>105</v>
      </c>
      <c r="F65" s="17">
        <v>67.87</v>
      </c>
      <c r="G65" s="17">
        <v>0.25</v>
      </c>
      <c r="H65" s="17">
        <v>17.32</v>
      </c>
      <c r="I65" s="17">
        <v>1.58</v>
      </c>
      <c r="J65" s="17">
        <v>0.8</v>
      </c>
      <c r="K65" s="17">
        <v>2.37</v>
      </c>
      <c r="L65" s="17">
        <v>4.6500000000000004</v>
      </c>
      <c r="M65" s="17">
        <v>4.9000000000000004</v>
      </c>
      <c r="N65" s="18">
        <v>0.1</v>
      </c>
      <c r="O65" s="22">
        <v>99.84</v>
      </c>
      <c r="P65" s="17">
        <v>8.4700000000000006</v>
      </c>
      <c r="Q65" s="14">
        <f t="shared" si="0"/>
        <v>7.2577000000000007</v>
      </c>
      <c r="R65" s="17"/>
      <c r="S65" s="24">
        <v>400.49</v>
      </c>
      <c r="T65" s="14">
        <v>-1.4396951378470058</v>
      </c>
      <c r="U65" s="16">
        <v>-10.680085435515398</v>
      </c>
      <c r="V65" s="15">
        <v>5.6064509920419087E-2</v>
      </c>
    </row>
    <row r="66" spans="1:22" ht="13" customHeight="1">
      <c r="A66" s="6">
        <v>213</v>
      </c>
      <c r="B66" s="6">
        <v>850</v>
      </c>
      <c r="C66" s="6">
        <v>4000</v>
      </c>
      <c r="D66" s="6" t="s">
        <v>104</v>
      </c>
      <c r="E66" s="10" t="s">
        <v>105</v>
      </c>
      <c r="F66" s="17">
        <v>64.47</v>
      </c>
      <c r="G66" s="17">
        <v>0.28000000000000003</v>
      </c>
      <c r="H66" s="17">
        <v>19.260000000000002</v>
      </c>
      <c r="I66" s="17">
        <v>1.91</v>
      </c>
      <c r="J66" s="17">
        <v>0.65</v>
      </c>
      <c r="K66" s="17">
        <v>4.18</v>
      </c>
      <c r="L66" s="17">
        <v>4.8899999999999997</v>
      </c>
      <c r="M66" s="17">
        <v>3.99</v>
      </c>
      <c r="N66" s="18">
        <v>0.19</v>
      </c>
      <c r="O66" s="22">
        <v>99.82</v>
      </c>
      <c r="P66" s="17">
        <v>9.5299999999999994</v>
      </c>
      <c r="Q66" s="14">
        <f t="shared" si="0"/>
        <v>8.2223000000000006</v>
      </c>
      <c r="R66" s="17"/>
      <c r="S66" s="24">
        <v>760.93099999999993</v>
      </c>
      <c r="T66" s="14">
        <v>-0.23041996028498607</v>
      </c>
      <c r="U66" s="16">
        <v>-9.4592906295420001</v>
      </c>
      <c r="V66" s="15">
        <v>6.822397320397236E-2</v>
      </c>
    </row>
    <row r="67" spans="1:22" ht="13" customHeight="1">
      <c r="A67" s="6">
        <v>208</v>
      </c>
      <c r="B67" s="6">
        <v>850</v>
      </c>
      <c r="C67" s="6">
        <v>4000</v>
      </c>
      <c r="D67" s="6" t="s">
        <v>39</v>
      </c>
      <c r="E67" s="10" t="s">
        <v>105</v>
      </c>
      <c r="F67" s="17">
        <v>64.47</v>
      </c>
      <c r="G67" s="17">
        <v>0.24</v>
      </c>
      <c r="H67" s="17">
        <v>19.2</v>
      </c>
      <c r="I67" s="17">
        <v>1.78</v>
      </c>
      <c r="J67" s="17">
        <v>0.69</v>
      </c>
      <c r="K67" s="17">
        <v>4.2300000000000004</v>
      </c>
      <c r="L67" s="17">
        <v>5.03</v>
      </c>
      <c r="M67" s="17">
        <v>3.98</v>
      </c>
      <c r="N67" s="18">
        <v>0.2</v>
      </c>
      <c r="O67" s="22">
        <v>99.820000000000007</v>
      </c>
      <c r="P67" s="17">
        <v>9.27</v>
      </c>
      <c r="Q67" s="14">
        <f t="shared" si="0"/>
        <v>7.9857000000000005</v>
      </c>
      <c r="R67" s="17"/>
      <c r="S67" s="24">
        <v>800.98</v>
      </c>
      <c r="T67" s="14">
        <v>-0.16723591937591367</v>
      </c>
      <c r="U67" s="16">
        <v>-9.3977829584738686</v>
      </c>
      <c r="V67" s="15">
        <v>7.2179701413279021E-2</v>
      </c>
    </row>
    <row r="68" spans="1:22" ht="13" customHeight="1">
      <c r="A68" s="6">
        <v>282</v>
      </c>
      <c r="B68" s="6">
        <v>900</v>
      </c>
      <c r="C68" s="6">
        <v>1000</v>
      </c>
      <c r="D68" s="6" t="s">
        <v>104</v>
      </c>
      <c r="E68" s="10" t="s">
        <v>105</v>
      </c>
      <c r="F68" s="17">
        <v>66.95</v>
      </c>
      <c r="G68" s="17">
        <v>0.63</v>
      </c>
      <c r="H68" s="17">
        <v>17.18</v>
      </c>
      <c r="I68" s="17">
        <v>1.9</v>
      </c>
      <c r="J68" s="17">
        <v>0.54</v>
      </c>
      <c r="K68" s="17">
        <v>2.06</v>
      </c>
      <c r="L68" s="17">
        <v>5.23</v>
      </c>
      <c r="M68" s="17">
        <v>5.28</v>
      </c>
      <c r="N68" s="18">
        <v>0.11</v>
      </c>
      <c r="O68" s="22">
        <v>99.88000000000001</v>
      </c>
      <c r="P68" s="17">
        <v>6.77</v>
      </c>
      <c r="Q68" s="14">
        <f t="shared" ref="Q68:Q103" si="2">P68*0.91-0.45</f>
        <v>5.7106999999999992</v>
      </c>
      <c r="R68" s="17"/>
      <c r="S68" s="24">
        <v>440.53899999999999</v>
      </c>
      <c r="T68" s="14">
        <v>-1.4845689303882312</v>
      </c>
      <c r="U68" s="16">
        <v>-10.717106322352205</v>
      </c>
      <c r="V68" s="15">
        <v>6.6498020181694775E-2</v>
      </c>
    </row>
    <row r="69" spans="1:22" ht="13" customHeight="1">
      <c r="A69" s="6">
        <v>169</v>
      </c>
      <c r="B69" s="6">
        <v>900</v>
      </c>
      <c r="C69" s="6">
        <v>2000</v>
      </c>
      <c r="D69" s="6" t="s">
        <v>104</v>
      </c>
      <c r="E69" s="10" t="s">
        <v>105</v>
      </c>
      <c r="F69" s="17">
        <v>64.14</v>
      </c>
      <c r="G69" s="17">
        <v>0.54</v>
      </c>
      <c r="H69" s="17">
        <v>18.46</v>
      </c>
      <c r="I69" s="17">
        <v>2.34</v>
      </c>
      <c r="J69" s="17">
        <v>0.96</v>
      </c>
      <c r="K69" s="17">
        <v>3.96</v>
      </c>
      <c r="L69" s="17">
        <v>5.01</v>
      </c>
      <c r="M69" s="17">
        <v>4.17</v>
      </c>
      <c r="N69" s="18">
        <v>0.22</v>
      </c>
      <c r="O69" s="22">
        <v>99.800000000000011</v>
      </c>
      <c r="P69" s="17">
        <v>8.31</v>
      </c>
      <c r="Q69" s="14">
        <f t="shared" si="2"/>
        <v>7.1121000000000008</v>
      </c>
      <c r="R69" s="17"/>
      <c r="S69" s="24">
        <v>881.07799999999997</v>
      </c>
      <c r="T69" s="14">
        <v>-0.13788370736338637</v>
      </c>
      <c r="U69" s="16">
        <v>-9.371915629564576</v>
      </c>
      <c r="V69" s="15">
        <v>9.8938872736836034E-2</v>
      </c>
    </row>
    <row r="70" spans="1:22" ht="13" customHeight="1">
      <c r="A70" s="6">
        <v>114</v>
      </c>
      <c r="B70" s="6">
        <v>900</v>
      </c>
      <c r="C70" s="6">
        <v>2000</v>
      </c>
      <c r="D70" s="6" t="s">
        <v>39</v>
      </c>
      <c r="E70" s="10" t="s">
        <v>105</v>
      </c>
      <c r="F70" s="17">
        <v>64.84</v>
      </c>
      <c r="G70" s="17">
        <v>0.48</v>
      </c>
      <c r="H70" s="17">
        <v>18.27</v>
      </c>
      <c r="I70" s="17">
        <v>2.09</v>
      </c>
      <c r="J70" s="17">
        <v>0.96</v>
      </c>
      <c r="K70" s="17">
        <v>3.71</v>
      </c>
      <c r="L70" s="17">
        <v>4.97</v>
      </c>
      <c r="M70" s="17">
        <v>4.32</v>
      </c>
      <c r="N70" s="18">
        <v>0.17</v>
      </c>
      <c r="O70" s="22">
        <v>99.809999999999988</v>
      </c>
      <c r="P70" s="17">
        <v>8.25</v>
      </c>
      <c r="Q70" s="14">
        <f t="shared" si="2"/>
        <v>7.0575000000000001</v>
      </c>
      <c r="R70" s="17"/>
      <c r="S70" s="24">
        <v>680.83300000000008</v>
      </c>
      <c r="T70" s="14">
        <v>-0.46092496531253146</v>
      </c>
      <c r="U70" s="16">
        <v>-9.6968372020017988</v>
      </c>
      <c r="V70" s="15">
        <v>9.1343473098426969E-2</v>
      </c>
    </row>
    <row r="71" spans="1:22" ht="13" customHeight="1">
      <c r="A71" s="6">
        <v>189</v>
      </c>
      <c r="B71" s="6">
        <v>900</v>
      </c>
      <c r="C71" s="6">
        <v>4000</v>
      </c>
      <c r="D71" s="6" t="s">
        <v>104</v>
      </c>
      <c r="E71" s="10" t="s">
        <v>105</v>
      </c>
      <c r="F71" s="17">
        <v>60.77</v>
      </c>
      <c r="G71" s="17">
        <v>0.52</v>
      </c>
      <c r="H71" s="17">
        <v>20.22</v>
      </c>
      <c r="I71" s="17">
        <v>2.5099999999999998</v>
      </c>
      <c r="J71" s="17">
        <v>0.97</v>
      </c>
      <c r="K71" s="17">
        <v>6.39</v>
      </c>
      <c r="L71" s="17">
        <v>4.8600000000000003</v>
      </c>
      <c r="M71" s="17">
        <v>3.18</v>
      </c>
      <c r="N71" s="18">
        <v>0.39</v>
      </c>
      <c r="O71" s="22">
        <v>99.810000000000016</v>
      </c>
      <c r="P71" s="17">
        <v>11.23</v>
      </c>
      <c r="Q71" s="14">
        <f t="shared" si="2"/>
        <v>9.7693000000000012</v>
      </c>
      <c r="R71" s="17"/>
      <c r="S71" s="24">
        <v>1561.9110000000001</v>
      </c>
      <c r="T71" s="14">
        <v>0.91312572853099838</v>
      </c>
      <c r="U71" s="16">
        <v>-8.3156867219409136</v>
      </c>
      <c r="V71" s="15">
        <v>0.12274158148596427</v>
      </c>
    </row>
    <row r="72" spans="1:22" ht="13" customHeight="1">
      <c r="A72" s="6">
        <v>104</v>
      </c>
      <c r="B72" s="6">
        <v>950</v>
      </c>
      <c r="C72" s="6">
        <v>2000</v>
      </c>
      <c r="D72" s="6" t="s">
        <v>104</v>
      </c>
      <c r="E72" s="10" t="s">
        <v>105</v>
      </c>
      <c r="F72" s="17">
        <v>60.83</v>
      </c>
      <c r="G72" s="17">
        <v>0.61</v>
      </c>
      <c r="H72" s="17">
        <v>19.13</v>
      </c>
      <c r="I72" s="17">
        <v>3.16</v>
      </c>
      <c r="J72" s="17">
        <v>1.43</v>
      </c>
      <c r="K72" s="17">
        <v>6.41</v>
      </c>
      <c r="L72" s="17">
        <v>4.4800000000000004</v>
      </c>
      <c r="M72" s="17">
        <v>3.29</v>
      </c>
      <c r="N72" s="18">
        <v>0.41</v>
      </c>
      <c r="O72" s="22">
        <v>99.75</v>
      </c>
      <c r="P72" s="17">
        <v>7.99</v>
      </c>
      <c r="Q72" s="14">
        <f t="shared" si="2"/>
        <v>6.8209</v>
      </c>
      <c r="R72" s="17"/>
      <c r="S72" s="24">
        <v>1642.0089999999998</v>
      </c>
      <c r="T72" s="14">
        <v>0.96626115164879511</v>
      </c>
      <c r="U72" s="16">
        <v>-8.2725373814993493</v>
      </c>
      <c r="V72" s="15">
        <v>0.16248520263274971</v>
      </c>
    </row>
    <row r="73" spans="1:22" ht="13" customHeight="1">
      <c r="A73" s="6">
        <v>119</v>
      </c>
      <c r="B73" s="6">
        <v>950</v>
      </c>
      <c r="C73" s="6">
        <v>2000</v>
      </c>
      <c r="D73" s="6" t="s">
        <v>39</v>
      </c>
      <c r="E73" s="10" t="s">
        <v>105</v>
      </c>
      <c r="F73" s="17">
        <v>60.74</v>
      </c>
      <c r="G73" s="17">
        <v>0.65</v>
      </c>
      <c r="H73" s="17">
        <v>19.05</v>
      </c>
      <c r="I73" s="17">
        <v>3.24</v>
      </c>
      <c r="J73" s="17">
        <v>1.42</v>
      </c>
      <c r="K73" s="17">
        <v>6.54</v>
      </c>
      <c r="L73" s="17">
        <v>4.5599999999999996</v>
      </c>
      <c r="M73" s="17">
        <v>3.19</v>
      </c>
      <c r="N73" s="18">
        <v>0.39</v>
      </c>
      <c r="O73" s="22">
        <v>99.78</v>
      </c>
      <c r="P73" s="17">
        <v>6.96</v>
      </c>
      <c r="Q73" s="14">
        <f t="shared" si="2"/>
        <v>5.8836000000000004</v>
      </c>
      <c r="R73" s="17"/>
      <c r="S73" s="24">
        <v>1561.9110000000001</v>
      </c>
      <c r="T73" s="14">
        <v>0.93632862561066244</v>
      </c>
      <c r="U73" s="16">
        <v>-8.3042938883897595</v>
      </c>
      <c r="V73" s="15">
        <v>0.16881214935205968</v>
      </c>
    </row>
    <row r="74" spans="1:22" ht="13" customHeight="1">
      <c r="A74" s="6">
        <v>233</v>
      </c>
      <c r="B74" s="6">
        <v>950</v>
      </c>
      <c r="C74" s="6">
        <v>4000</v>
      </c>
      <c r="D74" s="6" t="s">
        <v>104</v>
      </c>
      <c r="E74" s="10" t="s">
        <v>105</v>
      </c>
      <c r="F74" s="17">
        <v>59.84</v>
      </c>
      <c r="G74" s="17">
        <v>0.63</v>
      </c>
      <c r="H74" s="17">
        <v>18.93</v>
      </c>
      <c r="I74" s="17">
        <v>2.86</v>
      </c>
      <c r="J74" s="17">
        <v>0.3</v>
      </c>
      <c r="K74" s="17">
        <v>9.65</v>
      </c>
      <c r="L74" s="17">
        <v>4.63</v>
      </c>
      <c r="M74" s="17">
        <v>2.08</v>
      </c>
      <c r="N74" s="18">
        <v>0.87</v>
      </c>
      <c r="O74" s="22">
        <v>99.79</v>
      </c>
      <c r="P74" s="17">
        <v>11.16</v>
      </c>
      <c r="Q74" s="14">
        <f t="shared" si="2"/>
        <v>9.7056000000000004</v>
      </c>
      <c r="R74" s="17"/>
      <c r="S74" s="24">
        <v>3484.2630000000004</v>
      </c>
      <c r="T74" s="14">
        <v>2.1276958480173871</v>
      </c>
      <c r="U74" s="16">
        <v>-7.1146591774474963</v>
      </c>
      <c r="V74" s="15">
        <v>0.18973416317052558</v>
      </c>
    </row>
    <row r="75" spans="1:22" ht="13" customHeight="1">
      <c r="A75" s="6">
        <v>243</v>
      </c>
      <c r="B75" s="6">
        <v>950</v>
      </c>
      <c r="C75" s="6">
        <v>4000</v>
      </c>
      <c r="D75" s="6" t="s">
        <v>39</v>
      </c>
      <c r="E75" s="10" t="s">
        <v>105</v>
      </c>
      <c r="F75" s="17">
        <v>59.82</v>
      </c>
      <c r="G75" s="17">
        <v>0.44</v>
      </c>
      <c r="H75" s="17">
        <v>19.62</v>
      </c>
      <c r="I75" s="17">
        <v>2.78</v>
      </c>
      <c r="J75" s="17">
        <v>0.44</v>
      </c>
      <c r="K75" s="17">
        <v>8.92</v>
      </c>
      <c r="L75" s="17">
        <v>4.76</v>
      </c>
      <c r="M75" s="17">
        <v>2.2799999999999998</v>
      </c>
      <c r="N75" s="18">
        <v>0.76</v>
      </c>
      <c r="O75" s="22">
        <v>99.820000000000007</v>
      </c>
      <c r="P75" s="17">
        <v>11.64</v>
      </c>
      <c r="Q75" s="14">
        <f t="shared" si="2"/>
        <v>10.142400000000002</v>
      </c>
      <c r="R75" s="17"/>
      <c r="S75" s="24">
        <v>3043.7239999999997</v>
      </c>
      <c r="T75" s="14">
        <v>1.9138591008901578</v>
      </c>
      <c r="U75" s="16">
        <v>-7.3235379981868229</v>
      </c>
      <c r="V75" s="15">
        <v>0.16919865829253478</v>
      </c>
    </row>
    <row r="76" spans="1:22" ht="13" customHeight="1">
      <c r="A76" s="6">
        <v>93</v>
      </c>
      <c r="B76" s="6">
        <v>1000</v>
      </c>
      <c r="C76" s="6">
        <v>2000</v>
      </c>
      <c r="D76" s="6" t="s">
        <v>104</v>
      </c>
      <c r="E76" s="10" t="s">
        <v>105</v>
      </c>
      <c r="F76" s="17">
        <v>57.55</v>
      </c>
      <c r="G76" s="17">
        <v>0.64</v>
      </c>
      <c r="H76" s="17">
        <v>18.690000000000001</v>
      </c>
      <c r="I76" s="17">
        <v>4.93</v>
      </c>
      <c r="J76" s="17">
        <v>1.99</v>
      </c>
      <c r="K76" s="17">
        <v>8.4499999999999993</v>
      </c>
      <c r="L76" s="17">
        <v>4.13</v>
      </c>
      <c r="M76" s="17">
        <v>2.5099999999999998</v>
      </c>
      <c r="N76" s="18">
        <v>0.79</v>
      </c>
      <c r="O76" s="22">
        <v>99.68</v>
      </c>
      <c r="P76" s="17">
        <v>7.03</v>
      </c>
      <c r="Q76" s="14">
        <f t="shared" si="2"/>
        <v>5.9473000000000003</v>
      </c>
      <c r="R76" s="17"/>
      <c r="S76" s="24">
        <v>3163.8710000000001</v>
      </c>
      <c r="T76" s="14">
        <v>1.8984441078480125</v>
      </c>
      <c r="U76" s="16">
        <v>-7.3498430009065467</v>
      </c>
      <c r="V76" s="15">
        <v>0.26816106724727751</v>
      </c>
    </row>
    <row r="77" spans="1:22" ht="13" customHeight="1">
      <c r="A77" s="6">
        <v>110</v>
      </c>
      <c r="B77" s="6">
        <v>1000</v>
      </c>
      <c r="C77" s="6">
        <v>2000</v>
      </c>
      <c r="D77" s="6" t="s">
        <v>39</v>
      </c>
      <c r="E77" s="10" t="s">
        <v>105</v>
      </c>
      <c r="F77" s="17">
        <v>57.62</v>
      </c>
      <c r="G77" s="17">
        <v>0.66</v>
      </c>
      <c r="H77" s="17">
        <v>18.75</v>
      </c>
      <c r="I77" s="17">
        <v>1.58</v>
      </c>
      <c r="J77" s="17">
        <v>2.09</v>
      </c>
      <c r="K77" s="17">
        <v>8.4600000000000009</v>
      </c>
      <c r="L77" s="17">
        <v>4.1500000000000004</v>
      </c>
      <c r="M77" s="17">
        <v>2.76</v>
      </c>
      <c r="N77" s="18">
        <v>0.72</v>
      </c>
      <c r="O77" s="22">
        <v>96.79</v>
      </c>
      <c r="P77" s="17">
        <v>6.53</v>
      </c>
      <c r="Q77" s="14">
        <f t="shared" si="2"/>
        <v>5.4923000000000002</v>
      </c>
      <c r="R77" s="17"/>
      <c r="S77" s="24">
        <v>2883.5280000000002</v>
      </c>
      <c r="T77" s="14">
        <v>1.806845106646096</v>
      </c>
      <c r="U77" s="16">
        <v>-7.3883270701880406</v>
      </c>
      <c r="V77" s="15">
        <v>0.20535082718167746</v>
      </c>
    </row>
    <row r="78" spans="1:22" ht="13" customHeight="1">
      <c r="A78" s="6">
        <v>238</v>
      </c>
      <c r="B78" s="6">
        <v>1000</v>
      </c>
      <c r="C78" s="6">
        <v>4000</v>
      </c>
      <c r="D78" s="6" t="s">
        <v>39</v>
      </c>
      <c r="E78" s="10" t="s">
        <v>105</v>
      </c>
      <c r="F78" s="17">
        <v>57.98</v>
      </c>
      <c r="G78" s="17">
        <v>0.55000000000000004</v>
      </c>
      <c r="H78" s="17">
        <v>18.760000000000002</v>
      </c>
      <c r="I78" s="17">
        <v>4.21</v>
      </c>
      <c r="J78" s="17">
        <v>0.79</v>
      </c>
      <c r="K78" s="17">
        <v>9.52</v>
      </c>
      <c r="L78" s="17">
        <v>4.51</v>
      </c>
      <c r="M78" s="17">
        <v>2.2599999999999998</v>
      </c>
      <c r="N78" s="18">
        <v>1.21</v>
      </c>
      <c r="O78" s="22">
        <v>99.789999999999992</v>
      </c>
      <c r="P78" s="17">
        <v>11.17</v>
      </c>
      <c r="Q78" s="14">
        <f t="shared" si="2"/>
        <v>9.7147000000000006</v>
      </c>
      <c r="R78" s="17"/>
      <c r="S78" s="24">
        <v>4845.9290000000001</v>
      </c>
      <c r="T78" s="14">
        <v>2.4440152084119235</v>
      </c>
      <c r="U78" s="16">
        <v>-6.797319434451035</v>
      </c>
      <c r="V78" s="15">
        <v>0.23992009631674285</v>
      </c>
    </row>
    <row r="79" spans="1:22" ht="13" customHeight="1">
      <c r="A79" s="6">
        <v>108</v>
      </c>
      <c r="B79" s="6">
        <v>800</v>
      </c>
      <c r="C79" s="6">
        <v>2500</v>
      </c>
      <c r="D79" s="6" t="s">
        <v>39</v>
      </c>
      <c r="E79" s="10" t="s">
        <v>105</v>
      </c>
      <c r="F79" s="17">
        <v>74.42</v>
      </c>
      <c r="G79" s="17">
        <v>0.15</v>
      </c>
      <c r="H79" s="17">
        <v>15.25</v>
      </c>
      <c r="I79" s="17">
        <v>1.1100000000000001</v>
      </c>
      <c r="J79" s="17">
        <v>0.9</v>
      </c>
      <c r="K79" s="17">
        <v>1.96</v>
      </c>
      <c r="L79" s="17">
        <v>4.0199999999999996</v>
      </c>
      <c r="M79" s="17">
        <v>2.0499999999999998</v>
      </c>
      <c r="N79" s="18">
        <v>7.0000000000000007E-2</v>
      </c>
      <c r="O79" s="22">
        <v>99.929999999999993</v>
      </c>
      <c r="P79" s="17">
        <v>9.26</v>
      </c>
      <c r="Q79" s="14">
        <f t="shared" si="2"/>
        <v>7.9766000000000004</v>
      </c>
      <c r="R79" s="17"/>
      <c r="S79" s="24">
        <v>280.34300000000007</v>
      </c>
      <c r="T79" s="14">
        <v>-1.986315563690352</v>
      </c>
      <c r="U79" s="16">
        <v>-11.272765178187734</v>
      </c>
      <c r="V79" s="15">
        <v>1.2713955146960877E-2</v>
      </c>
    </row>
    <row r="80" spans="1:22" ht="13" customHeight="1">
      <c r="A80" s="6">
        <v>265</v>
      </c>
      <c r="B80" s="6">
        <v>800</v>
      </c>
      <c r="C80" s="6">
        <v>2500</v>
      </c>
      <c r="D80" s="6" t="s">
        <v>104</v>
      </c>
      <c r="E80" s="10" t="s">
        <v>105</v>
      </c>
      <c r="F80" s="17">
        <v>73.39</v>
      </c>
      <c r="G80" s="17">
        <v>0.2</v>
      </c>
      <c r="H80" s="17">
        <v>15.93</v>
      </c>
      <c r="I80" s="17">
        <v>1.33</v>
      </c>
      <c r="J80" s="17">
        <v>1.31</v>
      </c>
      <c r="K80" s="17">
        <v>2.27</v>
      </c>
      <c r="L80" s="17">
        <v>3.59</v>
      </c>
      <c r="M80" s="17">
        <v>1.88</v>
      </c>
      <c r="N80" s="18">
        <v>0.04</v>
      </c>
      <c r="O80" s="22">
        <v>99.940000000000012</v>
      </c>
      <c r="P80" s="17">
        <v>9.15</v>
      </c>
      <c r="Q80" s="14">
        <f t="shared" si="2"/>
        <v>7.8765000000000009</v>
      </c>
      <c r="R80" s="17"/>
      <c r="S80" s="24">
        <v>160.19600000000003</v>
      </c>
      <c r="T80" s="14">
        <v>-2.3990959933748894</v>
      </c>
      <c r="U80" s="16">
        <v>-11.685286729319275</v>
      </c>
      <c r="V80" s="15">
        <v>1.7103861413737011E-2</v>
      </c>
    </row>
    <row r="81" spans="1:22" ht="13" customHeight="1">
      <c r="A81" s="6">
        <v>270</v>
      </c>
      <c r="B81" s="6">
        <v>800</v>
      </c>
      <c r="C81" s="6">
        <v>2500</v>
      </c>
      <c r="D81" s="6" t="s">
        <v>39</v>
      </c>
      <c r="E81" s="10" t="s">
        <v>105</v>
      </c>
      <c r="F81" s="17">
        <v>73.86</v>
      </c>
      <c r="G81" s="17">
        <v>0.2</v>
      </c>
      <c r="H81" s="17">
        <v>15.95</v>
      </c>
      <c r="I81" s="17">
        <v>1.1599999999999999</v>
      </c>
      <c r="J81" s="17">
        <v>0.85</v>
      </c>
      <c r="K81" s="17">
        <v>2.2000000000000002</v>
      </c>
      <c r="L81" s="17">
        <v>3.83</v>
      </c>
      <c r="M81" s="17">
        <v>1.81</v>
      </c>
      <c r="N81" s="18">
        <v>0.06</v>
      </c>
      <c r="O81" s="22">
        <v>99.92</v>
      </c>
      <c r="P81" s="17">
        <v>9.9499999999999993</v>
      </c>
      <c r="Q81" s="14">
        <f t="shared" si="2"/>
        <v>8.6044999999999998</v>
      </c>
      <c r="R81" s="17"/>
      <c r="S81" s="24">
        <v>240.29399999999998</v>
      </c>
      <c r="T81" s="14">
        <v>-2.0249533563957662</v>
      </c>
      <c r="U81" s="16">
        <v>-11.306453156771806</v>
      </c>
      <c r="V81" s="15">
        <v>1.3512647017009827E-3</v>
      </c>
    </row>
    <row r="82" spans="1:22" ht="13" customHeight="1">
      <c r="A82" s="6">
        <v>205</v>
      </c>
      <c r="B82" s="6">
        <v>800</v>
      </c>
      <c r="C82" s="6">
        <v>4000</v>
      </c>
      <c r="D82" s="6" t="s">
        <v>104</v>
      </c>
      <c r="E82" s="10" t="s">
        <v>105</v>
      </c>
      <c r="F82" s="17">
        <v>69.98</v>
      </c>
      <c r="G82" s="17">
        <v>0.17</v>
      </c>
      <c r="H82" s="17">
        <v>17.71</v>
      </c>
      <c r="I82" s="17">
        <v>1.25</v>
      </c>
      <c r="J82" s="17">
        <v>0.82</v>
      </c>
      <c r="K82" s="17">
        <v>2.82</v>
      </c>
      <c r="L82" s="17">
        <v>5.23</v>
      </c>
      <c r="M82" s="17">
        <v>1.8</v>
      </c>
      <c r="N82" s="18">
        <v>0.12</v>
      </c>
      <c r="O82" s="22">
        <v>99.9</v>
      </c>
      <c r="P82" s="17">
        <v>11.92</v>
      </c>
      <c r="Q82" s="14">
        <f t="shared" si="2"/>
        <v>10.397200000000002</v>
      </c>
      <c r="R82" s="17"/>
      <c r="S82" s="24">
        <v>480.58799999999997</v>
      </c>
      <c r="T82" s="14">
        <v>-1.083526651250069</v>
      </c>
      <c r="U82" s="16">
        <v>-10.34828009767161</v>
      </c>
      <c r="V82" s="15">
        <v>2.3547575053758457E-2</v>
      </c>
    </row>
    <row r="83" spans="1:22" ht="13" customHeight="1">
      <c r="A83" s="6">
        <v>168</v>
      </c>
      <c r="B83" s="6">
        <v>850</v>
      </c>
      <c r="C83" s="6">
        <v>2000</v>
      </c>
      <c r="D83" s="6" t="s">
        <v>104</v>
      </c>
      <c r="E83" s="10" t="s">
        <v>105</v>
      </c>
      <c r="F83" s="17">
        <v>71.8</v>
      </c>
      <c r="G83" s="17">
        <v>0.22</v>
      </c>
      <c r="H83" s="17">
        <v>16.61</v>
      </c>
      <c r="I83" s="17">
        <v>1.47</v>
      </c>
      <c r="J83" s="17">
        <v>0.69</v>
      </c>
      <c r="K83" s="17">
        <v>2.16</v>
      </c>
      <c r="L83" s="17">
        <v>4.74</v>
      </c>
      <c r="M83" s="17">
        <v>2.16</v>
      </c>
      <c r="N83" s="18">
        <v>0.09</v>
      </c>
      <c r="O83" s="22">
        <v>99.939999999999984</v>
      </c>
      <c r="P83" s="17">
        <v>8.58</v>
      </c>
      <c r="Q83" s="14">
        <f t="shared" si="2"/>
        <v>7.3578000000000001</v>
      </c>
      <c r="R83" s="17"/>
      <c r="S83" s="24">
        <v>360.44100000000003</v>
      </c>
      <c r="T83" s="14">
        <v>-1.6378373869557983</v>
      </c>
      <c r="U83" s="16">
        <v>-10.907457735844423</v>
      </c>
      <c r="V83" s="15">
        <v>1.6539407144757025E-2</v>
      </c>
    </row>
    <row r="84" spans="1:22" ht="13" customHeight="1">
      <c r="A84" s="6">
        <v>141</v>
      </c>
      <c r="B84" s="6">
        <v>850</v>
      </c>
      <c r="C84" s="6">
        <v>2000</v>
      </c>
      <c r="D84" s="6" t="s">
        <v>39</v>
      </c>
      <c r="E84" s="10" t="s">
        <v>105</v>
      </c>
      <c r="F84" s="17">
        <v>72.34</v>
      </c>
      <c r="G84" s="17">
        <v>0.17</v>
      </c>
      <c r="H84" s="17">
        <v>16.66</v>
      </c>
      <c r="I84" s="17">
        <v>1.36</v>
      </c>
      <c r="J84" s="17">
        <v>0.65</v>
      </c>
      <c r="K84" s="17">
        <v>2.27</v>
      </c>
      <c r="L84" s="17">
        <v>4.28</v>
      </c>
      <c r="M84" s="17">
        <v>2.12</v>
      </c>
      <c r="N84" s="18">
        <v>0.09</v>
      </c>
      <c r="O84" s="22">
        <v>99.940000000000012</v>
      </c>
      <c r="P84" s="17">
        <v>9.64</v>
      </c>
      <c r="Q84" s="14">
        <f t="shared" si="2"/>
        <v>8.3224000000000018</v>
      </c>
      <c r="R84" s="17"/>
      <c r="S84" s="24">
        <v>360.44100000000003</v>
      </c>
      <c r="T84" s="14">
        <v>-1.5881657771585607</v>
      </c>
      <c r="U84" s="16">
        <v>-10.858362976569003</v>
      </c>
      <c r="V84" s="15">
        <v>4.8282280120038254E-3</v>
      </c>
    </row>
    <row r="85" spans="1:22" ht="13" customHeight="1">
      <c r="A85" s="6">
        <v>215</v>
      </c>
      <c r="B85" s="6">
        <v>850</v>
      </c>
      <c r="C85" s="6">
        <v>4000</v>
      </c>
      <c r="D85" s="6" t="s">
        <v>104</v>
      </c>
      <c r="E85" s="10" t="s">
        <v>105</v>
      </c>
      <c r="F85" s="17">
        <v>67.510000000000005</v>
      </c>
      <c r="G85" s="17">
        <v>0.22</v>
      </c>
      <c r="H85" s="17">
        <v>19.45</v>
      </c>
      <c r="I85" s="17">
        <v>1.54</v>
      </c>
      <c r="J85" s="17">
        <v>0.7</v>
      </c>
      <c r="K85" s="17">
        <v>4.04</v>
      </c>
      <c r="L85" s="17">
        <v>4.93</v>
      </c>
      <c r="M85" s="17">
        <v>1.31</v>
      </c>
      <c r="N85" s="18">
        <v>0.19</v>
      </c>
      <c r="O85" s="22">
        <v>99.890000000000015</v>
      </c>
      <c r="P85" s="17">
        <v>11.04</v>
      </c>
      <c r="Q85" s="14">
        <f t="shared" si="2"/>
        <v>9.5964000000000009</v>
      </c>
      <c r="R85" s="17"/>
      <c r="S85" s="24">
        <v>760.93099999999993</v>
      </c>
      <c r="T85" s="14">
        <v>-0.26448651484859215</v>
      </c>
      <c r="U85" s="16">
        <v>-9.5164562522184877</v>
      </c>
      <c r="V85" s="15">
        <v>1.7952519423469444E-2</v>
      </c>
    </row>
    <row r="86" spans="1:22" ht="13" customHeight="1">
      <c r="A86" s="6">
        <v>210</v>
      </c>
      <c r="B86" s="6">
        <v>850</v>
      </c>
      <c r="C86" s="6">
        <v>4000</v>
      </c>
      <c r="D86" s="6" t="s">
        <v>39</v>
      </c>
      <c r="E86" s="10" t="s">
        <v>105</v>
      </c>
      <c r="F86" s="17">
        <v>67.94</v>
      </c>
      <c r="G86" s="17">
        <v>0.19</v>
      </c>
      <c r="H86" s="17">
        <v>19.329999999999998</v>
      </c>
      <c r="I86" s="17">
        <v>1.55</v>
      </c>
      <c r="J86" s="17">
        <v>0.78</v>
      </c>
      <c r="K86" s="17">
        <v>4.22</v>
      </c>
      <c r="L86" s="17">
        <v>4.43</v>
      </c>
      <c r="M86" s="17">
        <v>0.13</v>
      </c>
      <c r="N86" s="18">
        <v>0.17</v>
      </c>
      <c r="O86" s="22">
        <v>98.74</v>
      </c>
      <c r="P86" s="17">
        <v>11.38</v>
      </c>
      <c r="Q86" s="14">
        <f t="shared" si="2"/>
        <v>9.905800000000001</v>
      </c>
      <c r="R86" s="17"/>
      <c r="S86" s="24">
        <v>680.83300000000008</v>
      </c>
      <c r="T86" s="14">
        <v>-0.33212171388395478</v>
      </c>
      <c r="U86" s="16">
        <v>-9.5710482309529006</v>
      </c>
      <c r="V86" s="15">
        <v>-7.2412481656938268E-4</v>
      </c>
    </row>
    <row r="87" spans="1:22" ht="13" customHeight="1">
      <c r="A87" s="6">
        <v>95</v>
      </c>
      <c r="B87" s="6">
        <v>1000</v>
      </c>
      <c r="C87" s="6">
        <v>2000</v>
      </c>
      <c r="D87" s="6" t="s">
        <v>104</v>
      </c>
      <c r="E87" s="10" t="s">
        <v>105</v>
      </c>
      <c r="F87" s="17">
        <v>59.71</v>
      </c>
      <c r="G87" s="17">
        <v>0.62</v>
      </c>
      <c r="H87" s="17">
        <v>21.54</v>
      </c>
      <c r="I87" s="17">
        <v>2.64</v>
      </c>
      <c r="J87" s="17">
        <v>0.9</v>
      </c>
      <c r="K87" s="17">
        <v>7.7</v>
      </c>
      <c r="L87" s="17">
        <v>4.34</v>
      </c>
      <c r="M87" s="17">
        <v>1.07</v>
      </c>
      <c r="N87" s="18">
        <v>1.23</v>
      </c>
      <c r="O87" s="22">
        <v>99.750000000000014</v>
      </c>
      <c r="P87" s="17">
        <v>9.1199999999999992</v>
      </c>
      <c r="Q87" s="14">
        <f t="shared" si="2"/>
        <v>7.8491999999999988</v>
      </c>
      <c r="R87" s="17"/>
      <c r="S87" s="24">
        <v>4926.027</v>
      </c>
      <c r="T87" s="14">
        <v>2.2482344982439644</v>
      </c>
      <c r="U87" s="16">
        <v>-6.9801683817473741</v>
      </c>
      <c r="V87" s="15">
        <v>9.340936327275158E-2</v>
      </c>
    </row>
    <row r="88" spans="1:22" ht="13" customHeight="1">
      <c r="A88" s="6">
        <v>112</v>
      </c>
      <c r="B88" s="6">
        <v>1000</v>
      </c>
      <c r="C88" s="6">
        <v>2000</v>
      </c>
      <c r="D88" s="6" t="s">
        <v>39</v>
      </c>
      <c r="E88" s="10" t="s">
        <v>105</v>
      </c>
      <c r="F88" s="17">
        <v>60.67</v>
      </c>
      <c r="G88" s="17">
        <v>0.67</v>
      </c>
      <c r="H88" s="17">
        <v>21.11</v>
      </c>
      <c r="I88" s="17">
        <v>2.4500000000000002</v>
      </c>
      <c r="J88" s="17">
        <v>1.1100000000000001</v>
      </c>
      <c r="K88" s="17">
        <v>7.06</v>
      </c>
      <c r="L88" s="17">
        <v>4.6100000000000003</v>
      </c>
      <c r="M88" s="17">
        <v>1.07</v>
      </c>
      <c r="N88" s="18">
        <v>1.1399999999999999</v>
      </c>
      <c r="O88" s="22">
        <v>99.89</v>
      </c>
      <c r="P88" s="17">
        <v>9.25</v>
      </c>
      <c r="Q88" s="14">
        <f t="shared" si="2"/>
        <v>7.9675000000000002</v>
      </c>
      <c r="R88" s="17"/>
      <c r="S88" s="24">
        <v>4565.5860000000002</v>
      </c>
      <c r="T88" s="14">
        <v>2.0854733139115549</v>
      </c>
      <c r="U88" s="16">
        <v>-7.1519031635031256</v>
      </c>
      <c r="V88" s="15">
        <v>9.2495587848270125E-2</v>
      </c>
    </row>
    <row r="89" spans="1:22" ht="13" customHeight="1">
      <c r="A89" s="6">
        <v>250</v>
      </c>
      <c r="B89" s="6">
        <v>1000</v>
      </c>
      <c r="C89" s="6">
        <v>4000</v>
      </c>
      <c r="D89" s="6" t="s">
        <v>104</v>
      </c>
      <c r="E89" s="10" t="s">
        <v>105</v>
      </c>
      <c r="F89" s="17">
        <v>60.66</v>
      </c>
      <c r="G89" s="17">
        <v>0.42</v>
      </c>
      <c r="H89" s="17">
        <v>20.49</v>
      </c>
      <c r="I89" s="17">
        <v>1.95</v>
      </c>
      <c r="J89" s="17">
        <v>0.36</v>
      </c>
      <c r="K89" s="17">
        <v>8.42</v>
      </c>
      <c r="L89" s="17">
        <v>4.7699999999999996</v>
      </c>
      <c r="M89" s="17">
        <v>1.1200000000000001</v>
      </c>
      <c r="N89" s="18">
        <v>1.68</v>
      </c>
      <c r="O89" s="22">
        <v>99.87</v>
      </c>
      <c r="P89" s="17">
        <v>11.36</v>
      </c>
      <c r="Q89" s="14">
        <f t="shared" si="2"/>
        <v>9.8876000000000008</v>
      </c>
      <c r="R89" s="17"/>
      <c r="S89" s="24">
        <v>6728.232</v>
      </c>
      <c r="T89" s="14">
        <v>2.649403621669403</v>
      </c>
      <c r="U89" s="16">
        <v>-6.5868648578469591</v>
      </c>
      <c r="V89" s="15">
        <v>0.10462236781104212</v>
      </c>
    </row>
    <row r="90" spans="1:22" ht="13" customHeight="1">
      <c r="A90" s="6">
        <v>151</v>
      </c>
      <c r="B90" s="6">
        <v>800</v>
      </c>
      <c r="C90" s="6">
        <v>2000</v>
      </c>
      <c r="D90" s="6" t="s">
        <v>104</v>
      </c>
      <c r="E90" s="10" t="s">
        <v>105</v>
      </c>
      <c r="F90" s="17">
        <v>69.510000000000005</v>
      </c>
      <c r="G90" s="17">
        <v>0.03</v>
      </c>
      <c r="H90" s="17">
        <v>16.54</v>
      </c>
      <c r="I90" s="17">
        <v>1.31</v>
      </c>
      <c r="J90" s="17">
        <v>0.34</v>
      </c>
      <c r="K90" s="17">
        <v>1.52</v>
      </c>
      <c r="L90" s="17">
        <v>4.9000000000000004</v>
      </c>
      <c r="M90" s="17">
        <v>5.78</v>
      </c>
      <c r="N90" s="18">
        <v>0.03</v>
      </c>
      <c r="O90" s="22">
        <v>99.960000000000022</v>
      </c>
      <c r="P90" s="17">
        <v>9.2799999999999994</v>
      </c>
      <c r="Q90" s="14">
        <f t="shared" si="2"/>
        <v>7.9947999999999988</v>
      </c>
      <c r="R90" s="17"/>
      <c r="S90" s="24">
        <v>120.14699999999999</v>
      </c>
      <c r="T90" s="14">
        <v>-3.0878475624617967</v>
      </c>
      <c r="U90" s="16">
        <v>-12.326999157657616</v>
      </c>
      <c r="V90" s="15">
        <v>4.3155459370649081E-2</v>
      </c>
    </row>
    <row r="91" spans="1:22" ht="13" customHeight="1">
      <c r="A91" s="6">
        <v>107</v>
      </c>
      <c r="B91" s="6">
        <v>800</v>
      </c>
      <c r="C91" s="6">
        <v>2000</v>
      </c>
      <c r="D91" s="6" t="s">
        <v>39</v>
      </c>
      <c r="E91" s="10" t="s">
        <v>105</v>
      </c>
      <c r="F91" s="17">
        <v>70.319999999999993</v>
      </c>
      <c r="G91" s="17">
        <v>0.01</v>
      </c>
      <c r="H91" s="17">
        <v>16.350000000000001</v>
      </c>
      <c r="I91" s="17">
        <v>1.39</v>
      </c>
      <c r="J91" s="17">
        <v>0.27</v>
      </c>
      <c r="K91" s="17">
        <v>1.34</v>
      </c>
      <c r="L91" s="17">
        <v>4.33</v>
      </c>
      <c r="M91" s="17">
        <v>5.92</v>
      </c>
      <c r="N91" s="18">
        <v>0.05</v>
      </c>
      <c r="O91" s="22">
        <v>99.98</v>
      </c>
      <c r="P91" s="17">
        <v>8.3800000000000008</v>
      </c>
      <c r="Q91" s="14">
        <f t="shared" si="2"/>
        <v>7.1758000000000006</v>
      </c>
      <c r="R91" s="17"/>
      <c r="S91" s="24">
        <v>200.245</v>
      </c>
      <c r="T91" s="14">
        <v>-2.7030626595911711</v>
      </c>
      <c r="U91" s="16">
        <v>-11.942311243426341</v>
      </c>
      <c r="V91" s="15">
        <v>2.9897365741503427E-2</v>
      </c>
    </row>
    <row r="92" spans="1:22" ht="13" customHeight="1">
      <c r="A92" s="6">
        <v>167</v>
      </c>
      <c r="B92" s="6">
        <v>850</v>
      </c>
      <c r="C92" s="6">
        <v>2000</v>
      </c>
      <c r="D92" s="6" t="s">
        <v>104</v>
      </c>
      <c r="E92" s="10" t="s">
        <v>105</v>
      </c>
      <c r="F92" s="17">
        <v>67.83</v>
      </c>
      <c r="G92" s="17">
        <v>0.02</v>
      </c>
      <c r="H92" s="17">
        <v>17.68</v>
      </c>
      <c r="I92" s="17">
        <v>1.61</v>
      </c>
      <c r="J92" s="17">
        <v>0.41</v>
      </c>
      <c r="K92" s="17">
        <v>1.89</v>
      </c>
      <c r="L92" s="17">
        <v>5.21</v>
      </c>
      <c r="M92" s="17">
        <v>5.21</v>
      </c>
      <c r="N92" s="18">
        <v>0.1</v>
      </c>
      <c r="O92" s="22">
        <v>99.95999999999998</v>
      </c>
      <c r="P92" s="17">
        <v>9.7799999999999994</v>
      </c>
      <c r="Q92" s="14">
        <f t="shared" si="2"/>
        <v>8.4497999999999998</v>
      </c>
      <c r="R92" s="17"/>
      <c r="S92" s="24">
        <v>400.49</v>
      </c>
      <c r="T92" s="14">
        <v>-1.6660082639224947</v>
      </c>
      <c r="U92" s="16">
        <v>-10.899114369146874</v>
      </c>
      <c r="V92" s="15">
        <v>4.3702779602177465E-2</v>
      </c>
    </row>
    <row r="93" spans="1:22" ht="13" customHeight="1">
      <c r="A93" s="6">
        <v>143</v>
      </c>
      <c r="B93" s="6">
        <v>850</v>
      </c>
      <c r="C93" s="6">
        <v>2000</v>
      </c>
      <c r="D93" s="6" t="s">
        <v>39</v>
      </c>
      <c r="E93" s="10" t="s">
        <v>105</v>
      </c>
      <c r="F93" s="17">
        <v>68.39</v>
      </c>
      <c r="G93" s="17">
        <v>0</v>
      </c>
      <c r="H93" s="17">
        <v>17.52</v>
      </c>
      <c r="I93" s="17">
        <v>1.64</v>
      </c>
      <c r="J93" s="17">
        <v>0.4</v>
      </c>
      <c r="K93" s="17">
        <v>1.79</v>
      </c>
      <c r="L93" s="17">
        <v>4.9000000000000004</v>
      </c>
      <c r="M93" s="17">
        <v>5.27</v>
      </c>
      <c r="N93" s="18">
        <v>0.09</v>
      </c>
      <c r="O93" s="22">
        <v>100.00000000000001</v>
      </c>
      <c r="P93" s="17">
        <v>8.39</v>
      </c>
      <c r="Q93" s="14">
        <f t="shared" si="2"/>
        <v>7.1849000000000007</v>
      </c>
      <c r="R93" s="17"/>
      <c r="S93" s="24">
        <v>360.44100000000003</v>
      </c>
      <c r="T93" s="14">
        <v>-1.8257299887992084</v>
      </c>
      <c r="U93" s="16">
        <v>-11.060686571940407</v>
      </c>
      <c r="V93" s="15">
        <v>3.7577056776834601E-2</v>
      </c>
    </row>
    <row r="94" spans="1:22" s="6" customFormat="1" ht="13" customHeight="1">
      <c r="A94" s="6" t="s">
        <v>75</v>
      </c>
      <c r="B94" s="6">
        <v>750</v>
      </c>
      <c r="C94" s="6">
        <v>2000</v>
      </c>
      <c r="D94" s="6" t="s">
        <v>76</v>
      </c>
      <c r="E94" s="12" t="s">
        <v>153</v>
      </c>
      <c r="F94" s="14">
        <v>72.22</v>
      </c>
      <c r="G94" s="14"/>
      <c r="H94" s="14">
        <v>11.95</v>
      </c>
      <c r="I94" s="14"/>
      <c r="J94" s="14"/>
      <c r="K94" s="14">
        <v>0.14000000000000001</v>
      </c>
      <c r="L94" s="14">
        <v>3.57</v>
      </c>
      <c r="M94" s="14">
        <v>3.87</v>
      </c>
      <c r="N94" s="15">
        <v>6.1999999999999998E-3</v>
      </c>
      <c r="O94" s="16">
        <v>100</v>
      </c>
      <c r="P94" s="14">
        <v>8.230000000000004</v>
      </c>
      <c r="Q94" s="14">
        <f t="shared" si="2"/>
        <v>7.0393000000000034</v>
      </c>
      <c r="R94" s="20"/>
      <c r="S94" s="23">
        <v>24.830379999999998</v>
      </c>
      <c r="T94" s="14">
        <v>-7.049318843303924</v>
      </c>
      <c r="U94" s="16">
        <v>-16.160840223050062</v>
      </c>
      <c r="V94" s="15">
        <v>-2.2311840473896644E-2</v>
      </c>
    </row>
    <row r="95" spans="1:22" s="6" customFormat="1" ht="13" customHeight="1">
      <c r="A95" s="6" t="s">
        <v>77</v>
      </c>
      <c r="B95" s="6">
        <v>750</v>
      </c>
      <c r="C95" s="6">
        <v>2000</v>
      </c>
      <c r="D95" s="6" t="s">
        <v>76</v>
      </c>
      <c r="E95" s="12" t="s">
        <v>153</v>
      </c>
      <c r="F95" s="14">
        <v>71.849999999999994</v>
      </c>
      <c r="G95" s="14"/>
      <c r="H95" s="14">
        <v>11.91</v>
      </c>
      <c r="I95" s="14"/>
      <c r="J95" s="14"/>
      <c r="K95" s="14">
        <v>0.5</v>
      </c>
      <c r="L95" s="14">
        <v>3.62</v>
      </c>
      <c r="M95" s="14">
        <v>3.9</v>
      </c>
      <c r="N95" s="15">
        <v>3.2000000000000002E-3</v>
      </c>
      <c r="O95" s="16">
        <v>100</v>
      </c>
      <c r="P95" s="14">
        <v>8.2000000000000028</v>
      </c>
      <c r="Q95" s="14">
        <f t="shared" si="2"/>
        <v>7.0120000000000022</v>
      </c>
      <c r="R95" s="20"/>
      <c r="S95" s="23">
        <v>12.81568</v>
      </c>
      <c r="T95" s="14">
        <v>-6.4377516497364011</v>
      </c>
      <c r="U95" s="16">
        <v>-15.550620122432848</v>
      </c>
      <c r="V95" s="15">
        <v>-1.1314942727227339E-2</v>
      </c>
    </row>
    <row r="96" spans="1:22" s="6" customFormat="1" ht="13" customHeight="1">
      <c r="A96" s="6" t="s">
        <v>78</v>
      </c>
      <c r="B96" s="6">
        <v>850</v>
      </c>
      <c r="C96" s="6">
        <v>2000</v>
      </c>
      <c r="D96" s="6" t="s">
        <v>33</v>
      </c>
      <c r="E96" s="12" t="s">
        <v>153</v>
      </c>
      <c r="F96" s="14">
        <v>72.3</v>
      </c>
      <c r="G96" s="14"/>
      <c r="H96" s="14">
        <v>12.11</v>
      </c>
      <c r="I96" s="14"/>
      <c r="J96" s="14"/>
      <c r="K96" s="14">
        <v>0.2</v>
      </c>
      <c r="L96" s="14">
        <v>3.9</v>
      </c>
      <c r="M96" s="14">
        <v>3.98</v>
      </c>
      <c r="N96" s="15">
        <v>1.2999999999999999E-2</v>
      </c>
      <c r="O96" s="16">
        <v>100</v>
      </c>
      <c r="P96" s="14">
        <v>7.5</v>
      </c>
      <c r="Q96" s="14">
        <f t="shared" si="2"/>
        <v>6.375</v>
      </c>
      <c r="R96" s="20"/>
      <c r="S96" s="23">
        <v>52.063700000000004</v>
      </c>
      <c r="T96" s="14">
        <v>-5.952243833954701</v>
      </c>
      <c r="U96" s="16">
        <v>-15.078561515817723</v>
      </c>
      <c r="V96" s="15">
        <v>-1.3924347044307468E-2</v>
      </c>
    </row>
    <row r="97" spans="1:22" s="6" customFormat="1" ht="13" customHeight="1">
      <c r="A97" s="6" t="s">
        <v>79</v>
      </c>
      <c r="B97" s="6">
        <v>850</v>
      </c>
      <c r="C97" s="6">
        <v>2000</v>
      </c>
      <c r="D97" s="6" t="s">
        <v>33</v>
      </c>
      <c r="E97" s="12" t="s">
        <v>153</v>
      </c>
      <c r="F97" s="14">
        <v>72.53</v>
      </c>
      <c r="G97" s="14"/>
      <c r="H97" s="14">
        <v>12.34</v>
      </c>
      <c r="I97" s="14"/>
      <c r="J97" s="14"/>
      <c r="K97" s="14">
        <v>0.13</v>
      </c>
      <c r="L97" s="14">
        <v>3.92</v>
      </c>
      <c r="M97" s="14">
        <v>3.92</v>
      </c>
      <c r="N97" s="15">
        <v>3.2000000000000001E-2</v>
      </c>
      <c r="O97" s="16">
        <v>100</v>
      </c>
      <c r="P97" s="14">
        <v>7.0799999999999983</v>
      </c>
      <c r="Q97" s="14">
        <f t="shared" si="2"/>
        <v>5.9927999999999981</v>
      </c>
      <c r="R97" s="20"/>
      <c r="S97" s="23">
        <v>128.1568</v>
      </c>
      <c r="T97" s="14">
        <v>-5.4822402047089653</v>
      </c>
      <c r="U97" s="16">
        <v>-14.615197537173435</v>
      </c>
      <c r="V97" s="15">
        <v>-1.9113776164356024E-2</v>
      </c>
    </row>
    <row r="98" spans="1:22" s="6" customFormat="1" ht="13" customHeight="1">
      <c r="A98" s="6" t="s">
        <v>80</v>
      </c>
      <c r="B98" s="6">
        <v>850</v>
      </c>
      <c r="C98" s="6">
        <v>2000</v>
      </c>
      <c r="D98" s="6" t="s">
        <v>33</v>
      </c>
      <c r="E98" s="12" t="s">
        <v>153</v>
      </c>
      <c r="F98" s="14">
        <v>72.64</v>
      </c>
      <c r="G98" s="14"/>
      <c r="H98" s="14">
        <v>12.06</v>
      </c>
      <c r="I98" s="14"/>
      <c r="J98" s="14"/>
      <c r="K98" s="14">
        <v>0.3</v>
      </c>
      <c r="L98" s="14">
        <v>3.83</v>
      </c>
      <c r="M98" s="14">
        <v>3.86</v>
      </c>
      <c r="N98" s="15">
        <v>0.01</v>
      </c>
      <c r="O98" s="16">
        <v>100</v>
      </c>
      <c r="P98" s="14">
        <v>7.2800000000000011</v>
      </c>
      <c r="Q98" s="14">
        <f t="shared" si="2"/>
        <v>6.1748000000000012</v>
      </c>
      <c r="R98" s="20"/>
      <c r="S98" s="23">
        <v>40.049000000000007</v>
      </c>
      <c r="T98" s="14">
        <v>-5.8091429903140277</v>
      </c>
      <c r="U98" s="16">
        <v>-14.941755277621002</v>
      </c>
      <c r="V98" s="15">
        <v>-1.4058657143241853E-2</v>
      </c>
    </row>
    <row r="99" spans="1:22" s="6" customFormat="1" ht="13" customHeight="1">
      <c r="A99" s="6" t="s">
        <v>81</v>
      </c>
      <c r="B99" s="6">
        <v>950</v>
      </c>
      <c r="C99" s="6">
        <v>2000</v>
      </c>
      <c r="D99" s="6" t="s">
        <v>82</v>
      </c>
      <c r="E99" s="12" t="s">
        <v>153</v>
      </c>
      <c r="F99" s="14">
        <v>72.739999999999995</v>
      </c>
      <c r="G99" s="14"/>
      <c r="H99" s="14">
        <v>12.36</v>
      </c>
      <c r="I99" s="14"/>
      <c r="J99" s="14"/>
      <c r="K99" s="14">
        <v>0.16</v>
      </c>
      <c r="L99" s="14">
        <v>3.52</v>
      </c>
      <c r="M99" s="14">
        <v>3.7</v>
      </c>
      <c r="N99" s="15">
        <v>0.122</v>
      </c>
      <c r="O99" s="16">
        <v>100</v>
      </c>
      <c r="P99" s="14">
        <v>7.4599999999999937</v>
      </c>
      <c r="Q99" s="14">
        <f t="shared" si="2"/>
        <v>6.3385999999999942</v>
      </c>
      <c r="R99" s="20"/>
      <c r="S99" s="23">
        <v>488.59780000000001</v>
      </c>
      <c r="T99" s="14">
        <v>-3.9363156979971907</v>
      </c>
      <c r="U99" s="16">
        <v>-13.064476973969537</v>
      </c>
      <c r="V99" s="15">
        <v>-3.0693513947963161E-2</v>
      </c>
    </row>
    <row r="100" spans="1:22" s="6" customFormat="1" ht="13" customHeight="1">
      <c r="A100" s="6" t="s">
        <v>83</v>
      </c>
      <c r="B100" s="6">
        <v>950</v>
      </c>
      <c r="C100" s="6">
        <v>2000</v>
      </c>
      <c r="D100" s="6" t="s">
        <v>82</v>
      </c>
      <c r="E100" s="12" t="s">
        <v>153</v>
      </c>
      <c r="F100" s="14">
        <v>73.45</v>
      </c>
      <c r="G100" s="14"/>
      <c r="H100" s="14">
        <v>12.24</v>
      </c>
      <c r="I100" s="14"/>
      <c r="J100" s="14"/>
      <c r="K100" s="14">
        <v>9.5000000000000001E-2</v>
      </c>
      <c r="L100" s="14">
        <v>3.05</v>
      </c>
      <c r="M100" s="14">
        <v>3.07</v>
      </c>
      <c r="N100" s="15">
        <v>0.35</v>
      </c>
      <c r="O100" s="16">
        <v>100</v>
      </c>
      <c r="P100" s="14">
        <v>7.5</v>
      </c>
      <c r="Q100" s="14">
        <f t="shared" si="2"/>
        <v>6.375</v>
      </c>
      <c r="R100" s="20"/>
      <c r="S100" s="23">
        <v>1401.7150000000001</v>
      </c>
      <c r="T100" s="14">
        <v>-3.4037005118802739</v>
      </c>
      <c r="U100" s="16">
        <v>-12.52914741494493</v>
      </c>
      <c r="V100" s="15">
        <v>-4.9985777774322955E-2</v>
      </c>
    </row>
    <row r="101" spans="1:22" s="6" customFormat="1" ht="13" customHeight="1">
      <c r="A101" s="6" t="s">
        <v>84</v>
      </c>
      <c r="B101" s="6">
        <v>950</v>
      </c>
      <c r="C101" s="6">
        <v>2000</v>
      </c>
      <c r="D101" s="6" t="s">
        <v>82</v>
      </c>
      <c r="E101" s="12" t="s">
        <v>153</v>
      </c>
      <c r="F101" s="14">
        <v>74.14</v>
      </c>
      <c r="G101" s="14"/>
      <c r="H101" s="14">
        <v>11.93</v>
      </c>
      <c r="I101" s="14"/>
      <c r="J101" s="14"/>
      <c r="K101" s="14">
        <v>9.0999999999999998E-2</v>
      </c>
      <c r="L101" s="14">
        <v>2.8</v>
      </c>
      <c r="M101" s="14">
        <v>2.94</v>
      </c>
      <c r="N101" s="15">
        <v>0.42</v>
      </c>
      <c r="O101" s="16">
        <v>100</v>
      </c>
      <c r="P101" s="14">
        <v>7.0499999999999972</v>
      </c>
      <c r="Q101" s="14">
        <f t="shared" si="2"/>
        <v>5.9654999999999978</v>
      </c>
      <c r="R101" s="20"/>
      <c r="S101" s="23">
        <v>1682.058</v>
      </c>
      <c r="T101" s="14">
        <v>-3.26439634017001</v>
      </c>
      <c r="U101" s="16">
        <v>-12.39519534406255</v>
      </c>
      <c r="V101" s="15">
        <v>-5.3132316140076644E-2</v>
      </c>
    </row>
    <row r="102" spans="1:22" s="6" customFormat="1" ht="13" customHeight="1">
      <c r="A102" s="6" t="s">
        <v>85</v>
      </c>
      <c r="B102" s="6">
        <v>950</v>
      </c>
      <c r="C102" s="6">
        <v>2000</v>
      </c>
      <c r="D102" s="6" t="s">
        <v>82</v>
      </c>
      <c r="E102" s="12" t="s">
        <v>153</v>
      </c>
      <c r="F102" s="14">
        <v>81.290000000000006</v>
      </c>
      <c r="G102" s="14"/>
      <c r="H102" s="14">
        <v>7.83</v>
      </c>
      <c r="I102" s="14"/>
      <c r="J102" s="14"/>
      <c r="K102" s="14">
        <v>5.0999999999999997E-2</v>
      </c>
      <c r="L102" s="14">
        <v>1.48</v>
      </c>
      <c r="M102" s="14">
        <v>1.71</v>
      </c>
      <c r="N102" s="15">
        <v>0.41</v>
      </c>
      <c r="O102" s="16">
        <v>100</v>
      </c>
      <c r="P102" s="14">
        <v>6.6099999999999994</v>
      </c>
      <c r="Q102" s="14">
        <f t="shared" si="2"/>
        <v>5.5650999999999993</v>
      </c>
      <c r="R102" s="20"/>
      <c r="S102" s="23">
        <v>1642.0089999999998</v>
      </c>
      <c r="T102" s="14">
        <v>-3.8675277655415949</v>
      </c>
      <c r="U102" s="16">
        <v>-13.058215258672137</v>
      </c>
      <c r="V102" s="15">
        <v>-4.4942819614972838E-2</v>
      </c>
    </row>
    <row r="103" spans="1:22" s="6" customFormat="1" ht="13" customHeight="1">
      <c r="A103" s="6" t="s">
        <v>86</v>
      </c>
      <c r="B103" s="6">
        <v>950</v>
      </c>
      <c r="C103" s="6">
        <v>2000</v>
      </c>
      <c r="D103" s="6" t="s">
        <v>82</v>
      </c>
      <c r="E103" s="12" t="s">
        <v>153</v>
      </c>
      <c r="F103" s="14">
        <v>77.069999999999993</v>
      </c>
      <c r="G103" s="14"/>
      <c r="H103" s="14">
        <v>10.07</v>
      </c>
      <c r="I103" s="14"/>
      <c r="J103" s="14"/>
      <c r="K103" s="14">
        <v>6.7000000000000004E-2</v>
      </c>
      <c r="L103" s="14">
        <v>2.16</v>
      </c>
      <c r="M103" s="14">
        <v>2.37</v>
      </c>
      <c r="N103" s="15">
        <v>0.46</v>
      </c>
      <c r="O103" s="16">
        <v>100</v>
      </c>
      <c r="P103" s="14">
        <v>7.1099999999999994</v>
      </c>
      <c r="Q103" s="14">
        <f t="shared" si="2"/>
        <v>6.0200999999999993</v>
      </c>
      <c r="R103" s="20"/>
      <c r="S103" s="23">
        <v>1842.2540000000001</v>
      </c>
      <c r="T103" s="14">
        <v>-3.4795914490901674</v>
      </c>
      <c r="U103" s="16">
        <v>-12.630119006161397</v>
      </c>
      <c r="V103" s="15">
        <v>-5.074912597067819E-2</v>
      </c>
    </row>
    <row r="104" spans="1:22" ht="13" customHeight="1"/>
    <row r="105" spans="1:22" s="6" customFormat="1" ht="28" customHeight="1">
      <c r="B105" s="13" t="s">
        <v>155</v>
      </c>
      <c r="E105" s="10"/>
      <c r="F105" s="7"/>
      <c r="G105" s="7"/>
      <c r="H105" s="7"/>
      <c r="I105" s="7"/>
      <c r="J105" s="7"/>
      <c r="K105" s="7"/>
      <c r="L105" s="7"/>
      <c r="M105" s="7"/>
      <c r="N105" s="8"/>
      <c r="O105" s="21"/>
      <c r="P105" s="7"/>
      <c r="Q105" s="7"/>
      <c r="R105" s="19"/>
      <c r="U105" s="16"/>
      <c r="V105" s="15"/>
    </row>
    <row r="106" spans="1:22" ht="13" customHeight="1">
      <c r="A106" s="6">
        <v>165</v>
      </c>
      <c r="B106" s="6">
        <v>1000</v>
      </c>
      <c r="C106" s="6">
        <v>2000</v>
      </c>
      <c r="E106" s="10" t="s">
        <v>127</v>
      </c>
      <c r="F106" s="17">
        <v>61.545082849149992</v>
      </c>
      <c r="G106" s="17">
        <v>0.51646223369916078</v>
      </c>
      <c r="H106" s="17">
        <v>18.398967075532603</v>
      </c>
      <c r="I106" s="17">
        <v>5.5519690122659782</v>
      </c>
      <c r="J106" s="17">
        <v>3.5829567462879277</v>
      </c>
      <c r="K106" s="17">
        <v>6.2836238433397895</v>
      </c>
      <c r="L106" s="17">
        <v>3.3354852593070801</v>
      </c>
      <c r="M106" s="17">
        <v>0.78545298041747369</v>
      </c>
      <c r="N106" s="18">
        <f>S106/(0.40049*10000)</f>
        <v>0.47466853104946438</v>
      </c>
      <c r="O106" s="22">
        <f>SUM(F106:M106)</f>
        <v>100</v>
      </c>
      <c r="P106" s="17">
        <v>6.4</v>
      </c>
      <c r="Q106" s="17"/>
      <c r="S106" s="24">
        <v>1901</v>
      </c>
      <c r="T106" s="14">
        <v>1.0928083112581035</v>
      </c>
      <c r="U106" s="22">
        <v>-8.2030085072406731</v>
      </c>
      <c r="V106" s="15">
        <v>0.22984546147797091</v>
      </c>
    </row>
    <row r="107" spans="1:22" ht="13" customHeight="1">
      <c r="A107" s="6">
        <v>171</v>
      </c>
      <c r="B107" s="6">
        <v>1000</v>
      </c>
      <c r="C107" s="6">
        <v>2000</v>
      </c>
      <c r="E107" s="10" t="s">
        <v>127</v>
      </c>
      <c r="F107" s="17">
        <v>60.297740173503257</v>
      </c>
      <c r="G107" s="17">
        <v>0.6318946128306735</v>
      </c>
      <c r="H107" s="17">
        <v>18.742636821248791</v>
      </c>
      <c r="I107" s="17">
        <v>6.0190639391667551</v>
      </c>
      <c r="J107" s="17">
        <v>3.34154439327407</v>
      </c>
      <c r="K107" s="17">
        <v>6.7045089429152815</v>
      </c>
      <c r="L107" s="17">
        <v>3.3736746278247822</v>
      </c>
      <c r="M107" s="17">
        <v>0.88893648923637125</v>
      </c>
      <c r="N107" s="18">
        <f t="shared" ref="N107:N109" si="3">S107/(0.40049*10000)</f>
        <v>0.46193413068990485</v>
      </c>
      <c r="O107" s="22">
        <f t="shared" ref="O107:O109" si="4">SUM(F107:M107)</f>
        <v>99.999999999999986</v>
      </c>
      <c r="P107" s="17">
        <v>5.9</v>
      </c>
      <c r="Q107" s="17"/>
      <c r="S107" s="24">
        <v>1850</v>
      </c>
      <c r="T107" s="14">
        <v>1.1304473042749137</v>
      </c>
      <c r="U107" s="22">
        <v>-8.1571703720516808</v>
      </c>
      <c r="V107" s="15">
        <v>0.24116498005563436</v>
      </c>
    </row>
    <row r="108" spans="1:22" ht="13" customHeight="1">
      <c r="A108" s="6">
        <v>175</v>
      </c>
      <c r="B108" s="6">
        <v>1000</v>
      </c>
      <c r="C108" s="6">
        <v>2000</v>
      </c>
      <c r="E108" s="10" t="s">
        <v>127</v>
      </c>
      <c r="F108" s="17">
        <v>60.444254592054669</v>
      </c>
      <c r="G108" s="17">
        <v>0.55531824006834674</v>
      </c>
      <c r="H108" s="17">
        <v>18.688594617684746</v>
      </c>
      <c r="I108" s="17">
        <v>6.1939342161469444</v>
      </c>
      <c r="J108" s="17">
        <v>3.0969671080734722</v>
      </c>
      <c r="K108" s="17">
        <v>6.8026484408372481</v>
      </c>
      <c r="L108" s="17">
        <v>3.4173430158052107</v>
      </c>
      <c r="M108" s="17">
        <v>0.8009397693293463</v>
      </c>
      <c r="N108" s="18">
        <f t="shared" si="3"/>
        <v>0.12509675647332019</v>
      </c>
      <c r="O108" s="22">
        <f t="shared" si="4"/>
        <v>99.999999999999986</v>
      </c>
      <c r="P108" s="17">
        <v>6</v>
      </c>
      <c r="Q108" s="17"/>
      <c r="S108" s="24">
        <v>501</v>
      </c>
      <c r="T108" s="14">
        <v>-0.16135577636740242</v>
      </c>
      <c r="U108" s="22">
        <v>-9.442035544479662</v>
      </c>
      <c r="V108" s="15">
        <v>0.23879452821512476</v>
      </c>
    </row>
    <row r="109" spans="1:22" ht="13" customHeight="1">
      <c r="A109" s="6">
        <v>178</v>
      </c>
      <c r="B109" s="6">
        <v>1000</v>
      </c>
      <c r="C109" s="6">
        <v>2000</v>
      </c>
      <c r="E109" s="10" t="s">
        <v>127</v>
      </c>
      <c r="F109" s="17">
        <v>65.053763440860209</v>
      </c>
      <c r="G109" s="17">
        <v>0.5268817204301075</v>
      </c>
      <c r="H109" s="17">
        <v>18.709677419354836</v>
      </c>
      <c r="I109" s="17">
        <v>3.6989247311827955</v>
      </c>
      <c r="J109" s="17">
        <v>2.935483870967742</v>
      </c>
      <c r="K109" s="17">
        <v>3.946236559139785</v>
      </c>
      <c r="L109" s="17">
        <v>3.6129032258064515</v>
      </c>
      <c r="M109" s="17">
        <v>1.5161290322580645</v>
      </c>
      <c r="N109" s="18">
        <f t="shared" si="3"/>
        <v>0.47816424879522584</v>
      </c>
      <c r="O109" s="22">
        <f t="shared" si="4"/>
        <v>100</v>
      </c>
      <c r="P109" s="17">
        <v>6</v>
      </c>
      <c r="Q109" s="17"/>
      <c r="S109" s="24">
        <v>1915</v>
      </c>
      <c r="T109" s="14">
        <v>0.63496136611434029</v>
      </c>
      <c r="U109" s="22">
        <v>-8.6483748198833474</v>
      </c>
      <c r="V109" s="15">
        <v>0.11753290640073612</v>
      </c>
    </row>
    <row r="110" spans="1:22" ht="13" customHeight="1">
      <c r="A110" s="6" t="s">
        <v>106</v>
      </c>
      <c r="B110" s="6">
        <v>875</v>
      </c>
      <c r="C110" s="6">
        <v>2000</v>
      </c>
      <c r="E110" s="10" t="s">
        <v>107</v>
      </c>
      <c r="F110" s="17">
        <v>70.7</v>
      </c>
      <c r="G110" s="17">
        <v>0.28999999999999998</v>
      </c>
      <c r="H110" s="17">
        <v>17.21</v>
      </c>
      <c r="I110" s="17">
        <v>0.82</v>
      </c>
      <c r="J110" s="17">
        <v>1.37</v>
      </c>
      <c r="K110" s="17">
        <v>2.36</v>
      </c>
      <c r="L110" s="17">
        <v>4.5999999999999996</v>
      </c>
      <c r="M110" s="17">
        <v>2.89</v>
      </c>
      <c r="N110" s="18">
        <v>9.5133461509650671E-2</v>
      </c>
      <c r="O110" s="22">
        <v>100.33513346150966</v>
      </c>
      <c r="P110" s="17">
        <v>6</v>
      </c>
      <c r="Q110" s="17"/>
      <c r="S110" s="24">
        <v>381</v>
      </c>
      <c r="T110" s="14">
        <v>-1.4938128962375008</v>
      </c>
      <c r="U110" s="22">
        <v>-10.770447451817352</v>
      </c>
      <c r="V110" s="15">
        <v>3.1093278013669137E-2</v>
      </c>
    </row>
    <row r="111" spans="1:22" ht="13" customHeight="1">
      <c r="A111" s="6" t="s">
        <v>108</v>
      </c>
      <c r="B111" s="6">
        <v>875</v>
      </c>
      <c r="C111" s="6">
        <v>2000</v>
      </c>
      <c r="E111" s="10" t="s">
        <v>107</v>
      </c>
      <c r="F111" s="17">
        <v>70.900000000000006</v>
      </c>
      <c r="G111" s="17">
        <v>0.36</v>
      </c>
      <c r="H111" s="17">
        <v>16.399999999999999</v>
      </c>
      <c r="I111" s="17">
        <v>0.87</v>
      </c>
      <c r="J111" s="17">
        <v>1.21</v>
      </c>
      <c r="K111" s="17">
        <v>2.71</v>
      </c>
      <c r="L111" s="17">
        <v>4.6500000000000004</v>
      </c>
      <c r="M111" s="17">
        <v>3.13</v>
      </c>
      <c r="N111" s="18">
        <v>9.4134685010861696E-2</v>
      </c>
      <c r="O111" s="22">
        <v>100.32413468501085</v>
      </c>
      <c r="P111" s="17">
        <v>6.1</v>
      </c>
      <c r="Q111" s="17"/>
      <c r="S111" s="24">
        <v>377.00000000000006</v>
      </c>
      <c r="T111" s="14">
        <v>-1.3660800680621001</v>
      </c>
      <c r="U111" s="22">
        <v>-10.646043426451079</v>
      </c>
      <c r="V111" s="15">
        <v>5.0277108801848228E-2</v>
      </c>
    </row>
    <row r="112" spans="1:22" ht="13" customHeight="1">
      <c r="A112" s="6" t="s">
        <v>109</v>
      </c>
      <c r="B112" s="6">
        <v>875</v>
      </c>
      <c r="C112" s="6">
        <v>2000</v>
      </c>
      <c r="E112" s="10" t="s">
        <v>107</v>
      </c>
      <c r="F112" s="17">
        <v>70.900000000000006</v>
      </c>
      <c r="G112" s="17">
        <v>0.28999999999999998</v>
      </c>
      <c r="H112" s="17">
        <v>16.45</v>
      </c>
      <c r="I112" s="17">
        <v>1.21</v>
      </c>
      <c r="J112" s="17">
        <v>0.93</v>
      </c>
      <c r="K112" s="17">
        <v>2.78</v>
      </c>
      <c r="L112" s="17">
        <v>4.51</v>
      </c>
      <c r="M112" s="17">
        <v>3.21</v>
      </c>
      <c r="N112" s="18">
        <v>8.3148143524182871E-2</v>
      </c>
      <c r="O112" s="22">
        <v>100.3631481435242</v>
      </c>
      <c r="P112" s="17">
        <v>6.2</v>
      </c>
      <c r="Q112" s="17"/>
      <c r="S112" s="24">
        <v>332.99999999999994</v>
      </c>
      <c r="T112" s="14">
        <v>-1.464680472718731</v>
      </c>
      <c r="U112" s="22">
        <v>-10.740886942421787</v>
      </c>
      <c r="V112" s="15">
        <v>4.6466734684851449E-2</v>
      </c>
    </row>
    <row r="113" spans="1:22" ht="13" customHeight="1">
      <c r="A113" s="6" t="s">
        <v>110</v>
      </c>
      <c r="B113" s="6">
        <v>850</v>
      </c>
      <c r="C113" s="6">
        <v>2000</v>
      </c>
      <c r="E113" s="10" t="s">
        <v>107</v>
      </c>
      <c r="F113" s="17">
        <v>73</v>
      </c>
      <c r="G113" s="17">
        <v>0.36</v>
      </c>
      <c r="H113" s="17">
        <v>16.03</v>
      </c>
      <c r="I113" s="17">
        <v>1.44</v>
      </c>
      <c r="J113" s="17">
        <v>0.35</v>
      </c>
      <c r="K113" s="17">
        <v>1.97</v>
      </c>
      <c r="L113" s="17">
        <v>3.57</v>
      </c>
      <c r="M113" s="17">
        <v>3.51</v>
      </c>
      <c r="N113" s="18">
        <v>8.090089640190766E-2</v>
      </c>
      <c r="O113" s="22">
        <v>100.3109008964019</v>
      </c>
      <c r="P113" s="17">
        <v>7.5</v>
      </c>
      <c r="Q113" s="17"/>
      <c r="S113" s="24">
        <v>324</v>
      </c>
      <c r="T113" s="14">
        <v>-1.8364968318594941</v>
      </c>
      <c r="U113" s="22">
        <v>-11.104990478247448</v>
      </c>
      <c r="V113" s="15">
        <v>1.9552714165468111E-3</v>
      </c>
    </row>
    <row r="114" spans="1:22" ht="13" customHeight="1">
      <c r="A114" s="6" t="s">
        <v>111</v>
      </c>
      <c r="B114" s="6">
        <v>850</v>
      </c>
      <c r="C114" s="6">
        <v>2000</v>
      </c>
      <c r="E114" s="10" t="s">
        <v>107</v>
      </c>
      <c r="F114" s="17">
        <v>73.400000000000006</v>
      </c>
      <c r="G114" s="17">
        <v>0.33</v>
      </c>
      <c r="H114" s="17">
        <v>16.02</v>
      </c>
      <c r="I114" s="17">
        <v>1.1599999999999999</v>
      </c>
      <c r="J114" s="17">
        <v>0.24</v>
      </c>
      <c r="K114" s="17">
        <v>1.92</v>
      </c>
      <c r="L114" s="17">
        <v>3.47</v>
      </c>
      <c r="M114" s="17">
        <v>3.57</v>
      </c>
      <c r="N114" s="18">
        <v>8.8641414267522284E-2</v>
      </c>
      <c r="O114" s="22">
        <v>100.19864141426751</v>
      </c>
      <c r="P114" s="17">
        <v>8.4</v>
      </c>
      <c r="Q114" s="17"/>
      <c r="S114" s="24">
        <v>355.00000000000006</v>
      </c>
      <c r="T114" s="14">
        <v>-1.7708309148866146</v>
      </c>
      <c r="U114" s="22">
        <v>-11.03643983578794</v>
      </c>
      <c r="V114" s="15">
        <v>-8.9574004547209804E-3</v>
      </c>
    </row>
    <row r="115" spans="1:22" ht="13" customHeight="1">
      <c r="A115" s="6" t="s">
        <v>112</v>
      </c>
      <c r="B115" s="6">
        <v>800</v>
      </c>
      <c r="C115" s="6">
        <v>2000</v>
      </c>
      <c r="E115" s="10" t="s">
        <v>107</v>
      </c>
      <c r="F115" s="17">
        <v>75.3</v>
      </c>
      <c r="G115" s="17">
        <v>0.11</v>
      </c>
      <c r="H115" s="17">
        <v>15.17</v>
      </c>
      <c r="I115" s="17">
        <v>0.77</v>
      </c>
      <c r="J115" s="17">
        <v>0.67</v>
      </c>
      <c r="K115" s="17">
        <v>1.36</v>
      </c>
      <c r="L115" s="17">
        <v>4</v>
      </c>
      <c r="M115" s="17">
        <v>3.08</v>
      </c>
      <c r="N115" s="18">
        <v>3.7454118704586883E-2</v>
      </c>
      <c r="O115" s="22">
        <v>100.49745411870458</v>
      </c>
      <c r="P115" s="17">
        <v>6</v>
      </c>
      <c r="Q115" s="17"/>
      <c r="S115" s="24">
        <v>150</v>
      </c>
      <c r="T115" s="14">
        <v>-2.9771538965575037</v>
      </c>
      <c r="U115" s="22">
        <v>-12.266731811700271</v>
      </c>
      <c r="V115" s="15">
        <v>5.7175244880644578E-5</v>
      </c>
    </row>
    <row r="116" spans="1:22" ht="13" customHeight="1">
      <c r="A116" s="6" t="s">
        <v>113</v>
      </c>
      <c r="B116" s="6">
        <v>825</v>
      </c>
      <c r="C116" s="6">
        <v>2000</v>
      </c>
      <c r="E116" s="10" t="s">
        <v>107</v>
      </c>
      <c r="F116" s="17">
        <v>74</v>
      </c>
      <c r="G116" s="17">
        <v>0.31</v>
      </c>
      <c r="H116" s="17">
        <v>15.12</v>
      </c>
      <c r="I116" s="17">
        <v>1.5</v>
      </c>
      <c r="J116" s="17">
        <v>0.47</v>
      </c>
      <c r="K116" s="17">
        <v>1.92</v>
      </c>
      <c r="L116" s="17">
        <v>3.71</v>
      </c>
      <c r="M116" s="17">
        <v>3.37</v>
      </c>
      <c r="N116" s="18">
        <v>6.741741366825639E-2</v>
      </c>
      <c r="O116" s="22">
        <v>100.46741741366826</v>
      </c>
      <c r="P116" s="17">
        <v>9.4</v>
      </c>
      <c r="Q116" s="17"/>
      <c r="S116" s="24">
        <v>270.00000000000006</v>
      </c>
      <c r="T116" s="14">
        <v>-2.0445267453636555</v>
      </c>
      <c r="U116" s="22">
        <v>-11.326794220699904</v>
      </c>
      <c r="V116" s="15">
        <v>1.8430445816496315E-2</v>
      </c>
    </row>
    <row r="117" spans="1:22" ht="13" customHeight="1">
      <c r="A117" s="6" t="s">
        <v>114</v>
      </c>
      <c r="B117" s="6">
        <v>850</v>
      </c>
      <c r="C117" s="6">
        <v>2080</v>
      </c>
      <c r="E117" s="10" t="s">
        <v>107</v>
      </c>
      <c r="F117" s="17">
        <v>73.5</v>
      </c>
      <c r="G117" s="17">
        <v>0.38</v>
      </c>
      <c r="H117" s="17">
        <v>16.940000000000001</v>
      </c>
      <c r="I117" s="17">
        <v>0.4</v>
      </c>
      <c r="J117" s="17">
        <v>0.85</v>
      </c>
      <c r="K117" s="17">
        <v>1.92</v>
      </c>
      <c r="L117" s="17">
        <v>3.71</v>
      </c>
      <c r="M117" s="17">
        <v>2.78</v>
      </c>
      <c r="N117" s="18">
        <v>7.6905790406751731E-2</v>
      </c>
      <c r="O117" s="22">
        <v>100.55690579040674</v>
      </c>
      <c r="P117" s="17">
        <v>10.6</v>
      </c>
      <c r="Q117" s="17"/>
      <c r="S117" s="24">
        <v>308</v>
      </c>
      <c r="T117" s="14">
        <v>-1.9128489213884559</v>
      </c>
      <c r="U117" s="22">
        <v>-11.193019370449955</v>
      </c>
      <c r="V117" s="15">
        <v>-2.0349804570337245E-2</v>
      </c>
    </row>
    <row r="118" spans="1:22" ht="13" customHeight="1">
      <c r="A118" s="6" t="s">
        <v>115</v>
      </c>
      <c r="B118" s="6">
        <v>850</v>
      </c>
      <c r="C118" s="6">
        <v>2080</v>
      </c>
      <c r="E118" s="10" t="s">
        <v>107</v>
      </c>
      <c r="F118" s="17">
        <v>73.5</v>
      </c>
      <c r="G118" s="17">
        <v>0.28999999999999998</v>
      </c>
      <c r="H118" s="17">
        <v>16.37</v>
      </c>
      <c r="I118" s="17">
        <v>0.56999999999999995</v>
      </c>
      <c r="J118" s="17">
        <v>0.98</v>
      </c>
      <c r="K118" s="17">
        <v>1.85</v>
      </c>
      <c r="L118" s="17">
        <v>4.0999999999999996</v>
      </c>
      <c r="M118" s="17">
        <v>2.84</v>
      </c>
      <c r="N118" s="18">
        <v>6.6668331294164648E-2</v>
      </c>
      <c r="O118" s="22">
        <v>100.56666833129417</v>
      </c>
      <c r="P118" s="17">
        <v>8.6</v>
      </c>
      <c r="Q118" s="17"/>
      <c r="S118" s="24">
        <v>267</v>
      </c>
      <c r="T118" s="14">
        <v>-2.0928395929112376</v>
      </c>
      <c r="U118" s="22">
        <v>-11.378732367640497</v>
      </c>
      <c r="V118" s="15">
        <v>1.2754372943472561E-3</v>
      </c>
    </row>
    <row r="119" spans="1:22" ht="13" customHeight="1">
      <c r="A119" s="6" t="s">
        <v>116</v>
      </c>
      <c r="B119" s="6">
        <v>850</v>
      </c>
      <c r="C119" s="6">
        <v>2080</v>
      </c>
      <c r="E119" s="10" t="s">
        <v>107</v>
      </c>
      <c r="F119" s="17">
        <v>73.599999999999994</v>
      </c>
      <c r="G119" s="17">
        <v>0.2</v>
      </c>
      <c r="H119" s="17">
        <v>16.329999999999998</v>
      </c>
      <c r="I119" s="17">
        <v>0.75</v>
      </c>
      <c r="J119" s="17">
        <v>0.91</v>
      </c>
      <c r="K119" s="17">
        <v>2.0499999999999998</v>
      </c>
      <c r="L119" s="17">
        <v>3.83</v>
      </c>
      <c r="M119" s="17">
        <v>2.77</v>
      </c>
      <c r="N119" s="18">
        <v>7.1412519663412319E-2</v>
      </c>
      <c r="O119" s="22">
        <v>100.51141251966339</v>
      </c>
      <c r="P119" s="17">
        <v>9.5</v>
      </c>
      <c r="Q119" s="17"/>
      <c r="S119" s="24">
        <v>286</v>
      </c>
      <c r="T119" s="14">
        <v>-1.9214422864315512</v>
      </c>
      <c r="U119" s="22">
        <v>-11.20661244596228</v>
      </c>
      <c r="V119" s="15">
        <v>7.9476037101131568E-4</v>
      </c>
    </row>
    <row r="120" spans="1:22" ht="13" customHeight="1">
      <c r="A120" s="6" t="s">
        <v>117</v>
      </c>
      <c r="B120" s="6">
        <v>930</v>
      </c>
      <c r="C120" s="6">
        <v>2000</v>
      </c>
      <c r="E120" s="10" t="s">
        <v>118</v>
      </c>
      <c r="F120" s="17">
        <v>77.25</v>
      </c>
      <c r="G120" s="17">
        <v>0</v>
      </c>
      <c r="H120" s="17">
        <v>13.55</v>
      </c>
      <c r="I120" s="17">
        <v>0.45</v>
      </c>
      <c r="J120" s="17">
        <v>0.35</v>
      </c>
      <c r="K120" s="17">
        <v>2.0099999999999998</v>
      </c>
      <c r="L120" s="17">
        <v>4.43</v>
      </c>
      <c r="M120" s="17">
        <v>1.94</v>
      </c>
      <c r="N120" s="18">
        <v>7.1162825538715072E-2</v>
      </c>
      <c r="O120" s="22">
        <v>100.05116282553871</v>
      </c>
      <c r="P120" s="17">
        <v>4.71</v>
      </c>
      <c r="Q120" s="17"/>
      <c r="S120" s="24">
        <v>285</v>
      </c>
      <c r="T120" s="14">
        <v>-1.9446499880620856</v>
      </c>
      <c r="U120" s="22">
        <v>-11.246609702516514</v>
      </c>
      <c r="V120" s="15">
        <v>1.2846321215172879E-2</v>
      </c>
    </row>
    <row r="121" spans="1:22" ht="13" customHeight="1">
      <c r="A121" s="6" t="s">
        <v>119</v>
      </c>
      <c r="B121" s="6">
        <v>933</v>
      </c>
      <c r="C121" s="6">
        <v>2250</v>
      </c>
      <c r="E121" s="10" t="s">
        <v>118</v>
      </c>
      <c r="F121" s="17">
        <v>77.3</v>
      </c>
      <c r="G121" s="17">
        <v>0</v>
      </c>
      <c r="H121" s="17">
        <v>13.73</v>
      </c>
      <c r="I121" s="17">
        <v>1.85</v>
      </c>
      <c r="J121" s="17">
        <v>0.32</v>
      </c>
      <c r="K121" s="17">
        <v>0.39</v>
      </c>
      <c r="L121" s="17">
        <v>4.4000000000000004</v>
      </c>
      <c r="M121" s="17">
        <v>2.0099999999999998</v>
      </c>
      <c r="N121" s="18">
        <v>0.24694748932557617</v>
      </c>
      <c r="O121" s="22">
        <v>100.24694748932558</v>
      </c>
      <c r="P121" s="17">
        <v>3.04</v>
      </c>
      <c r="Q121" s="17"/>
      <c r="S121" s="24">
        <v>989</v>
      </c>
      <c r="T121" s="14">
        <v>-2.3401880986374533</v>
      </c>
      <c r="U121" s="22">
        <v>-11.635615163000457</v>
      </c>
      <c r="V121" s="15">
        <v>-2.169599730064759E-3</v>
      </c>
    </row>
    <row r="122" spans="1:22" ht="13" customHeight="1">
      <c r="A122" s="6" t="s">
        <v>120</v>
      </c>
      <c r="B122" s="6">
        <v>933</v>
      </c>
      <c r="C122" s="6">
        <v>2250</v>
      </c>
      <c r="E122" s="10" t="s">
        <v>118</v>
      </c>
      <c r="F122" s="17">
        <v>76.900000000000006</v>
      </c>
      <c r="G122" s="17">
        <v>0</v>
      </c>
      <c r="H122" s="17">
        <v>13.5</v>
      </c>
      <c r="I122" s="17">
        <v>1.81</v>
      </c>
      <c r="J122" s="17">
        <v>0.33</v>
      </c>
      <c r="K122" s="17">
        <v>1.18</v>
      </c>
      <c r="L122" s="17">
        <v>4.37</v>
      </c>
      <c r="M122" s="17">
        <v>1.9</v>
      </c>
      <c r="N122" s="18">
        <v>7.6656096282054484E-2</v>
      </c>
      <c r="O122" s="22">
        <v>100.06665609628207</v>
      </c>
      <c r="P122" s="17">
        <v>2.83</v>
      </c>
      <c r="Q122" s="17"/>
      <c r="S122" s="24">
        <v>307</v>
      </c>
      <c r="T122" s="14">
        <v>-2.4029117043369501</v>
      </c>
      <c r="U122" s="22">
        <v>-11.699734702333961</v>
      </c>
      <c r="V122" s="15">
        <v>1.6437408757268328E-2</v>
      </c>
    </row>
    <row r="123" spans="1:22" ht="13" customHeight="1">
      <c r="A123" s="6" t="s">
        <v>121</v>
      </c>
      <c r="B123" s="6">
        <v>933</v>
      </c>
      <c r="C123" s="6">
        <v>2250</v>
      </c>
      <c r="E123" s="10" t="s">
        <v>118</v>
      </c>
      <c r="F123" s="17">
        <v>76.22</v>
      </c>
      <c r="G123" s="17">
        <v>0</v>
      </c>
      <c r="H123" s="17">
        <v>13.4</v>
      </c>
      <c r="I123" s="17">
        <v>1.93</v>
      </c>
      <c r="J123" s="17">
        <v>0.33</v>
      </c>
      <c r="K123" s="17">
        <v>2.1</v>
      </c>
      <c r="L123" s="17">
        <v>4.05</v>
      </c>
      <c r="M123" s="17">
        <v>1.96</v>
      </c>
      <c r="N123" s="18">
        <v>4.644310719368773E-2</v>
      </c>
      <c r="O123" s="22">
        <v>100.03644310719368</v>
      </c>
      <c r="P123" s="17">
        <v>4.8899999999999997</v>
      </c>
      <c r="Q123" s="17"/>
      <c r="S123" s="24">
        <v>185.99999999999997</v>
      </c>
      <c r="T123" s="14">
        <v>-2.3275898719591419</v>
      </c>
      <c r="U123" s="22">
        <v>-11.625534912263976</v>
      </c>
      <c r="V123" s="15">
        <v>3.5557145712366803E-2</v>
      </c>
    </row>
    <row r="124" spans="1:22" ht="13" customHeight="1">
      <c r="A124" s="6" t="s">
        <v>122</v>
      </c>
      <c r="B124" s="6">
        <v>936</v>
      </c>
      <c r="C124" s="6">
        <v>2120</v>
      </c>
      <c r="E124" s="10" t="s">
        <v>118</v>
      </c>
      <c r="F124" s="17">
        <v>75.81</v>
      </c>
      <c r="G124" s="17">
        <v>0</v>
      </c>
      <c r="H124" s="17">
        <v>13.24</v>
      </c>
      <c r="I124" s="17">
        <v>1.87</v>
      </c>
      <c r="J124" s="17">
        <v>0.35</v>
      </c>
      <c r="K124" s="17">
        <v>2.64</v>
      </c>
      <c r="L124" s="17">
        <v>3.98</v>
      </c>
      <c r="M124" s="17">
        <v>2.11</v>
      </c>
      <c r="N124" s="18">
        <v>3.8452895203375866E-2</v>
      </c>
      <c r="O124" s="22">
        <v>100.03845289520338</v>
      </c>
      <c r="P124" s="17">
        <v>5.76</v>
      </c>
      <c r="Q124" s="17"/>
      <c r="S124" s="24">
        <v>154</v>
      </c>
      <c r="T124" s="14">
        <v>-2.2875423708298666</v>
      </c>
      <c r="U124" s="22">
        <v>-11.587104046521056</v>
      </c>
      <c r="V124" s="15">
        <v>5.0674402045676831E-2</v>
      </c>
    </row>
    <row r="125" spans="1:22" ht="13" customHeight="1">
      <c r="A125" s="6" t="s">
        <v>123</v>
      </c>
      <c r="B125" s="6">
        <v>987</v>
      </c>
      <c r="C125" s="6">
        <v>1990</v>
      </c>
      <c r="E125" s="10" t="s">
        <v>118</v>
      </c>
      <c r="F125" s="17">
        <v>76.709999999999994</v>
      </c>
      <c r="G125" s="17">
        <v>0</v>
      </c>
      <c r="H125" s="17">
        <v>13.67</v>
      </c>
      <c r="I125" s="17">
        <v>2.2000000000000002</v>
      </c>
      <c r="J125" s="17">
        <v>0.34</v>
      </c>
      <c r="K125" s="17">
        <v>1.3</v>
      </c>
      <c r="L125" s="17">
        <v>3.93</v>
      </c>
      <c r="M125" s="17">
        <v>1.84</v>
      </c>
      <c r="N125" s="18">
        <v>0.16829384004594372</v>
      </c>
      <c r="O125" s="22">
        <v>100.15829384004596</v>
      </c>
      <c r="P125" s="17">
        <v>2.8</v>
      </c>
      <c r="Q125" s="17"/>
      <c r="S125" s="24">
        <v>674</v>
      </c>
      <c r="T125" s="14">
        <v>-1.5196795150219224</v>
      </c>
      <c r="U125" s="22">
        <v>-10.816155853604132</v>
      </c>
      <c r="V125" s="15">
        <v>1.4380999976224667E-2</v>
      </c>
    </row>
    <row r="126" spans="1:22" ht="13" customHeight="1">
      <c r="A126" s="6" t="s">
        <v>124</v>
      </c>
      <c r="B126" s="6">
        <v>987</v>
      </c>
      <c r="C126" s="6">
        <v>1990</v>
      </c>
      <c r="E126" s="10" t="s">
        <v>118</v>
      </c>
      <c r="F126" s="17">
        <v>76.88</v>
      </c>
      <c r="G126" s="17">
        <v>0</v>
      </c>
      <c r="H126" s="17">
        <v>13.73</v>
      </c>
      <c r="I126" s="17">
        <v>2.13</v>
      </c>
      <c r="J126" s="17">
        <v>0.32</v>
      </c>
      <c r="K126" s="17">
        <v>1.24</v>
      </c>
      <c r="L126" s="17">
        <v>3.9</v>
      </c>
      <c r="M126" s="17">
        <v>1.79</v>
      </c>
      <c r="N126" s="18">
        <v>0.14057779220454941</v>
      </c>
      <c r="O126" s="22">
        <v>100.13057779220455</v>
      </c>
      <c r="P126" s="17">
        <v>2.67</v>
      </c>
      <c r="Q126" s="17"/>
      <c r="S126" s="24">
        <v>563</v>
      </c>
      <c r="T126" s="14">
        <v>-1.7468828826450848</v>
      </c>
      <c r="U126" s="22">
        <v>-11.042738261735089</v>
      </c>
      <c r="V126" s="15">
        <v>8.9930229417846258E-3</v>
      </c>
    </row>
    <row r="127" spans="1:22" ht="13" customHeight="1">
      <c r="A127" s="6" t="s">
        <v>125</v>
      </c>
      <c r="B127" s="6">
        <v>987</v>
      </c>
      <c r="C127" s="6">
        <v>1990</v>
      </c>
      <c r="E127" s="10" t="s">
        <v>118</v>
      </c>
      <c r="F127" s="17">
        <v>77.599999999999994</v>
      </c>
      <c r="G127" s="17">
        <v>0</v>
      </c>
      <c r="H127" s="17">
        <v>13.9</v>
      </c>
      <c r="I127" s="17">
        <v>0.92</v>
      </c>
      <c r="J127" s="17">
        <v>0.35</v>
      </c>
      <c r="K127" s="17">
        <v>1.1499999999999999</v>
      </c>
      <c r="L127" s="17">
        <v>4.16</v>
      </c>
      <c r="M127" s="17">
        <v>1.92</v>
      </c>
      <c r="N127" s="18">
        <v>0.18327548752777847</v>
      </c>
      <c r="O127" s="22">
        <v>100.18327548752778</v>
      </c>
      <c r="P127" s="17">
        <v>2.11</v>
      </c>
      <c r="Q127" s="17"/>
      <c r="S127" s="24">
        <v>734.00000000000011</v>
      </c>
      <c r="T127" s="14">
        <v>-1.5570029194120463</v>
      </c>
      <c r="U127" s="22">
        <v>-10.855497421234331</v>
      </c>
      <c r="V127" s="15">
        <v>-8.732979024134736E-3</v>
      </c>
    </row>
    <row r="128" spans="1:22" ht="13" customHeight="1">
      <c r="A128" s="6" t="s">
        <v>126</v>
      </c>
      <c r="B128" s="6">
        <v>987</v>
      </c>
      <c r="C128" s="6">
        <v>1990</v>
      </c>
      <c r="E128" s="10" t="s">
        <v>118</v>
      </c>
      <c r="F128" s="17">
        <v>77.599999999999994</v>
      </c>
      <c r="G128" s="17">
        <v>0</v>
      </c>
      <c r="H128" s="17">
        <v>14.02</v>
      </c>
      <c r="I128" s="17">
        <v>0.63</v>
      </c>
      <c r="J128" s="17">
        <v>0.33</v>
      </c>
      <c r="K128" s="17">
        <v>1.18</v>
      </c>
      <c r="L128" s="17">
        <v>4.34</v>
      </c>
      <c r="M128" s="17">
        <v>1.89</v>
      </c>
      <c r="N128" s="18">
        <v>0.19251417014157657</v>
      </c>
      <c r="O128" s="22">
        <v>100.18251417014157</v>
      </c>
      <c r="P128" s="17">
        <v>1.78</v>
      </c>
      <c r="Q128" s="17"/>
      <c r="S128" s="24">
        <v>771</v>
      </c>
      <c r="T128" s="14">
        <v>-1.4820710783608175</v>
      </c>
      <c r="U128" s="22">
        <v>-10.780412074157795</v>
      </c>
      <c r="V128" s="15">
        <v>-1.2025183738383906E-2</v>
      </c>
    </row>
    <row r="129" ht="13" customHeight="1"/>
    <row r="130" ht="13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9323-6020-4A2D-9B68-6618B70C6BFA}">
  <dimension ref="B1:AR21"/>
  <sheetViews>
    <sheetView workbookViewId="0">
      <selection activeCell="M5" sqref="M5"/>
    </sheetView>
  </sheetViews>
  <sheetFormatPr defaultRowHeight="15.5"/>
  <sheetData>
    <row r="1" spans="2:44">
      <c r="B1" t="s">
        <v>8</v>
      </c>
      <c r="C1" t="s">
        <v>9</v>
      </c>
      <c r="D1" t="s">
        <v>10</v>
      </c>
      <c r="E1" t="s">
        <v>17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25</v>
      </c>
      <c r="R1" t="s">
        <v>24</v>
      </c>
      <c r="S1" t="s">
        <v>24</v>
      </c>
      <c r="T1" t="s">
        <v>31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177</v>
      </c>
      <c r="AC1" t="s">
        <v>140</v>
      </c>
      <c r="AD1" t="s">
        <v>141</v>
      </c>
      <c r="AE1" t="s">
        <v>141</v>
      </c>
      <c r="AF1" t="s">
        <v>141</v>
      </c>
      <c r="AG1" t="s">
        <v>142</v>
      </c>
      <c r="AH1" t="s">
        <v>143</v>
      </c>
      <c r="AI1" t="s">
        <v>144</v>
      </c>
      <c r="AJ1">
        <v>25</v>
      </c>
      <c r="AK1">
        <v>50</v>
      </c>
      <c r="AL1">
        <v>100</v>
      </c>
      <c r="AM1">
        <v>25</v>
      </c>
      <c r="AN1">
        <v>50</v>
      </c>
      <c r="AO1">
        <v>100</v>
      </c>
      <c r="AP1">
        <v>25</v>
      </c>
      <c r="AQ1">
        <v>50</v>
      </c>
      <c r="AR1">
        <v>100</v>
      </c>
    </row>
    <row r="2" spans="2:44">
      <c r="B2" t="s">
        <v>145</v>
      </c>
      <c r="C2">
        <v>850</v>
      </c>
      <c r="D2">
        <v>2000</v>
      </c>
      <c r="E2">
        <v>0.5</v>
      </c>
      <c r="G2">
        <v>68.580974429127593</v>
      </c>
      <c r="H2">
        <v>0.4711669998947699</v>
      </c>
      <c r="I2">
        <v>17.119067662843307</v>
      </c>
      <c r="J2">
        <v>4.7116699989476993</v>
      </c>
      <c r="K2">
        <v>2.2092497106176987</v>
      </c>
      <c r="L2">
        <v>0.5</v>
      </c>
      <c r="M2">
        <v>4.6593181100705028</v>
      </c>
      <c r="N2">
        <v>1.7485530884983682</v>
      </c>
      <c r="O2">
        <v>5</v>
      </c>
      <c r="P2">
        <v>4.6306842972413207E-5</v>
      </c>
      <c r="R2">
        <v>-9.9802208114124795</v>
      </c>
      <c r="S2">
        <v>-10.84627309584662</v>
      </c>
      <c r="T2">
        <v>7.4374887488025634E-2</v>
      </c>
      <c r="W2">
        <v>0.40048</v>
      </c>
      <c r="X2">
        <v>0.5</v>
      </c>
      <c r="Y2">
        <v>5.749601169710363E-3</v>
      </c>
      <c r="Z2">
        <v>3.387550085566285E-3</v>
      </c>
      <c r="AA2">
        <v>0.42060871966649932</v>
      </c>
      <c r="AB2">
        <v>0.16844538005203966</v>
      </c>
      <c r="AC2">
        <v>0.29442610376654954</v>
      </c>
      <c r="AD2">
        <v>0.10515217991662483</v>
      </c>
      <c r="AE2">
        <v>0.21030435983324966</v>
      </c>
      <c r="AF2">
        <v>0.42060871966649932</v>
      </c>
      <c r="AG2">
        <v>0.35714285714285715</v>
      </c>
      <c r="AH2">
        <v>0.7142857142857143</v>
      </c>
      <c r="AI2">
        <v>1.4285714285714286</v>
      </c>
      <c r="AJ2">
        <v>0.29442610376654954</v>
      </c>
      <c r="AK2">
        <v>0.29442610376654954</v>
      </c>
      <c r="AL2">
        <v>0.29442610376654954</v>
      </c>
      <c r="AM2">
        <v>0.10515217991662483</v>
      </c>
      <c r="AN2">
        <v>0.21030435983324966</v>
      </c>
      <c r="AO2">
        <v>0.42060871966649932</v>
      </c>
      <c r="AP2">
        <v>0.60042171631682562</v>
      </c>
      <c r="AQ2">
        <v>0.49526953640020077</v>
      </c>
      <c r="AR2">
        <v>0.28496517656695108</v>
      </c>
    </row>
    <row r="3" spans="2:44">
      <c r="B3" t="s">
        <v>145</v>
      </c>
      <c r="C3">
        <v>850</v>
      </c>
      <c r="D3">
        <v>2000</v>
      </c>
      <c r="E3">
        <v>1</v>
      </c>
      <c r="G3">
        <v>68.236346416920952</v>
      </c>
      <c r="H3">
        <v>0.46879932652846462</v>
      </c>
      <c r="I3">
        <v>17.033042197200878</v>
      </c>
      <c r="J3">
        <v>4.6879932652846454</v>
      </c>
      <c r="K3">
        <v>2.1981479532779113</v>
      </c>
      <c r="L3">
        <v>1</v>
      </c>
      <c r="M3">
        <v>4.6359044512259278</v>
      </c>
      <c r="N3">
        <v>1.7397663895611906</v>
      </c>
      <c r="O3">
        <v>5</v>
      </c>
      <c r="P3">
        <v>9.2466819956386011E-5</v>
      </c>
      <c r="R3">
        <v>-9.2886606809694729</v>
      </c>
      <c r="S3">
        <v>-10.493122037403083</v>
      </c>
      <c r="T3">
        <v>8.6520004614131507E-2</v>
      </c>
      <c r="W3">
        <v>0.40048</v>
      </c>
      <c r="X3">
        <v>1</v>
      </c>
      <c r="Y3">
        <v>1.149008105367502E-2</v>
      </c>
      <c r="Z3">
        <v>2.4130810487290395E-3</v>
      </c>
      <c r="AA3">
        <v>0.29985347016434211</v>
      </c>
      <c r="AB3">
        <v>0.12008531773141573</v>
      </c>
      <c r="AC3">
        <v>0.20989742911503945</v>
      </c>
      <c r="AD3">
        <v>7.4963367541085527E-2</v>
      </c>
      <c r="AE3">
        <v>0.14992673508217105</v>
      </c>
      <c r="AF3">
        <v>0.29985347016434211</v>
      </c>
      <c r="AG3">
        <v>0.35714285714285715</v>
      </c>
      <c r="AH3">
        <v>0.7142857142857143</v>
      </c>
      <c r="AI3">
        <v>1.4285714285714286</v>
      </c>
      <c r="AJ3">
        <v>0.20989742911503945</v>
      </c>
      <c r="AK3">
        <v>0.20989742911503945</v>
      </c>
      <c r="AL3">
        <v>0.20989742911503945</v>
      </c>
      <c r="AM3">
        <v>7.4963367541085527E-2</v>
      </c>
      <c r="AN3">
        <v>0.14992673508217105</v>
      </c>
      <c r="AO3">
        <v>0.29985347016434211</v>
      </c>
      <c r="AP3">
        <v>0.71513920334387504</v>
      </c>
      <c r="AQ3">
        <v>0.64017583580278958</v>
      </c>
      <c r="AR3">
        <v>0.4902491007206185</v>
      </c>
    </row>
    <row r="4" spans="2:44">
      <c r="B4" t="s">
        <v>145</v>
      </c>
      <c r="C4">
        <v>850</v>
      </c>
      <c r="D4">
        <v>2000</v>
      </c>
      <c r="E4">
        <v>1.5</v>
      </c>
      <c r="G4">
        <v>67.891718404714283</v>
      </c>
      <c r="H4">
        <v>0.46643165316215918</v>
      </c>
      <c r="I4">
        <v>16.947016731558453</v>
      </c>
      <c r="J4">
        <v>4.6643165316215915</v>
      </c>
      <c r="K4">
        <v>2.187046195938124</v>
      </c>
      <c r="L4">
        <v>1.5</v>
      </c>
      <c r="M4">
        <v>4.6124907923813527</v>
      </c>
      <c r="N4">
        <v>1.7309796906240129</v>
      </c>
      <c r="O4">
        <v>5</v>
      </c>
      <c r="P4">
        <v>1.3848045455907952E-4</v>
      </c>
      <c r="R4">
        <v>-8.884781364612687</v>
      </c>
      <c r="S4">
        <v>-10.136385689026119</v>
      </c>
      <c r="T4">
        <v>9.8788422421720451E-2</v>
      </c>
      <c r="W4">
        <v>0.40048</v>
      </c>
      <c r="X4">
        <v>1.5</v>
      </c>
      <c r="Y4">
        <v>1.7221461339984184E-2</v>
      </c>
      <c r="Z4">
        <v>2.3001365956624698E-3</v>
      </c>
      <c r="AA4">
        <v>0.2860455187340869</v>
      </c>
      <c r="AB4">
        <v>0.11455550934262712</v>
      </c>
      <c r="AC4">
        <v>0.20023186311386082</v>
      </c>
      <c r="AD4">
        <v>7.1511379683521725E-2</v>
      </c>
      <c r="AE4">
        <v>0.14302275936704345</v>
      </c>
      <c r="AF4">
        <v>0.2860455187340869</v>
      </c>
      <c r="AG4">
        <v>0.35714285714285715</v>
      </c>
      <c r="AH4">
        <v>0.7142857142857143</v>
      </c>
      <c r="AI4">
        <v>1.4285714285714286</v>
      </c>
      <c r="AJ4">
        <v>0.20023186311386082</v>
      </c>
      <c r="AK4">
        <v>0.20023186311386082</v>
      </c>
      <c r="AL4">
        <v>0.20023186311386082</v>
      </c>
      <c r="AM4">
        <v>7.1511379683521725E-2</v>
      </c>
      <c r="AN4">
        <v>0.14302275936704345</v>
      </c>
      <c r="AO4">
        <v>0.2860455187340869</v>
      </c>
      <c r="AP4">
        <v>0.72825675720261751</v>
      </c>
      <c r="AQ4">
        <v>0.65674537751909567</v>
      </c>
      <c r="AR4">
        <v>0.51372261815205222</v>
      </c>
    </row>
    <row r="5" spans="2:44">
      <c r="B5" t="s">
        <v>145</v>
      </c>
      <c r="C5">
        <v>850</v>
      </c>
      <c r="D5">
        <v>2000</v>
      </c>
      <c r="E5">
        <v>2</v>
      </c>
      <c r="G5">
        <v>67.547090392507613</v>
      </c>
      <c r="H5">
        <v>0.46406397979585379</v>
      </c>
      <c r="I5">
        <v>16.860991265916024</v>
      </c>
      <c r="J5">
        <v>4.6406397979585376</v>
      </c>
      <c r="K5">
        <v>2.1759444385983366</v>
      </c>
      <c r="L5">
        <v>2</v>
      </c>
      <c r="M5">
        <v>4.5890771335367768</v>
      </c>
      <c r="N5">
        <v>1.7221929916868353</v>
      </c>
      <c r="O5">
        <v>5</v>
      </c>
      <c r="P5">
        <v>1.8434826817694282E-4</v>
      </c>
      <c r="R5">
        <v>-8.5986838275406541</v>
      </c>
      <c r="S5">
        <v>-9.7760091738290189</v>
      </c>
      <c r="T5">
        <v>0.11118202816612002</v>
      </c>
      <c r="W5">
        <v>0.40048</v>
      </c>
      <c r="X5">
        <v>2</v>
      </c>
      <c r="Y5">
        <v>2.2943763648024182E-2</v>
      </c>
      <c r="Z5">
        <v>2.4755317490008956E-3</v>
      </c>
      <c r="AA5">
        <v>0.30810170290148914</v>
      </c>
      <c r="AB5">
        <v>0.12338856997798837</v>
      </c>
      <c r="AC5">
        <v>0.2156711920310424</v>
      </c>
      <c r="AD5">
        <v>7.7025425725372285E-2</v>
      </c>
      <c r="AE5">
        <v>0.15405085145074457</v>
      </c>
      <c r="AF5">
        <v>0.30810170290148914</v>
      </c>
      <c r="AG5">
        <v>0.35714285714285715</v>
      </c>
      <c r="AH5">
        <v>0.7142857142857143</v>
      </c>
      <c r="AI5">
        <v>1.4285714285714286</v>
      </c>
      <c r="AJ5">
        <v>0.2156711920310424</v>
      </c>
      <c r="AK5">
        <v>0.2156711920310424</v>
      </c>
      <c r="AL5">
        <v>0.2156711920310424</v>
      </c>
      <c r="AM5">
        <v>7.7025425725372285E-2</v>
      </c>
      <c r="AN5">
        <v>0.15405085145074457</v>
      </c>
      <c r="AO5">
        <v>0.30810170290148914</v>
      </c>
      <c r="AP5">
        <v>0.70730338224358524</v>
      </c>
      <c r="AQ5">
        <v>0.63027795651821306</v>
      </c>
      <c r="AR5">
        <v>0.4762271050674684</v>
      </c>
    </row>
    <row r="6" spans="2:44">
      <c r="B6" t="s">
        <v>145</v>
      </c>
      <c r="C6">
        <v>850</v>
      </c>
      <c r="D6">
        <v>2000</v>
      </c>
      <c r="E6">
        <v>2.5</v>
      </c>
      <c r="G6">
        <v>67.202462380300943</v>
      </c>
      <c r="H6">
        <v>0.4616963064295484</v>
      </c>
      <c r="I6">
        <v>16.774965800273595</v>
      </c>
      <c r="J6">
        <v>4.6169630642954846</v>
      </c>
      <c r="K6">
        <v>2.1648426812585493</v>
      </c>
      <c r="L6">
        <v>2.5</v>
      </c>
      <c r="M6">
        <v>4.5656634746922009</v>
      </c>
      <c r="N6">
        <v>1.7134062927496574</v>
      </c>
      <c r="O6">
        <v>5</v>
      </c>
      <c r="P6">
        <v>2.3007078000664261E-4</v>
      </c>
      <c r="R6">
        <v>-8.3771235572237455</v>
      </c>
      <c r="S6">
        <v>-9.4119364892452086</v>
      </c>
      <c r="T6">
        <v>0.12370274781559329</v>
      </c>
      <c r="W6">
        <v>0.40048</v>
      </c>
      <c r="X6">
        <v>2.5</v>
      </c>
      <c r="Y6">
        <v>2.8657009528749337E-2</v>
      </c>
      <c r="Z6">
        <v>2.8524434983520893E-3</v>
      </c>
      <c r="AA6">
        <v>0.35529283862181388</v>
      </c>
      <c r="AB6">
        <v>0.14228767601126402</v>
      </c>
      <c r="AC6">
        <v>0.24870498703526972</v>
      </c>
      <c r="AD6">
        <v>8.8823209655453469E-2</v>
      </c>
      <c r="AE6">
        <v>0.17764641931090694</v>
      </c>
      <c r="AF6">
        <v>0.35529283862181388</v>
      </c>
      <c r="AG6">
        <v>0.35714285714285715</v>
      </c>
      <c r="AH6">
        <v>0.7142857142857143</v>
      </c>
      <c r="AI6">
        <v>1.4285714285714286</v>
      </c>
      <c r="AJ6">
        <v>0.24870498703526972</v>
      </c>
      <c r="AK6">
        <v>0.24870498703526972</v>
      </c>
      <c r="AL6">
        <v>0.24870498703526972</v>
      </c>
      <c r="AM6">
        <v>8.8823209655453469E-2</v>
      </c>
      <c r="AN6">
        <v>0.17764641931090694</v>
      </c>
      <c r="AO6">
        <v>0.35529283862181388</v>
      </c>
      <c r="AP6">
        <v>0.66247180330927691</v>
      </c>
      <c r="AQ6">
        <v>0.57364859365382337</v>
      </c>
      <c r="AR6">
        <v>0.39600217434291635</v>
      </c>
    </row>
    <row r="7" spans="2:44">
      <c r="B7" t="s">
        <v>145</v>
      </c>
      <c r="C7">
        <v>850</v>
      </c>
      <c r="D7">
        <v>2000</v>
      </c>
      <c r="E7">
        <v>3</v>
      </c>
      <c r="G7">
        <v>66.85783436809426</v>
      </c>
      <c r="H7">
        <v>0.45932863306324301</v>
      </c>
      <c r="I7">
        <v>16.688940334631166</v>
      </c>
      <c r="J7">
        <v>4.5932863306324307</v>
      </c>
      <c r="K7">
        <v>2.1537409239187615</v>
      </c>
      <c r="L7">
        <v>3</v>
      </c>
      <c r="M7">
        <v>4.5422498158476259</v>
      </c>
      <c r="N7">
        <v>1.7046195938124795</v>
      </c>
      <c r="O7">
        <v>5</v>
      </c>
      <c r="P7">
        <v>2.7564850705592982E-4</v>
      </c>
      <c r="R7">
        <v>-8.1963840290291188</v>
      </c>
      <c r="S7">
        <v>-9.0441104780162416</v>
      </c>
      <c r="T7">
        <v>0.13635254704908009</v>
      </c>
      <c r="W7">
        <v>0.40048</v>
      </c>
      <c r="X7">
        <v>3</v>
      </c>
      <c r="Y7">
        <v>3.4361220464952449E-2</v>
      </c>
      <c r="Z7">
        <v>3.4365616924254033E-3</v>
      </c>
      <c r="AA7">
        <v>0.42838778709902353</v>
      </c>
      <c r="AB7">
        <v>0.17156074097741694</v>
      </c>
      <c r="AC7">
        <v>0.29987145096931644</v>
      </c>
      <c r="AD7">
        <v>0.10709694677475588</v>
      </c>
      <c r="AE7">
        <v>0.21419389354951177</v>
      </c>
      <c r="AF7">
        <v>0.42838778709902353</v>
      </c>
      <c r="AG7">
        <v>0.35714285714285715</v>
      </c>
      <c r="AH7">
        <v>0.7142857142857143</v>
      </c>
      <c r="AI7">
        <v>1.4285714285714286</v>
      </c>
      <c r="AJ7">
        <v>0.29987145096931644</v>
      </c>
      <c r="AK7">
        <v>0.29987145096931644</v>
      </c>
      <c r="AL7">
        <v>0.29987145096931644</v>
      </c>
      <c r="AM7">
        <v>0.10709694677475588</v>
      </c>
      <c r="AN7">
        <v>0.21419389354951177</v>
      </c>
      <c r="AO7">
        <v>0.42838778709902353</v>
      </c>
      <c r="AP7">
        <v>0.59303160225592766</v>
      </c>
      <c r="AQ7">
        <v>0.48593465548117176</v>
      </c>
      <c r="AR7">
        <v>0.27174076193165997</v>
      </c>
    </row>
    <row r="8" spans="2:44">
      <c r="B8" t="s">
        <v>145</v>
      </c>
      <c r="C8">
        <v>850</v>
      </c>
      <c r="D8">
        <v>2000</v>
      </c>
      <c r="E8">
        <v>3.5</v>
      </c>
      <c r="G8">
        <v>66.51320635588759</v>
      </c>
      <c r="H8">
        <v>0.45696095969693773</v>
      </c>
      <c r="I8">
        <v>16.602914868988737</v>
      </c>
      <c r="J8">
        <v>4.5696095969693769</v>
      </c>
      <c r="K8">
        <v>2.1426391665789741</v>
      </c>
      <c r="L8">
        <v>3.5</v>
      </c>
      <c r="M8">
        <v>4.51883615700305</v>
      </c>
      <c r="N8">
        <v>1.6958328948753021</v>
      </c>
      <c r="O8">
        <v>5</v>
      </c>
      <c r="P8">
        <v>3.210819641544456E-4</v>
      </c>
      <c r="R8">
        <v>-8.0438141273829782</v>
      </c>
      <c r="S8">
        <v>-8.6724727982771466</v>
      </c>
      <c r="T8">
        <v>0.14913343228498596</v>
      </c>
      <c r="W8">
        <v>0.40048</v>
      </c>
      <c r="X8">
        <v>3.5</v>
      </c>
      <c r="Y8">
        <v>4.0056417871534099E-2</v>
      </c>
      <c r="Z8">
        <v>4.2748493095124589E-3</v>
      </c>
      <c r="AA8">
        <v>0.53330666121533743</v>
      </c>
      <c r="AB8">
        <v>0.21357865168351833</v>
      </c>
      <c r="AC8">
        <v>0.37331466285073617</v>
      </c>
      <c r="AD8">
        <v>0.13332666530383436</v>
      </c>
      <c r="AE8">
        <v>0.26665333060766871</v>
      </c>
      <c r="AF8">
        <v>0.53330666121533743</v>
      </c>
      <c r="AG8">
        <v>0.35714285714285715</v>
      </c>
      <c r="AH8">
        <v>0.7142857142857143</v>
      </c>
      <c r="AI8">
        <v>1.4285714285714286</v>
      </c>
      <c r="AJ8">
        <v>0.37331466285073617</v>
      </c>
      <c r="AK8">
        <v>0.37331466285073617</v>
      </c>
      <c r="AL8">
        <v>0.37331466285073617</v>
      </c>
      <c r="AM8">
        <v>0.13332666530383436</v>
      </c>
      <c r="AN8">
        <v>0.26665333060766871</v>
      </c>
      <c r="AO8">
        <v>0.53330666121533743</v>
      </c>
      <c r="AP8">
        <v>0.49335867184542953</v>
      </c>
      <c r="AQ8">
        <v>0.36003200654159512</v>
      </c>
      <c r="AR8">
        <v>9.3378675933926403E-2</v>
      </c>
    </row>
    <row r="9" spans="2:44">
      <c r="B9" t="s">
        <v>145</v>
      </c>
      <c r="C9">
        <v>850</v>
      </c>
      <c r="D9">
        <v>2000</v>
      </c>
      <c r="E9">
        <v>4</v>
      </c>
      <c r="G9">
        <v>66.16857834368092</v>
      </c>
      <c r="H9">
        <v>0.45459328633063234</v>
      </c>
      <c r="I9">
        <v>16.516889403346308</v>
      </c>
      <c r="J9">
        <v>4.545932863306323</v>
      </c>
      <c r="K9">
        <v>2.1315374092391868</v>
      </c>
      <c r="L9">
        <v>4</v>
      </c>
      <c r="M9">
        <v>4.4954224981584749</v>
      </c>
      <c r="N9">
        <v>1.6870461959381242</v>
      </c>
      <c r="O9">
        <v>5</v>
      </c>
      <c r="P9">
        <v>3.6637166396446511E-4</v>
      </c>
      <c r="R9">
        <v>-7.9118622644964329</v>
      </c>
      <c r="S9">
        <v>-8.2969638927073941</v>
      </c>
      <c r="T9">
        <v>0.1620474517421007</v>
      </c>
      <c r="W9">
        <v>0.40048</v>
      </c>
      <c r="X9">
        <v>4</v>
      </c>
      <c r="Y9">
        <v>4.5742623095770651E-2</v>
      </c>
      <c r="Z9">
        <v>5.4494578700652347E-3</v>
      </c>
      <c r="AA9">
        <v>0.6803814867376109</v>
      </c>
      <c r="AB9">
        <v>0.27247917780867842</v>
      </c>
      <c r="AC9">
        <v>0.47626704071632764</v>
      </c>
      <c r="AD9">
        <v>0.17009537168440272</v>
      </c>
      <c r="AE9">
        <v>0.34019074336880545</v>
      </c>
      <c r="AF9">
        <v>0.6803814867376109</v>
      </c>
      <c r="AG9">
        <v>0.35714285714285715</v>
      </c>
      <c r="AH9">
        <v>0.7142857142857143</v>
      </c>
      <c r="AI9">
        <v>1.4285714285714286</v>
      </c>
      <c r="AJ9">
        <v>0.47626704071632764</v>
      </c>
      <c r="AK9">
        <v>0.47626704071632764</v>
      </c>
      <c r="AL9">
        <v>0.41176470588235303</v>
      </c>
      <c r="AM9">
        <v>0.17009537168440272</v>
      </c>
      <c r="AN9">
        <v>0.34019074336880545</v>
      </c>
      <c r="AO9">
        <v>0.58823529411764697</v>
      </c>
      <c r="AP9">
        <v>0.35363758759926966</v>
      </c>
      <c r="AQ9">
        <v>0.18354221591486697</v>
      </c>
      <c r="AR9">
        <v>0</v>
      </c>
    </row>
    <row r="10" spans="2:44">
      <c r="B10" t="s">
        <v>145</v>
      </c>
      <c r="C10">
        <v>850</v>
      </c>
      <c r="D10">
        <v>2000</v>
      </c>
      <c r="E10">
        <v>4.5</v>
      </c>
      <c r="G10">
        <v>65.823950331474251</v>
      </c>
      <c r="H10">
        <v>0.45222561296432695</v>
      </c>
      <c r="I10">
        <v>16.430863937703879</v>
      </c>
      <c r="J10">
        <v>4.5222561296432691</v>
      </c>
      <c r="K10">
        <v>2.1204356518993994</v>
      </c>
      <c r="L10">
        <v>4.5</v>
      </c>
      <c r="M10">
        <v>4.4720088393138999</v>
      </c>
      <c r="N10">
        <v>1.6782594970009463</v>
      </c>
      <c r="O10">
        <v>5</v>
      </c>
      <c r="P10">
        <v>4.1151811699157998E-4</v>
      </c>
      <c r="R10">
        <v>-7.7956575121052882</v>
      </c>
      <c r="S10">
        <v>-7.9175229567128671</v>
      </c>
      <c r="T10">
        <v>0.17509669653384358</v>
      </c>
      <c r="W10">
        <v>0.40048</v>
      </c>
      <c r="X10">
        <v>4.5</v>
      </c>
      <c r="Y10">
        <v>5.14198574175809E-2</v>
      </c>
      <c r="Z10">
        <v>7.084881675628347E-3</v>
      </c>
      <c r="AA10">
        <v>0.88526747800193495</v>
      </c>
      <c r="AB10">
        <v>0.35453191959021491</v>
      </c>
      <c r="AC10">
        <v>0.61968723460135444</v>
      </c>
      <c r="AD10">
        <v>0.22131686950048374</v>
      </c>
      <c r="AE10">
        <v>0.44263373900096747</v>
      </c>
      <c r="AF10">
        <v>0.88526747800193495</v>
      </c>
      <c r="AG10">
        <v>0.35714285714285715</v>
      </c>
      <c r="AH10">
        <v>0.7142857142857143</v>
      </c>
      <c r="AI10">
        <v>1.4285714285714286</v>
      </c>
      <c r="AJ10">
        <v>0.61968723460135444</v>
      </c>
      <c r="AK10">
        <v>0.58333333333333337</v>
      </c>
      <c r="AL10">
        <v>0.41176470588235303</v>
      </c>
      <c r="AM10">
        <v>0.22131686950048374</v>
      </c>
      <c r="AN10">
        <v>0.41666666666666663</v>
      </c>
      <c r="AO10">
        <v>0.58823529411764697</v>
      </c>
      <c r="AP10">
        <v>0.15899589589816188</v>
      </c>
      <c r="AQ10">
        <v>0</v>
      </c>
      <c r="AR10">
        <v>0</v>
      </c>
    </row>
    <row r="11" spans="2:44">
      <c r="B11" t="s">
        <v>145</v>
      </c>
      <c r="C11">
        <v>850</v>
      </c>
      <c r="D11">
        <v>2000</v>
      </c>
      <c r="E11">
        <v>5</v>
      </c>
      <c r="G11">
        <v>65.479322319267581</v>
      </c>
      <c r="H11">
        <v>0.44985793959802156</v>
      </c>
      <c r="I11">
        <v>16.344838472061451</v>
      </c>
      <c r="J11">
        <v>4.4985793959802152</v>
      </c>
      <c r="K11">
        <v>2.1093338945596121</v>
      </c>
      <c r="L11">
        <v>5</v>
      </c>
      <c r="M11">
        <v>4.448595180469324</v>
      </c>
      <c r="N11">
        <v>1.6694727980637689</v>
      </c>
      <c r="O11">
        <v>5</v>
      </c>
      <c r="P11">
        <v>4.5652183159532211E-4</v>
      </c>
      <c r="R11">
        <v>-7.6918740352056956</v>
      </c>
      <c r="S11">
        <v>-7.5340879056026271</v>
      </c>
      <c r="T11">
        <v>0.18828330179707814</v>
      </c>
      <c r="W11">
        <v>0.40048</v>
      </c>
      <c r="X11">
        <v>5</v>
      </c>
      <c r="Y11">
        <v>5.7088142049791644E-2</v>
      </c>
      <c r="Z11">
        <v>9.363566246329124E-3</v>
      </c>
      <c r="AA11">
        <v>1.1709157437117159</v>
      </c>
      <c r="AB11">
        <v>0.46892833704166798</v>
      </c>
      <c r="AC11">
        <v>0.8196410205982011</v>
      </c>
      <c r="AD11">
        <v>0.29272893592792898</v>
      </c>
      <c r="AE11">
        <v>0.58545787185585796</v>
      </c>
      <c r="AF11">
        <v>1.1709157437117159</v>
      </c>
      <c r="AG11">
        <v>0.35714285714285715</v>
      </c>
      <c r="AH11">
        <v>0.7142857142857143</v>
      </c>
      <c r="AI11">
        <v>1.4285714285714286</v>
      </c>
      <c r="AJ11">
        <v>0.73684210526315796</v>
      </c>
      <c r="AK11">
        <v>0.58333333333333337</v>
      </c>
      <c r="AL11">
        <v>0.41176470588235303</v>
      </c>
      <c r="AM11">
        <v>0.26315789473684209</v>
      </c>
      <c r="AN11">
        <v>0.41666666666666663</v>
      </c>
      <c r="AO11">
        <v>0.58823529411764697</v>
      </c>
      <c r="AP11">
        <v>0</v>
      </c>
      <c r="AQ11">
        <v>0</v>
      </c>
      <c r="AR11">
        <v>0</v>
      </c>
    </row>
    <row r="12" spans="2:44">
      <c r="B12" t="s">
        <v>145</v>
      </c>
      <c r="C12">
        <v>850</v>
      </c>
      <c r="D12">
        <v>2000</v>
      </c>
      <c r="E12">
        <v>5.5</v>
      </c>
      <c r="G12">
        <v>65.134694307060911</v>
      </c>
      <c r="H12">
        <v>0.44749026623171617</v>
      </c>
      <c r="I12">
        <v>16.258813006419022</v>
      </c>
      <c r="J12">
        <v>4.4749026623171613</v>
      </c>
      <c r="K12">
        <v>2.0982321372198243</v>
      </c>
      <c r="L12">
        <v>5.5</v>
      </c>
      <c r="M12">
        <v>4.425181521624749</v>
      </c>
      <c r="N12">
        <v>1.660686099126591</v>
      </c>
      <c r="O12">
        <v>5</v>
      </c>
      <c r="P12">
        <v>5.0138331399972465E-4</v>
      </c>
      <c r="R12">
        <v>-7.5981396516136881</v>
      </c>
      <c r="S12">
        <v>-7.1465953407239642</v>
      </c>
      <c r="T12">
        <v>0.20160944785675036</v>
      </c>
      <c r="W12">
        <v>0.40048</v>
      </c>
      <c r="X12">
        <v>5.5</v>
      </c>
      <c r="Y12">
        <v>6.2747498138401803E-2</v>
      </c>
      <c r="Z12">
        <v>1.2550951887707619E-2</v>
      </c>
      <c r="AA12">
        <v>1.5707360181705943</v>
      </c>
      <c r="AB12">
        <v>0.62904836055695956</v>
      </c>
      <c r="AC12">
        <v>1.0995152127194159</v>
      </c>
      <c r="AD12">
        <v>0.39268400454264857</v>
      </c>
      <c r="AE12">
        <v>0.78536800908529714</v>
      </c>
      <c r="AF12">
        <v>1.5707360181705943</v>
      </c>
      <c r="AG12">
        <v>0.35714285714285715</v>
      </c>
      <c r="AH12">
        <v>0.7142857142857143</v>
      </c>
      <c r="AI12">
        <v>1.4285714285714286</v>
      </c>
      <c r="AJ12">
        <v>0.73684210526315796</v>
      </c>
      <c r="AK12">
        <v>0.58333333333333337</v>
      </c>
      <c r="AL12">
        <v>0.41176470588235303</v>
      </c>
      <c r="AM12">
        <v>0.26315789473684209</v>
      </c>
      <c r="AN12">
        <v>0.41666666666666663</v>
      </c>
      <c r="AO12">
        <v>0.58823529411764697</v>
      </c>
      <c r="AP12">
        <v>0</v>
      </c>
      <c r="AQ12">
        <v>0</v>
      </c>
      <c r="AR12">
        <v>0</v>
      </c>
    </row>
    <row r="13" spans="2:44">
      <c r="B13" t="s">
        <v>145</v>
      </c>
      <c r="C13">
        <v>850</v>
      </c>
      <c r="D13">
        <v>2000</v>
      </c>
      <c r="E13">
        <v>6</v>
      </c>
      <c r="G13">
        <v>64.790066294854242</v>
      </c>
      <c r="H13">
        <v>0.44512259286541084</v>
      </c>
      <c r="I13">
        <v>16.172787540776593</v>
      </c>
      <c r="J13">
        <v>4.4512259286541083</v>
      </c>
      <c r="K13">
        <v>2.0871303798800369</v>
      </c>
      <c r="L13">
        <v>6</v>
      </c>
      <c r="M13">
        <v>4.4017678627801731</v>
      </c>
      <c r="N13">
        <v>1.6518994001894132</v>
      </c>
      <c r="O13">
        <v>5</v>
      </c>
      <c r="P13">
        <v>5.4610306830382466E-4</v>
      </c>
      <c r="R13">
        <v>-7.5127028302469192</v>
      </c>
      <c r="S13">
        <v>-6.7549805145168467</v>
      </c>
      <c r="T13">
        <v>0.21507736142769482</v>
      </c>
      <c r="W13">
        <v>0.40048</v>
      </c>
      <c r="X13">
        <v>6</v>
      </c>
      <c r="Y13">
        <v>6.8397946762845413E-2</v>
      </c>
      <c r="Z13">
        <v>1.7033589326072136E-2</v>
      </c>
      <c r="AA13">
        <v>2.133411444699429</v>
      </c>
      <c r="AB13">
        <v>0.8543886153732273</v>
      </c>
      <c r="AC13">
        <v>1.4933880112896001</v>
      </c>
      <c r="AD13">
        <v>0.53335286117485725</v>
      </c>
      <c r="AE13">
        <v>1.0667057223497145</v>
      </c>
      <c r="AF13">
        <v>2.133411444699429</v>
      </c>
      <c r="AG13">
        <v>0.35714285714285715</v>
      </c>
      <c r="AH13">
        <v>0.7142857142857143</v>
      </c>
      <c r="AI13">
        <v>1.4285714285714286</v>
      </c>
      <c r="AJ13">
        <v>0.73684210526315796</v>
      </c>
      <c r="AK13">
        <v>0.58333333333333337</v>
      </c>
      <c r="AL13">
        <v>0.41176470588235303</v>
      </c>
      <c r="AM13">
        <v>0.26315789473684209</v>
      </c>
      <c r="AN13">
        <v>0.41666666666666663</v>
      </c>
      <c r="AO13">
        <v>0.58823529411764697</v>
      </c>
      <c r="AP13">
        <v>0</v>
      </c>
      <c r="AQ13">
        <v>0</v>
      </c>
      <c r="AR13">
        <v>0</v>
      </c>
    </row>
    <row r="14" spans="2:44">
      <c r="B14" t="s">
        <v>145</v>
      </c>
      <c r="C14">
        <v>850</v>
      </c>
      <c r="D14">
        <v>2000</v>
      </c>
      <c r="E14">
        <v>6.5</v>
      </c>
      <c r="G14">
        <v>64.445438282647558</v>
      </c>
      <c r="H14">
        <v>0.44275491949910545</v>
      </c>
      <c r="I14">
        <v>16.086762075134164</v>
      </c>
      <c r="J14">
        <v>4.4275491949910544</v>
      </c>
      <c r="K14">
        <v>2.0760286225402496</v>
      </c>
      <c r="L14">
        <v>6.5</v>
      </c>
      <c r="M14">
        <v>4.378354203935598</v>
      </c>
      <c r="N14">
        <v>1.6431127012522355</v>
      </c>
      <c r="O14">
        <v>5</v>
      </c>
      <c r="P14">
        <v>5.9068159649210605E-4</v>
      </c>
      <c r="R14">
        <v>-7.4342334395586258</v>
      </c>
      <c r="S14">
        <v>-6.3591772944465266</v>
      </c>
      <c r="T14">
        <v>0.22868931685501395</v>
      </c>
      <c r="W14">
        <v>0.40048</v>
      </c>
      <c r="X14">
        <v>6.5</v>
      </c>
      <c r="Y14">
        <v>7.4039508936253287E-2</v>
      </c>
      <c r="Z14">
        <v>2.3376573963528244E-2</v>
      </c>
      <c r="AA14">
        <v>2.9301574099317076</v>
      </c>
      <c r="AB14">
        <v>1.1734694395294503</v>
      </c>
      <c r="AC14">
        <v>2.051110186952195</v>
      </c>
      <c r="AD14">
        <v>0.7325393524829269</v>
      </c>
      <c r="AE14">
        <v>1.4650787049658538</v>
      </c>
      <c r="AF14">
        <v>2.9301574099317076</v>
      </c>
      <c r="AG14">
        <v>0.35714285714285715</v>
      </c>
      <c r="AH14">
        <v>0.7142857142857143</v>
      </c>
      <c r="AI14">
        <v>1.4285714285714286</v>
      </c>
      <c r="AJ14">
        <v>0.73684210526315796</v>
      </c>
      <c r="AK14">
        <v>0.58333333333333337</v>
      </c>
      <c r="AL14">
        <v>0.41176470588235303</v>
      </c>
      <c r="AM14">
        <v>0.26315789473684209</v>
      </c>
      <c r="AN14">
        <v>0.41666666666666663</v>
      </c>
      <c r="AO14">
        <v>0.58823529411764697</v>
      </c>
      <c r="AP14">
        <v>0</v>
      </c>
      <c r="AQ14">
        <v>0</v>
      </c>
      <c r="AR14">
        <v>0</v>
      </c>
    </row>
    <row r="15" spans="2:44">
      <c r="B15" t="s">
        <v>145</v>
      </c>
      <c r="C15">
        <v>850</v>
      </c>
      <c r="D15">
        <v>2000</v>
      </c>
      <c r="E15">
        <v>7</v>
      </c>
      <c r="G15">
        <v>64.100810270440888</v>
      </c>
      <c r="H15">
        <v>0.44038724613280006</v>
      </c>
      <c r="I15">
        <v>16.000736609491735</v>
      </c>
      <c r="J15">
        <v>4.4038724613280005</v>
      </c>
      <c r="K15">
        <v>2.0649268652004622</v>
      </c>
      <c r="L15">
        <v>7</v>
      </c>
      <c r="M15">
        <v>4.354940545091023</v>
      </c>
      <c r="N15">
        <v>1.6343260023150579</v>
      </c>
      <c r="O15">
        <v>5</v>
      </c>
      <c r="P15">
        <v>6.3511939844488328E-4</v>
      </c>
      <c r="R15">
        <v>-7.3616975476997677</v>
      </c>
      <c r="S15">
        <v>-5.9591181257733457</v>
      </c>
      <c r="T15">
        <v>0.24244763739445285</v>
      </c>
      <c r="W15">
        <v>0.40048</v>
      </c>
      <c r="X15">
        <v>7</v>
      </c>
      <c r="Y15">
        <v>7.96722056057136E-2</v>
      </c>
      <c r="Z15">
        <v>3.2410149986028244E-2</v>
      </c>
      <c r="AA15">
        <v>4.0656735406310291</v>
      </c>
      <c r="AB15">
        <v>1.6282209395519145</v>
      </c>
      <c r="AC15">
        <v>2.84597147844172</v>
      </c>
      <c r="AD15">
        <v>1.0164183851577573</v>
      </c>
      <c r="AE15">
        <v>2.0328367703155146</v>
      </c>
      <c r="AF15">
        <v>4.0656735406310291</v>
      </c>
      <c r="AG15">
        <v>0.35714285714285715</v>
      </c>
      <c r="AH15">
        <v>0.7142857142857143</v>
      </c>
      <c r="AI15">
        <v>1.4285714285714286</v>
      </c>
      <c r="AJ15">
        <v>0.73684210526315796</v>
      </c>
      <c r="AK15">
        <v>0.58333333333333337</v>
      </c>
      <c r="AL15">
        <v>0.41176470588235303</v>
      </c>
      <c r="AM15">
        <v>0.26315789473684209</v>
      </c>
      <c r="AN15">
        <v>0.41666666666666663</v>
      </c>
      <c r="AO15">
        <v>0.58823529411764697</v>
      </c>
      <c r="AP15">
        <v>0</v>
      </c>
      <c r="AQ15">
        <v>0</v>
      </c>
      <c r="AR15">
        <v>0</v>
      </c>
    </row>
    <row r="16" spans="2:44">
      <c r="B16" t="s">
        <v>145</v>
      </c>
      <c r="C16">
        <v>850</v>
      </c>
      <c r="D16">
        <v>2000</v>
      </c>
      <c r="E16">
        <v>7.5</v>
      </c>
      <c r="G16">
        <v>63.756182258234219</v>
      </c>
      <c r="H16">
        <v>0.43801957276649467</v>
      </c>
      <c r="I16">
        <v>15.914711143849308</v>
      </c>
      <c r="J16">
        <v>4.3801957276649466</v>
      </c>
      <c r="K16">
        <v>2.0538251078606748</v>
      </c>
      <c r="L16">
        <v>7.5</v>
      </c>
      <c r="M16">
        <v>4.3315268862464471</v>
      </c>
      <c r="N16">
        <v>1.62553930337788</v>
      </c>
      <c r="O16">
        <v>5</v>
      </c>
      <c r="P16">
        <v>6.7941697194862549E-4</v>
      </c>
      <c r="R16">
        <v>-7.2942755217599533</v>
      </c>
      <c r="S16">
        <v>-5.5547339931144339</v>
      </c>
      <c r="T16">
        <v>0.25635469653432075</v>
      </c>
      <c r="W16">
        <v>0.40048</v>
      </c>
      <c r="X16">
        <v>7.5</v>
      </c>
      <c r="Y16">
        <v>8.5296057652530954E-2</v>
      </c>
      <c r="Z16">
        <v>4.5360801492827563E-2</v>
      </c>
      <c r="AA16">
        <v>5.6947319526039095</v>
      </c>
      <c r="AB16">
        <v>2.2806262523788137</v>
      </c>
      <c r="AC16">
        <v>3.9863123668227365</v>
      </c>
      <c r="AD16">
        <v>1.4236829881509774</v>
      </c>
      <c r="AE16">
        <v>2.8473659763019548</v>
      </c>
      <c r="AF16">
        <v>5.6947319526039095</v>
      </c>
      <c r="AG16">
        <v>0.35714285714285715</v>
      </c>
      <c r="AH16">
        <v>0.7142857142857143</v>
      </c>
      <c r="AI16">
        <v>1.4285714285714286</v>
      </c>
      <c r="AJ16">
        <v>0.73684210526315796</v>
      </c>
      <c r="AK16">
        <v>0.58333333333333337</v>
      </c>
      <c r="AL16">
        <v>0.41176470588235303</v>
      </c>
      <c r="AM16">
        <v>0.26315789473684209</v>
      </c>
      <c r="AN16">
        <v>0.41666666666666663</v>
      </c>
      <c r="AO16">
        <v>0.58823529411764697</v>
      </c>
      <c r="AP16">
        <v>0</v>
      </c>
      <c r="AQ16">
        <v>0</v>
      </c>
      <c r="AR16">
        <v>0</v>
      </c>
    </row>
    <row r="17" spans="2:44">
      <c r="B17" t="s">
        <v>145</v>
      </c>
      <c r="C17">
        <v>850</v>
      </c>
      <c r="D17">
        <v>2000</v>
      </c>
      <c r="E17">
        <v>8</v>
      </c>
      <c r="G17">
        <v>63.411554246027549</v>
      </c>
      <c r="H17">
        <v>0.43565189940018928</v>
      </c>
      <c r="I17">
        <v>15.828685678206877</v>
      </c>
      <c r="J17">
        <v>4.3565189940018927</v>
      </c>
      <c r="K17">
        <v>2.042723350520887</v>
      </c>
      <c r="L17">
        <v>8</v>
      </c>
      <c r="M17">
        <v>4.3081132274018721</v>
      </c>
      <c r="N17">
        <v>1.6167526044407023</v>
      </c>
      <c r="O17">
        <v>5</v>
      </c>
      <c r="P17">
        <v>7.2357481270622756E-4</v>
      </c>
      <c r="R17">
        <v>-7.2313066133598642</v>
      </c>
      <c r="S17">
        <v>-5.145954380752757</v>
      </c>
      <c r="T17">
        <v>0.27041291936048989</v>
      </c>
      <c r="W17">
        <v>0.40048</v>
      </c>
      <c r="X17">
        <v>8</v>
      </c>
      <c r="Y17">
        <v>9.0911085892484783E-2</v>
      </c>
      <c r="Z17">
        <v>6.405065319217744E-2</v>
      </c>
      <c r="AA17">
        <v>8.0474255482244228</v>
      </c>
      <c r="AB17">
        <v>3.2228329835529168</v>
      </c>
      <c r="AC17">
        <v>5.633197883757096</v>
      </c>
      <c r="AD17">
        <v>2.0118563870561057</v>
      </c>
      <c r="AE17">
        <v>4.0237127741122114</v>
      </c>
      <c r="AF17">
        <v>8.0474255482244228</v>
      </c>
      <c r="AG17">
        <v>0.35714285714285715</v>
      </c>
      <c r="AH17">
        <v>0.7142857142857143</v>
      </c>
      <c r="AI17">
        <v>1.4285714285714286</v>
      </c>
      <c r="AJ17">
        <v>0.73684210526315796</v>
      </c>
      <c r="AK17">
        <v>0.58333333333333337</v>
      </c>
      <c r="AL17">
        <v>0.41176470588235303</v>
      </c>
      <c r="AM17">
        <v>0.26315789473684209</v>
      </c>
      <c r="AN17">
        <v>0.41666666666666663</v>
      </c>
      <c r="AO17">
        <v>0.58823529411764697</v>
      </c>
      <c r="AP17">
        <v>0</v>
      </c>
      <c r="AQ17">
        <v>0</v>
      </c>
      <c r="AR17">
        <v>0</v>
      </c>
    </row>
    <row r="18" spans="2:44">
      <c r="B18" t="s">
        <v>145</v>
      </c>
      <c r="C18">
        <v>850</v>
      </c>
      <c r="D18">
        <v>2000</v>
      </c>
      <c r="E18">
        <v>8.5</v>
      </c>
      <c r="G18">
        <v>63.06692623382088</v>
      </c>
      <c r="H18">
        <v>0.43328422603388395</v>
      </c>
      <c r="I18">
        <v>15.742660212564449</v>
      </c>
      <c r="J18">
        <v>4.3328422603388388</v>
      </c>
      <c r="K18">
        <v>2.0316215931811001</v>
      </c>
      <c r="L18">
        <v>8.5</v>
      </c>
      <c r="M18">
        <v>4.2846995685572962</v>
      </c>
      <c r="N18">
        <v>1.6079659055035247</v>
      </c>
      <c r="O18">
        <v>5</v>
      </c>
      <c r="P18">
        <v>7.6759341434721291E-4</v>
      </c>
      <c r="R18">
        <v>-7.1722503734047756</v>
      </c>
      <c r="S18">
        <v>-4.7327072316439516</v>
      </c>
      <c r="T18">
        <v>0.28462478396618046</v>
      </c>
      <c r="W18">
        <v>0.40048</v>
      </c>
      <c r="X18">
        <v>8.5</v>
      </c>
      <c r="Y18">
        <v>9.6517311076085688E-2</v>
      </c>
      <c r="Z18">
        <v>9.1202375571507996E-2</v>
      </c>
      <c r="AA18">
        <v>11.467800386744157</v>
      </c>
      <c r="AB18">
        <v>4.5926246988833004</v>
      </c>
      <c r="AC18">
        <v>8.0274602707209102</v>
      </c>
      <c r="AD18">
        <v>2.8669500966860393</v>
      </c>
      <c r="AE18">
        <v>5.7339001933720786</v>
      </c>
      <c r="AF18">
        <v>11.467800386744157</v>
      </c>
      <c r="AG18">
        <v>0.35714285714285715</v>
      </c>
      <c r="AH18">
        <v>0.7142857142857143</v>
      </c>
      <c r="AI18">
        <v>1.4285714285714286</v>
      </c>
      <c r="AJ18">
        <v>0.73684210526315796</v>
      </c>
      <c r="AK18">
        <v>0.58333333333333337</v>
      </c>
      <c r="AL18">
        <v>0.41176470588235303</v>
      </c>
      <c r="AM18">
        <v>0.26315789473684209</v>
      </c>
      <c r="AN18">
        <v>0.41666666666666663</v>
      </c>
      <c r="AO18">
        <v>0.58823529411764697</v>
      </c>
      <c r="AP18">
        <v>0</v>
      </c>
      <c r="AQ18">
        <v>0</v>
      </c>
      <c r="AR18">
        <v>0</v>
      </c>
    </row>
    <row r="19" spans="2:44">
      <c r="B19" t="s">
        <v>145</v>
      </c>
      <c r="C19">
        <v>850</v>
      </c>
      <c r="D19">
        <v>2000</v>
      </c>
      <c r="E19">
        <v>9</v>
      </c>
      <c r="G19">
        <v>62.72229822161421</v>
      </c>
      <c r="H19">
        <v>0.43091655266757856</v>
      </c>
      <c r="I19">
        <v>15.656634746922022</v>
      </c>
      <c r="J19">
        <v>4.3091655266757849</v>
      </c>
      <c r="K19">
        <v>2.0205198358413123</v>
      </c>
      <c r="L19">
        <v>9</v>
      </c>
      <c r="M19">
        <v>4.2612859097127211</v>
      </c>
      <c r="N19">
        <v>1.599179206566347</v>
      </c>
      <c r="O19">
        <v>5</v>
      </c>
      <c r="P19">
        <v>8.1147326843788894E-4</v>
      </c>
      <c r="R19">
        <v>-7.1166591124790086</v>
      </c>
      <c r="S19">
        <v>-4.3149189050723908</v>
      </c>
      <c r="T19">
        <v>0.29899282290819751</v>
      </c>
      <c r="W19">
        <v>0.40048</v>
      </c>
      <c r="X19">
        <v>9</v>
      </c>
      <c r="Y19">
        <v>0.10211475388883146</v>
      </c>
      <c r="Z19">
        <v>0.1309079538496139</v>
      </c>
      <c r="AA19">
        <v>16.473288781498542</v>
      </c>
      <c r="AB19">
        <v>6.5972226912145366</v>
      </c>
      <c r="AC19">
        <v>11.531302147048979</v>
      </c>
      <c r="AD19">
        <v>4.1183221953746356</v>
      </c>
      <c r="AE19">
        <v>8.2366443907492712</v>
      </c>
      <c r="AF19">
        <v>16.473288781498542</v>
      </c>
      <c r="AG19">
        <v>0.35714285714285715</v>
      </c>
      <c r="AH19">
        <v>0.7142857142857143</v>
      </c>
      <c r="AI19">
        <v>1.4285714285714286</v>
      </c>
      <c r="AJ19">
        <v>0.73684210526315796</v>
      </c>
      <c r="AK19">
        <v>0.58333333333333337</v>
      </c>
      <c r="AL19">
        <v>0.41176470588235303</v>
      </c>
      <c r="AM19">
        <v>0.26315789473684209</v>
      </c>
      <c r="AN19">
        <v>0.41666666666666663</v>
      </c>
      <c r="AO19">
        <v>0.58823529411764697</v>
      </c>
      <c r="AP19">
        <v>0</v>
      </c>
      <c r="AQ19">
        <v>0</v>
      </c>
      <c r="AR19">
        <v>0</v>
      </c>
    </row>
    <row r="20" spans="2:44">
      <c r="B20" t="s">
        <v>145</v>
      </c>
      <c r="C20">
        <v>850</v>
      </c>
      <c r="D20">
        <v>2000</v>
      </c>
      <c r="E20">
        <v>9.5</v>
      </c>
      <c r="G20">
        <v>62.377670209407533</v>
      </c>
      <c r="H20">
        <v>0.42854887930127317</v>
      </c>
      <c r="I20">
        <v>15.570609281279593</v>
      </c>
      <c r="J20">
        <v>4.2854887930127319</v>
      </c>
      <c r="K20">
        <v>2.009418078501525</v>
      </c>
      <c r="L20">
        <v>9.5</v>
      </c>
      <c r="M20">
        <v>4.2378722508681461</v>
      </c>
      <c r="N20">
        <v>1.5903925076291692</v>
      </c>
      <c r="O20">
        <v>5</v>
      </c>
      <c r="P20">
        <v>8.5521486449144021E-4</v>
      </c>
      <c r="R20">
        <v>-7.0641578171001882</v>
      </c>
      <c r="S20">
        <v>-3.8925141329034023</v>
      </c>
      <c r="T20">
        <v>0.31351962471145139</v>
      </c>
      <c r="W20">
        <v>0.40048</v>
      </c>
      <c r="X20">
        <v>9.5</v>
      </c>
      <c r="Y20">
        <v>0.10770343495146124</v>
      </c>
      <c r="Z20">
        <v>0.18935336920261212</v>
      </c>
      <c r="AA20">
        <v>23.846648520171602</v>
      </c>
      <c r="AB20">
        <v>9.5501057993583238</v>
      </c>
      <c r="AC20">
        <v>16.692653964120122</v>
      </c>
      <c r="AD20">
        <v>5.9616621300429005</v>
      </c>
      <c r="AE20">
        <v>11.923324260085801</v>
      </c>
      <c r="AF20">
        <v>23.846648520171602</v>
      </c>
      <c r="AG20">
        <v>0.35714285714285715</v>
      </c>
      <c r="AH20">
        <v>0.7142857142857143</v>
      </c>
      <c r="AI20">
        <v>1.4285714285714286</v>
      </c>
      <c r="AJ20">
        <v>0.73684210526315796</v>
      </c>
      <c r="AK20">
        <v>0.58333333333333337</v>
      </c>
      <c r="AL20">
        <v>0.41176470588235303</v>
      </c>
      <c r="AM20">
        <v>0.26315789473684209</v>
      </c>
      <c r="AN20">
        <v>0.41666666666666663</v>
      </c>
      <c r="AO20">
        <v>0.58823529411764697</v>
      </c>
      <c r="AP20">
        <v>0</v>
      </c>
      <c r="AQ20">
        <v>0</v>
      </c>
      <c r="AR20">
        <v>0</v>
      </c>
    </row>
    <row r="21" spans="2:44">
      <c r="B21" t="s">
        <v>145</v>
      </c>
      <c r="C21">
        <v>850</v>
      </c>
      <c r="D21">
        <v>2000</v>
      </c>
      <c r="E21">
        <v>10</v>
      </c>
      <c r="G21">
        <v>62.033042197200864</v>
      </c>
      <c r="H21">
        <v>0.42618120593496778</v>
      </c>
      <c r="I21">
        <v>15.484583815637166</v>
      </c>
      <c r="J21">
        <v>4.261812059349678</v>
      </c>
      <c r="K21">
        <v>1.9983163211617376</v>
      </c>
      <c r="L21">
        <v>10</v>
      </c>
      <c r="M21">
        <v>4.2144585920235702</v>
      </c>
      <c r="N21">
        <v>1.5816058086919913</v>
      </c>
      <c r="O21">
        <v>5</v>
      </c>
      <c r="P21">
        <v>8.988186899779641E-4</v>
      </c>
      <c r="R21">
        <v>-7.0144292235012937</v>
      </c>
      <c r="S21">
        <v>-3.4654159743769259</v>
      </c>
      <c r="T21">
        <v>0.32820783542363163</v>
      </c>
      <c r="W21">
        <v>0.40048</v>
      </c>
      <c r="X21">
        <v>10</v>
      </c>
      <c r="Y21">
        <v>0.11328337482020885</v>
      </c>
      <c r="Z21">
        <v>0.27594516328878699</v>
      </c>
      <c r="AA21">
        <v>34.778982358982525</v>
      </c>
      <c r="AB21">
        <v>13.928286855125322</v>
      </c>
      <c r="AC21">
        <v>24.345287651287766</v>
      </c>
      <c r="AD21">
        <v>8.6947455897456312</v>
      </c>
      <c r="AE21">
        <v>17.389491179491262</v>
      </c>
      <c r="AF21">
        <v>34.778982358982525</v>
      </c>
      <c r="AG21">
        <v>0.35714285714285715</v>
      </c>
      <c r="AH21">
        <v>0.7142857142857143</v>
      </c>
      <c r="AI21">
        <v>1.4285714285714286</v>
      </c>
      <c r="AJ21">
        <v>0.73684210526315796</v>
      </c>
      <c r="AK21">
        <v>0.58333333333333337</v>
      </c>
      <c r="AL21">
        <v>0.41176470588235303</v>
      </c>
      <c r="AM21">
        <v>0.26315789473684209</v>
      </c>
      <c r="AN21">
        <v>0.41666666666666663</v>
      </c>
      <c r="AO21">
        <v>0.58823529411764697</v>
      </c>
      <c r="AP21">
        <v>0</v>
      </c>
      <c r="AQ21">
        <v>0</v>
      </c>
      <c r="AR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DA31-FBE8-423F-BA5E-65541D92D8D7}">
  <dimension ref="A1:AT21"/>
  <sheetViews>
    <sheetView workbookViewId="0">
      <selection sqref="A1:AU1048576"/>
    </sheetView>
  </sheetViews>
  <sheetFormatPr defaultRowHeight="15.5"/>
  <sheetData>
    <row r="1" spans="1:46">
      <c r="A1" t="s">
        <v>20</v>
      </c>
      <c r="B1" t="s">
        <v>11</v>
      </c>
      <c r="C1" t="s">
        <v>21</v>
      </c>
      <c r="D1" t="s">
        <v>22</v>
      </c>
      <c r="F1" t="s">
        <v>12</v>
      </c>
      <c r="G1" t="s">
        <v>13</v>
      </c>
      <c r="H1" t="s">
        <v>14</v>
      </c>
      <c r="I1" t="s">
        <v>26</v>
      </c>
      <c r="J1" t="s">
        <v>16</v>
      </c>
      <c r="K1" t="s">
        <v>17</v>
      </c>
      <c r="L1" t="s">
        <v>18</v>
      </c>
      <c r="M1" t="s">
        <v>19</v>
      </c>
      <c r="N1" t="s">
        <v>11</v>
      </c>
      <c r="O1" t="s">
        <v>27</v>
      </c>
      <c r="Q1" t="s">
        <v>12</v>
      </c>
      <c r="R1" t="s">
        <v>13</v>
      </c>
      <c r="S1" t="s">
        <v>14</v>
      </c>
      <c r="T1" t="s">
        <v>26</v>
      </c>
      <c r="U1" t="s">
        <v>16</v>
      </c>
      <c r="V1" t="s">
        <v>17</v>
      </c>
      <c r="W1" t="s">
        <v>18</v>
      </c>
      <c r="X1" t="s">
        <v>19</v>
      </c>
      <c r="Y1" t="s">
        <v>11</v>
      </c>
      <c r="Z1" t="s">
        <v>27</v>
      </c>
      <c r="AB1" t="s">
        <v>12</v>
      </c>
      <c r="AC1" t="s">
        <v>13</v>
      </c>
      <c r="AD1" t="s">
        <v>28</v>
      </c>
      <c r="AE1" t="s">
        <v>26</v>
      </c>
      <c r="AF1" t="s">
        <v>16</v>
      </c>
      <c r="AG1" t="s">
        <v>17</v>
      </c>
      <c r="AH1" t="s">
        <v>29</v>
      </c>
      <c r="AI1" t="s">
        <v>30</v>
      </c>
      <c r="AJ1" t="s">
        <v>27</v>
      </c>
      <c r="AL1" t="s">
        <v>12</v>
      </c>
      <c r="AM1" t="s">
        <v>13</v>
      </c>
      <c r="AN1" t="s">
        <v>28</v>
      </c>
      <c r="AO1" t="s">
        <v>26</v>
      </c>
      <c r="AP1" t="s">
        <v>16</v>
      </c>
      <c r="AQ1" t="s">
        <v>17</v>
      </c>
      <c r="AR1" t="s">
        <v>29</v>
      </c>
      <c r="AS1" t="s">
        <v>30</v>
      </c>
      <c r="AT1" t="s">
        <v>27</v>
      </c>
    </row>
    <row r="2" spans="1:46">
      <c r="A2">
        <v>99.999999999999972</v>
      </c>
      <c r="B2">
        <v>1</v>
      </c>
      <c r="C2">
        <v>5</v>
      </c>
      <c r="D2">
        <v>4004.9</v>
      </c>
      <c r="F2">
        <v>1.1414182549285603</v>
      </c>
      <c r="G2">
        <v>5.8984351514117413E-3</v>
      </c>
      <c r="H2">
        <v>0.16789983976896145</v>
      </c>
      <c r="I2">
        <v>6.5580129707258572E-2</v>
      </c>
      <c r="J2">
        <v>5.4820092074880866E-2</v>
      </c>
      <c r="K2">
        <v>8.91624790022362E-3</v>
      </c>
      <c r="L2">
        <v>7.5174541950153329E-2</v>
      </c>
      <c r="M2">
        <v>1.8562134697434906E-2</v>
      </c>
      <c r="N2">
        <v>1.248969600079934E-2</v>
      </c>
      <c r="O2">
        <v>1.5507593721796842</v>
      </c>
      <c r="Q2">
        <v>0.73603827608936478</v>
      </c>
      <c r="R2">
        <v>3.8035785933191821E-3</v>
      </c>
      <c r="S2">
        <v>0.10826943417596005</v>
      </c>
      <c r="T2">
        <v>4.2289042957761924E-2</v>
      </c>
      <c r="U2">
        <v>3.5350482517366943E-2</v>
      </c>
      <c r="V2">
        <v>5.749601169710363E-3</v>
      </c>
      <c r="W2">
        <v>4.847595526344687E-2</v>
      </c>
      <c r="X2">
        <v>1.1969706603381494E-2</v>
      </c>
      <c r="Y2">
        <v>8.0539226296884037E-3</v>
      </c>
      <c r="Z2">
        <v>0.99999999999999989</v>
      </c>
      <c r="AB2">
        <v>1.1414182549285603</v>
      </c>
      <c r="AC2">
        <v>5.8984351514117413E-3</v>
      </c>
      <c r="AD2">
        <v>0.33579967953792289</v>
      </c>
      <c r="AE2">
        <v>6.5580129707258572E-2</v>
      </c>
      <c r="AF2">
        <v>5.4820092074880866E-2</v>
      </c>
      <c r="AG2">
        <v>8.91624790022362E-3</v>
      </c>
      <c r="AH2">
        <v>0.15034908390030666</v>
      </c>
      <c r="AI2">
        <v>3.7124269394869812E-2</v>
      </c>
      <c r="AJ2">
        <v>1.7999061925954343</v>
      </c>
      <c r="AL2">
        <v>0.63415430183206078</v>
      </c>
      <c r="AM2">
        <v>3.2770792031701929E-3</v>
      </c>
      <c r="AN2">
        <v>0.18656510040320792</v>
      </c>
      <c r="AO2">
        <v>3.6435304226990373E-2</v>
      </c>
      <c r="AP2">
        <v>3.0457193991777549E-2</v>
      </c>
      <c r="AQ2">
        <v>4.9537292203915033E-3</v>
      </c>
      <c r="AR2">
        <v>8.3531622102764047E-2</v>
      </c>
      <c r="AS2">
        <v>2.0625669019637763E-2</v>
      </c>
      <c r="AT2">
        <v>1.0000000000000002</v>
      </c>
    </row>
    <row r="3" spans="1:46">
      <c r="A3">
        <v>99.999999999999986</v>
      </c>
      <c r="B3">
        <v>1</v>
      </c>
      <c r="C3">
        <v>5</v>
      </c>
      <c r="D3">
        <v>4004.9</v>
      </c>
      <c r="F3">
        <v>1.1356824848032911</v>
      </c>
      <c r="G3">
        <v>5.8687947737664581E-3</v>
      </c>
      <c r="H3">
        <v>0.1670561219811777</v>
      </c>
      <c r="I3">
        <v>6.5250581316769835E-2</v>
      </c>
      <c r="J3">
        <v>5.4544614225258352E-2</v>
      </c>
      <c r="K3">
        <v>1.783249580044724E-2</v>
      </c>
      <c r="L3">
        <v>7.4796780432815874E-2</v>
      </c>
      <c r="M3">
        <v>1.8468857638653826E-2</v>
      </c>
      <c r="N3">
        <v>1.248969600079934E-2</v>
      </c>
      <c r="O3">
        <v>1.5519904269729798</v>
      </c>
      <c r="Q3">
        <v>0.73175869197746246</v>
      </c>
      <c r="R3">
        <v>3.7814632563249913E-3</v>
      </c>
      <c r="S3">
        <v>0.10763991779704846</v>
      </c>
      <c r="T3">
        <v>4.2043159663062692E-2</v>
      </c>
      <c r="U3">
        <v>3.5144942441199721E-2</v>
      </c>
      <c r="V3">
        <v>1.149008105367502E-2</v>
      </c>
      <c r="W3">
        <v>4.8194099095508203E-2</v>
      </c>
      <c r="X3">
        <v>1.1900110540421116E-2</v>
      </c>
      <c r="Y3">
        <v>8.0475341752973238E-3</v>
      </c>
      <c r="Z3">
        <v>0.99999999999999989</v>
      </c>
      <c r="AB3">
        <v>1.1356824848032911</v>
      </c>
      <c r="AC3">
        <v>5.8687947737664581E-3</v>
      </c>
      <c r="AD3">
        <v>0.33411224396235539</v>
      </c>
      <c r="AE3">
        <v>6.5250581316769835E-2</v>
      </c>
      <c r="AF3">
        <v>5.4544614225258352E-2</v>
      </c>
      <c r="AG3">
        <v>1.783249580044724E-2</v>
      </c>
      <c r="AH3">
        <v>0.14959356086563175</v>
      </c>
      <c r="AI3">
        <v>3.6937715277307652E-2</v>
      </c>
      <c r="AJ3">
        <v>1.7998224910248279</v>
      </c>
      <c r="AL3">
        <v>0.63099694023527164</v>
      </c>
      <c r="AM3">
        <v>3.2607631047130302E-3</v>
      </c>
      <c r="AN3">
        <v>0.18563622003196004</v>
      </c>
      <c r="AO3">
        <v>3.625389817171127E-2</v>
      </c>
      <c r="AP3">
        <v>3.0305552073749437E-2</v>
      </c>
      <c r="AQ3">
        <v>9.907919191682801E-3</v>
      </c>
      <c r="AR3">
        <v>8.3115730363194001E-2</v>
      </c>
      <c r="AS3">
        <v>2.0522976827717677E-2</v>
      </c>
      <c r="AT3">
        <v>0.99999999999999978</v>
      </c>
    </row>
    <row r="4" spans="1:46">
      <c r="A4">
        <v>99.999999999999972</v>
      </c>
      <c r="B4">
        <v>1</v>
      </c>
      <c r="C4">
        <v>5</v>
      </c>
      <c r="D4">
        <v>4004.9</v>
      </c>
      <c r="F4">
        <v>1.129946714678022</v>
      </c>
      <c r="G4">
        <v>5.8391543961211715E-3</v>
      </c>
      <c r="H4">
        <v>0.166212404193394</v>
      </c>
      <c r="I4">
        <v>6.4921032926281097E-2</v>
      </c>
      <c r="J4">
        <v>5.4269136375635837E-2</v>
      </c>
      <c r="K4">
        <v>2.674874370067086E-2</v>
      </c>
      <c r="L4">
        <v>7.4419018915478433E-2</v>
      </c>
      <c r="M4">
        <v>1.837558057987275E-2</v>
      </c>
      <c r="N4">
        <v>1.248969600079934E-2</v>
      </c>
      <c r="O4">
        <v>1.5532214817662755</v>
      </c>
      <c r="Q4">
        <v>0.72748589170494959</v>
      </c>
      <c r="R4">
        <v>3.7593829757499009E-3</v>
      </c>
      <c r="S4">
        <v>0.10701139930435574</v>
      </c>
      <c r="T4">
        <v>4.1797666133521989E-2</v>
      </c>
      <c r="U4">
        <v>3.4939728179604272E-2</v>
      </c>
      <c r="V4">
        <v>1.7221461339984184E-2</v>
      </c>
      <c r="W4">
        <v>4.7912689715604126E-2</v>
      </c>
      <c r="X4">
        <v>1.1830624798580951E-2</v>
      </c>
      <c r="Y4">
        <v>8.0411558476492628E-3</v>
      </c>
      <c r="Z4">
        <v>1</v>
      </c>
      <c r="AB4">
        <v>1.129946714678022</v>
      </c>
      <c r="AC4">
        <v>5.8391543961211715E-3</v>
      </c>
      <c r="AD4">
        <v>0.33242480838678801</v>
      </c>
      <c r="AE4">
        <v>6.4921032926281097E-2</v>
      </c>
      <c r="AF4">
        <v>5.4269136375635837E-2</v>
      </c>
      <c r="AG4">
        <v>2.674874370067086E-2</v>
      </c>
      <c r="AH4">
        <v>0.14883803783095687</v>
      </c>
      <c r="AI4">
        <v>3.6751161159745499E-2</v>
      </c>
      <c r="AJ4">
        <v>1.7997387894542212</v>
      </c>
      <c r="AL4">
        <v>0.62783928495572594</v>
      </c>
      <c r="AM4">
        <v>3.2444454886100004E-3</v>
      </c>
      <c r="AN4">
        <v>0.18470725326067863</v>
      </c>
      <c r="AO4">
        <v>3.6072475242903829E-2</v>
      </c>
      <c r="AP4">
        <v>3.0153896050711445E-2</v>
      </c>
      <c r="AQ4">
        <v>1.4862569978159185E-2</v>
      </c>
      <c r="AR4">
        <v>8.2699799939352683E-2</v>
      </c>
      <c r="AS4">
        <v>2.0420275083858394E-2</v>
      </c>
      <c r="AT4">
        <v>1</v>
      </c>
    </row>
    <row r="5" spans="1:46">
      <c r="A5">
        <v>99.999999999999986</v>
      </c>
      <c r="B5">
        <v>1</v>
      </c>
      <c r="C5">
        <v>5</v>
      </c>
      <c r="D5">
        <v>4004.9</v>
      </c>
      <c r="F5">
        <v>1.1242109445527531</v>
      </c>
      <c r="G5">
        <v>5.8095140184758866E-3</v>
      </c>
      <c r="H5">
        <v>0.16536868640561028</v>
      </c>
      <c r="I5">
        <v>6.4591484535792359E-2</v>
      </c>
      <c r="J5">
        <v>5.3993658526013323E-2</v>
      </c>
      <c r="K5">
        <v>3.566499160089448E-2</v>
      </c>
      <c r="L5">
        <v>7.4041257398140964E-2</v>
      </c>
      <c r="M5">
        <v>1.828230352109167E-2</v>
      </c>
      <c r="N5">
        <v>1.248969600079934E-2</v>
      </c>
      <c r="O5">
        <v>1.5544525365595716</v>
      </c>
      <c r="Q5">
        <v>0.72321985915436127</v>
      </c>
      <c r="R5">
        <v>3.737337668304707E-3</v>
      </c>
      <c r="S5">
        <v>0.10638387632704205</v>
      </c>
      <c r="T5">
        <v>4.1552561443111653E-2</v>
      </c>
      <c r="U5">
        <v>3.4734838958490201E-2</v>
      </c>
      <c r="V5">
        <v>2.2943763648024182E-2</v>
      </c>
      <c r="W5">
        <v>4.7631726062227993E-2</v>
      </c>
      <c r="X5">
        <v>1.1761249115753257E-2</v>
      </c>
      <c r="Y5">
        <v>8.0347876226844802E-3</v>
      </c>
      <c r="Z5">
        <v>0.99999999999999989</v>
      </c>
      <c r="AB5">
        <v>1.1242109445527531</v>
      </c>
      <c r="AC5">
        <v>5.8095140184758866E-3</v>
      </c>
      <c r="AD5">
        <v>0.33073737281122056</v>
      </c>
      <c r="AE5">
        <v>6.4591484535792359E-2</v>
      </c>
      <c r="AF5">
        <v>5.3993658526013323E-2</v>
      </c>
      <c r="AG5">
        <v>3.566499160089448E-2</v>
      </c>
      <c r="AH5">
        <v>0.14808251479628193</v>
      </c>
      <c r="AI5">
        <v>3.6564607042183339E-2</v>
      </c>
      <c r="AJ5">
        <v>1.7996550878836151</v>
      </c>
      <c r="AL5">
        <v>0.6246813359524459</v>
      </c>
      <c r="AM5">
        <v>3.2281263546493481E-3</v>
      </c>
      <c r="AN5">
        <v>0.18377820007730813</v>
      </c>
      <c r="AO5">
        <v>3.5891035438213668E-2</v>
      </c>
      <c r="AP5">
        <v>3.0002225920695492E-2</v>
      </c>
      <c r="AQ5">
        <v>1.9817681644117888E-2</v>
      </c>
      <c r="AR5">
        <v>8.2283830825842411E-2</v>
      </c>
      <c r="AS5">
        <v>2.0317563786727114E-2</v>
      </c>
      <c r="AT5">
        <v>1</v>
      </c>
    </row>
    <row r="6" spans="1:46">
      <c r="A6">
        <v>99.999999999999972</v>
      </c>
      <c r="B6">
        <v>1</v>
      </c>
      <c r="C6">
        <v>5</v>
      </c>
      <c r="D6">
        <v>4004.9</v>
      </c>
      <c r="F6">
        <v>1.1184751744274839</v>
      </c>
      <c r="G6">
        <v>5.7798736408306009E-3</v>
      </c>
      <c r="H6">
        <v>0.16452496861782656</v>
      </c>
      <c r="I6">
        <v>6.4261936145303622E-2</v>
      </c>
      <c r="J6">
        <v>5.3718180676390802E-2</v>
      </c>
      <c r="K6">
        <v>4.45812395011181E-2</v>
      </c>
      <c r="L6">
        <v>7.3663495880803509E-2</v>
      </c>
      <c r="M6">
        <v>1.8189026462310586E-2</v>
      </c>
      <c r="N6">
        <v>1.248969600079934E-2</v>
      </c>
      <c r="O6">
        <v>1.555683591352867</v>
      </c>
      <c r="Q6">
        <v>0.71896057825924986</v>
      </c>
      <c r="R6">
        <v>3.7153272509638396E-3</v>
      </c>
      <c r="S6">
        <v>0.10575734650177221</v>
      </c>
      <c r="T6">
        <v>4.1307844668734724E-2</v>
      </c>
      <c r="U6">
        <v>3.453027400621738E-2</v>
      </c>
      <c r="V6">
        <v>2.8657009528749337E-2</v>
      </c>
      <c r="W6">
        <v>4.7351207077233247E-2</v>
      </c>
      <c r="X6">
        <v>1.1691983230659961E-2</v>
      </c>
      <c r="Y6">
        <v>8.0284294764193936E-3</v>
      </c>
      <c r="Z6">
        <v>1</v>
      </c>
      <c r="AB6">
        <v>1.1184751744274839</v>
      </c>
      <c r="AC6">
        <v>5.7798736408306009E-3</v>
      </c>
      <c r="AD6">
        <v>0.32904993723565312</v>
      </c>
      <c r="AE6">
        <v>6.4261936145303622E-2</v>
      </c>
      <c r="AF6">
        <v>5.3718180676390802E-2</v>
      </c>
      <c r="AG6">
        <v>4.45812395011181E-2</v>
      </c>
      <c r="AH6">
        <v>0.14732699176160702</v>
      </c>
      <c r="AI6">
        <v>3.6378052924621172E-2</v>
      </c>
      <c r="AJ6">
        <v>1.7995713863130081</v>
      </c>
      <c r="AL6">
        <v>0.62152309318444687</v>
      </c>
      <c r="AM6">
        <v>3.211805702619279E-3</v>
      </c>
      <c r="AN6">
        <v>0.18284906046979116</v>
      </c>
      <c r="AO6">
        <v>3.5709578755286027E-2</v>
      </c>
      <c r="AP6">
        <v>2.9850541681733175E-2</v>
      </c>
      <c r="AQ6">
        <v>2.4773254253868133E-2</v>
      </c>
      <c r="AR6">
        <v>8.1867823017264696E-2</v>
      </c>
      <c r="AS6">
        <v>2.0214842934990835E-2</v>
      </c>
      <c r="AT6">
        <v>1</v>
      </c>
    </row>
    <row r="7" spans="1:46">
      <c r="A7">
        <v>99.999999999999972</v>
      </c>
      <c r="B7">
        <v>1</v>
      </c>
      <c r="C7">
        <v>5</v>
      </c>
      <c r="D7">
        <v>4004.9</v>
      </c>
      <c r="F7">
        <v>1.1127394043022145</v>
      </c>
      <c r="G7">
        <v>5.750233263185316E-3</v>
      </c>
      <c r="H7">
        <v>0.16368125083004284</v>
      </c>
      <c r="I7">
        <v>6.3932387754814884E-2</v>
      </c>
      <c r="J7">
        <v>5.344270282676828E-2</v>
      </c>
      <c r="K7">
        <v>5.349748740134172E-2</v>
      </c>
      <c r="L7">
        <v>7.3285734363466054E-2</v>
      </c>
      <c r="M7">
        <v>1.8095749403529506E-2</v>
      </c>
      <c r="N7">
        <v>1.248969600079934E-2</v>
      </c>
      <c r="O7">
        <v>1.5569146461461625</v>
      </c>
      <c r="Q7">
        <v>0.714708033003982</v>
      </c>
      <c r="R7">
        <v>3.6933516409643221E-3</v>
      </c>
      <c r="S7">
        <v>0.10513180747268563</v>
      </c>
      <c r="T7">
        <v>4.1063514890213794E-2</v>
      </c>
      <c r="U7">
        <v>3.4326032553586176E-2</v>
      </c>
      <c r="V7">
        <v>3.4361220464952449E-2</v>
      </c>
      <c r="W7">
        <v>4.7071131705819932E-2</v>
      </c>
      <c r="X7">
        <v>1.1622826882849354E-2</v>
      </c>
      <c r="Y7">
        <v>8.0220813849462697E-3</v>
      </c>
      <c r="Z7">
        <v>0.99999999999999978</v>
      </c>
      <c r="AB7">
        <v>1.1127394043022145</v>
      </c>
      <c r="AC7">
        <v>5.750233263185316E-3</v>
      </c>
      <c r="AD7">
        <v>0.32736250166008568</v>
      </c>
      <c r="AE7">
        <v>6.3932387754814884E-2</v>
      </c>
      <c r="AF7">
        <v>5.344270282676828E-2</v>
      </c>
      <c r="AG7">
        <v>5.349748740134172E-2</v>
      </c>
      <c r="AH7">
        <v>0.14657146872693211</v>
      </c>
      <c r="AI7">
        <v>3.6191498807059012E-2</v>
      </c>
      <c r="AJ7">
        <v>1.7994876847424015</v>
      </c>
      <c r="AL7">
        <v>0.61836455661073575</v>
      </c>
      <c r="AM7">
        <v>3.1954835323079567E-3</v>
      </c>
      <c r="AN7">
        <v>0.18191983442606774</v>
      </c>
      <c r="AO7">
        <v>3.5528105191765663E-2</v>
      </c>
      <c r="AP7">
        <v>2.9698843331855677E-2</v>
      </c>
      <c r="AQ7">
        <v>2.972928787173108E-2</v>
      </c>
      <c r="AR7">
        <v>8.1451776508219872E-2</v>
      </c>
      <c r="AS7">
        <v>2.0112112527316275E-2</v>
      </c>
      <c r="AT7">
        <v>1</v>
      </c>
    </row>
    <row r="8" spans="1:46">
      <c r="A8">
        <v>99.999999999999972</v>
      </c>
      <c r="B8">
        <v>1</v>
      </c>
      <c r="C8">
        <v>5</v>
      </c>
      <c r="D8">
        <v>4004.9</v>
      </c>
      <c r="F8">
        <v>1.1070036341769454</v>
      </c>
      <c r="G8">
        <v>5.720592885540032E-3</v>
      </c>
      <c r="H8">
        <v>0.16283753304225909</v>
      </c>
      <c r="I8">
        <v>6.3602839364326147E-2</v>
      </c>
      <c r="J8">
        <v>5.3167224977145766E-2</v>
      </c>
      <c r="K8">
        <v>6.241373530156534E-2</v>
      </c>
      <c r="L8">
        <v>7.2907972846128599E-2</v>
      </c>
      <c r="M8">
        <v>1.800247234474843E-2</v>
      </c>
      <c r="N8">
        <v>1.248969600079934E-2</v>
      </c>
      <c r="O8">
        <v>1.5581457009394581</v>
      </c>
      <c r="Q8">
        <v>0.71046220742353927</v>
      </c>
      <c r="R8">
        <v>3.6714107558047334E-3</v>
      </c>
      <c r="S8">
        <v>0.10450725689136703</v>
      </c>
      <c r="T8">
        <v>4.0819571190279492E-2</v>
      </c>
      <c r="U8">
        <v>3.4122113833827905E-2</v>
      </c>
      <c r="V8">
        <v>4.0056417871534099E-2</v>
      </c>
      <c r="W8">
        <v>4.6791498896521642E-2</v>
      </c>
      <c r="X8">
        <v>1.155377981269283E-2</v>
      </c>
      <c r="Y8">
        <v>8.0157433244329359E-3</v>
      </c>
      <c r="Z8">
        <v>0.99999999999999989</v>
      </c>
      <c r="AB8">
        <v>1.1070036341769454</v>
      </c>
      <c r="AC8">
        <v>5.720592885540032E-3</v>
      </c>
      <c r="AD8">
        <v>0.32567506608451818</v>
      </c>
      <c r="AE8">
        <v>6.3602839364326147E-2</v>
      </c>
      <c r="AF8">
        <v>5.3167224977145766E-2</v>
      </c>
      <c r="AG8">
        <v>6.241373530156534E-2</v>
      </c>
      <c r="AH8">
        <v>0.1458159456922572</v>
      </c>
      <c r="AI8">
        <v>3.6004944689496859E-2</v>
      </c>
      <c r="AJ8">
        <v>1.7994039831717947</v>
      </c>
      <c r="AL8">
        <v>0.61520572619031277</v>
      </c>
      <c r="AM8">
        <v>3.1791598435035079E-3</v>
      </c>
      <c r="AN8">
        <v>0.18099052193407586</v>
      </c>
      <c r="AO8">
        <v>3.5346614745296906E-2</v>
      </c>
      <c r="AP8">
        <v>2.954713086909385E-2</v>
      </c>
      <c r="AQ8">
        <v>3.4685782562039878E-2</v>
      </c>
      <c r="AR8">
        <v>8.1035691293307371E-2</v>
      </c>
      <c r="AS8">
        <v>2.0009372562369922E-2</v>
      </c>
      <c r="AT8">
        <v>1</v>
      </c>
    </row>
    <row r="9" spans="1:46">
      <c r="A9">
        <v>99.999999999999972</v>
      </c>
      <c r="B9">
        <v>1</v>
      </c>
      <c r="C9">
        <v>5</v>
      </c>
      <c r="D9">
        <v>4004.9</v>
      </c>
      <c r="F9">
        <v>1.1012678640516762</v>
      </c>
      <c r="G9">
        <v>5.6909525078947471E-3</v>
      </c>
      <c r="H9">
        <v>0.16199381525447537</v>
      </c>
      <c r="I9">
        <v>6.3273290973837409E-2</v>
      </c>
      <c r="J9">
        <v>5.2891747127523252E-2</v>
      </c>
      <c r="K9">
        <v>7.132998320178896E-2</v>
      </c>
      <c r="L9">
        <v>7.2530211328791144E-2</v>
      </c>
      <c r="M9">
        <v>1.7909195285967346E-2</v>
      </c>
      <c r="N9">
        <v>1.248969600079934E-2</v>
      </c>
      <c r="O9">
        <v>1.5593767557327536</v>
      </c>
      <c r="Q9">
        <v>0.7062230856033177</v>
      </c>
      <c r="R9">
        <v>3.6495045132441772E-3</v>
      </c>
      <c r="S9">
        <v>0.10388369241681701</v>
      </c>
      <c r="T9">
        <v>4.0576012654559027E-2</v>
      </c>
      <c r="U9">
        <v>3.3918517082595176E-2</v>
      </c>
      <c r="V9">
        <v>4.5742623095770651E-2</v>
      </c>
      <c r="W9">
        <v>4.65123076011923E-2</v>
      </c>
      <c r="X9">
        <v>1.1484841761381641E-2</v>
      </c>
      <c r="Y9">
        <v>8.0094152711224758E-3</v>
      </c>
      <c r="Z9">
        <v>1.0000000000000002</v>
      </c>
      <c r="AB9">
        <v>1.1012678640516762</v>
      </c>
      <c r="AC9">
        <v>5.6909525078947471E-3</v>
      </c>
      <c r="AD9">
        <v>0.32398763050895074</v>
      </c>
      <c r="AE9">
        <v>6.3273290973837409E-2</v>
      </c>
      <c r="AF9">
        <v>5.2891747127523252E-2</v>
      </c>
      <c r="AG9">
        <v>7.132998320178896E-2</v>
      </c>
      <c r="AH9">
        <v>0.14506042265758229</v>
      </c>
      <c r="AI9">
        <v>3.5818390571934693E-2</v>
      </c>
      <c r="AJ9">
        <v>1.7993202816011884</v>
      </c>
      <c r="AL9">
        <v>0.61204660188216975</v>
      </c>
      <c r="AM9">
        <v>3.1628346359940172E-3</v>
      </c>
      <c r="AN9">
        <v>0.18006112298175117</v>
      </c>
      <c r="AO9">
        <v>3.5165107413523647E-2</v>
      </c>
      <c r="AP9">
        <v>2.9395404291478154E-2</v>
      </c>
      <c r="AQ9">
        <v>3.9642738389139627E-2</v>
      </c>
      <c r="AR9">
        <v>8.0619567367125528E-2</v>
      </c>
      <c r="AS9">
        <v>1.9906623038817992E-2</v>
      </c>
      <c r="AT9">
        <v>0.99999999999999978</v>
      </c>
    </row>
    <row r="10" spans="1:46">
      <c r="A10">
        <v>99.999999999999972</v>
      </c>
      <c r="B10">
        <v>1</v>
      </c>
      <c r="C10">
        <v>5</v>
      </c>
      <c r="D10">
        <v>4004.9</v>
      </c>
      <c r="F10">
        <v>1.095532093926407</v>
      </c>
      <c r="G10">
        <v>5.6613121302494613E-3</v>
      </c>
      <c r="H10">
        <v>0.16115009746669165</v>
      </c>
      <c r="I10">
        <v>6.2943742583348672E-2</v>
      </c>
      <c r="J10">
        <v>5.261626927790073E-2</v>
      </c>
      <c r="K10">
        <v>8.024623110201258E-2</v>
      </c>
      <c r="L10">
        <v>7.2152449811453703E-2</v>
      </c>
      <c r="M10">
        <v>1.7815918227186266E-2</v>
      </c>
      <c r="N10">
        <v>1.248969600079934E-2</v>
      </c>
      <c r="O10">
        <v>1.5606078105260497</v>
      </c>
      <c r="Q10">
        <v>0.70199065167892827</v>
      </c>
      <c r="R10">
        <v>3.6276328313012518E-3</v>
      </c>
      <c r="S10">
        <v>0.10326111171542271</v>
      </c>
      <c r="T10">
        <v>4.0332838371564726E-2</v>
      </c>
      <c r="U10">
        <v>3.3715241537952342E-2</v>
      </c>
      <c r="V10">
        <v>5.14198574175809E-2</v>
      </c>
      <c r="W10">
        <v>4.6233556774993044E-2</v>
      </c>
      <c r="X10">
        <v>1.141601247092367E-2</v>
      </c>
      <c r="Y10">
        <v>8.0030972013329302E-3</v>
      </c>
      <c r="Z10">
        <v>1</v>
      </c>
      <c r="AB10">
        <v>1.095532093926407</v>
      </c>
      <c r="AC10">
        <v>5.6613121302494613E-3</v>
      </c>
      <c r="AD10">
        <v>0.3223001949333833</v>
      </c>
      <c r="AE10">
        <v>6.2943742583348672E-2</v>
      </c>
      <c r="AF10">
        <v>5.261626927790073E-2</v>
      </c>
      <c r="AG10">
        <v>8.024623110201258E-2</v>
      </c>
      <c r="AH10">
        <v>0.14430489962290741</v>
      </c>
      <c r="AI10">
        <v>3.5631836454372533E-2</v>
      </c>
      <c r="AJ10">
        <v>1.7992365800305818</v>
      </c>
      <c r="AL10">
        <v>0.60888718364529149</v>
      </c>
      <c r="AM10">
        <v>3.1465079095675317E-3</v>
      </c>
      <c r="AN10">
        <v>0.17913163755702718</v>
      </c>
      <c r="AO10">
        <v>3.4983583194089354E-2</v>
      </c>
      <c r="AP10">
        <v>2.9243663597038699E-2</v>
      </c>
      <c r="AQ10">
        <v>4.4600155417387426E-2</v>
      </c>
      <c r="AR10">
        <v>8.0203404724271801E-2</v>
      </c>
      <c r="AS10">
        <v>1.9803863955326483E-2</v>
      </c>
      <c r="AT10">
        <v>0.99999999999999989</v>
      </c>
    </row>
    <row r="11" spans="1:46">
      <c r="A11">
        <v>99.999999999999972</v>
      </c>
      <c r="B11">
        <v>1</v>
      </c>
      <c r="C11">
        <v>5</v>
      </c>
      <c r="D11">
        <v>4004.9</v>
      </c>
      <c r="F11">
        <v>1.0897963238011381</v>
      </c>
      <c r="G11">
        <v>5.6316717526041764E-3</v>
      </c>
      <c r="H11">
        <v>0.16030637967890793</v>
      </c>
      <c r="I11">
        <v>6.2614194192859934E-2</v>
      </c>
      <c r="J11">
        <v>5.2340791428278216E-2</v>
      </c>
      <c r="K11">
        <v>8.91624790022362E-2</v>
      </c>
      <c r="L11">
        <v>7.1774688294116235E-2</v>
      </c>
      <c r="M11">
        <v>1.772264116840519E-2</v>
      </c>
      <c r="N11">
        <v>1.248969600079934E-2</v>
      </c>
      <c r="O11">
        <v>1.5618388653193456</v>
      </c>
      <c r="Q11">
        <v>0.69776488983600105</v>
      </c>
      <c r="R11">
        <v>3.6057956282530348E-3</v>
      </c>
      <c r="S11">
        <v>0.10263951246092884</v>
      </c>
      <c r="T11">
        <v>4.0090047432682727E-2</v>
      </c>
      <c r="U11">
        <v>3.3512286440366058E-2</v>
      </c>
      <c r="V11">
        <v>5.7088142049791644E-2</v>
      </c>
      <c r="W11">
        <v>4.5955245376379225E-2</v>
      </c>
      <c r="X11">
        <v>1.1347291684140209E-2</v>
      </c>
      <c r="Y11">
        <v>7.996789091457011E-3</v>
      </c>
      <c r="Z11">
        <v>0.99999999999999967</v>
      </c>
      <c r="AB11">
        <v>1.0897963238011381</v>
      </c>
      <c r="AC11">
        <v>5.6316717526041764E-3</v>
      </c>
      <c r="AD11">
        <v>0.32061275935781586</v>
      </c>
      <c r="AE11">
        <v>6.2614194192859934E-2</v>
      </c>
      <c r="AF11">
        <v>5.2340791428278216E-2</v>
      </c>
      <c r="AG11">
        <v>8.91624790022362E-2</v>
      </c>
      <c r="AH11">
        <v>0.14354937658823247</v>
      </c>
      <c r="AI11">
        <v>3.544528233681038E-2</v>
      </c>
      <c r="AJ11">
        <v>1.7991528784599755</v>
      </c>
      <c r="AL11">
        <v>0.60572747143865469</v>
      </c>
      <c r="AM11">
        <v>3.1301796640120596E-3</v>
      </c>
      <c r="AN11">
        <v>0.178202065647835</v>
      </c>
      <c r="AO11">
        <v>3.4802042084637039E-2</v>
      </c>
      <c r="AP11">
        <v>2.9091908783805225E-2</v>
      </c>
      <c r="AQ11">
        <v>4.9558033711152319E-2</v>
      </c>
      <c r="AR11">
        <v>7.9787203359342487E-2</v>
      </c>
      <c r="AS11">
        <v>1.9701095310561127E-2</v>
      </c>
      <c r="AT11">
        <v>0.99999999999999989</v>
      </c>
    </row>
    <row r="12" spans="1:46">
      <c r="A12">
        <v>99.999999999999972</v>
      </c>
      <c r="B12">
        <v>1</v>
      </c>
      <c r="C12">
        <v>5</v>
      </c>
      <c r="D12">
        <v>4004.9</v>
      </c>
      <c r="F12">
        <v>1.084060553675869</v>
      </c>
      <c r="G12">
        <v>5.6020313749588907E-3</v>
      </c>
      <c r="H12">
        <v>0.15946266189112418</v>
      </c>
      <c r="I12">
        <v>6.2284645802371197E-2</v>
      </c>
      <c r="J12">
        <v>5.2065313578655695E-2</v>
      </c>
      <c r="K12">
        <v>9.807872690245982E-2</v>
      </c>
      <c r="L12">
        <v>7.1396926776778794E-2</v>
      </c>
      <c r="M12">
        <v>1.7629364109624106E-2</v>
      </c>
      <c r="N12">
        <v>1.248969600079934E-2</v>
      </c>
      <c r="O12">
        <v>1.5630699201126412</v>
      </c>
      <c r="Q12">
        <v>0.69354578430998604</v>
      </c>
      <c r="R12">
        <v>3.583992822634054E-3</v>
      </c>
      <c r="S12">
        <v>0.10201889233440858</v>
      </c>
      <c r="T12">
        <v>3.9847638932161596E-2</v>
      </c>
      <c r="U12">
        <v>3.3309651032695745E-2</v>
      </c>
      <c r="V12">
        <v>6.2747498138401803E-2</v>
      </c>
      <c r="W12">
        <v>4.5677372367087479E-2</v>
      </c>
      <c r="X12">
        <v>1.1278679144662743E-2</v>
      </c>
      <c r="Y12">
        <v>7.9904909179618015E-3</v>
      </c>
      <c r="Z12">
        <v>0.99999999999999978</v>
      </c>
      <c r="AB12">
        <v>1.084060553675869</v>
      </c>
      <c r="AC12">
        <v>5.6020313749588907E-3</v>
      </c>
      <c r="AD12">
        <v>0.31892532378224836</v>
      </c>
      <c r="AE12">
        <v>6.2284645802371197E-2</v>
      </c>
      <c r="AF12">
        <v>5.2065313578655695E-2</v>
      </c>
      <c r="AG12">
        <v>9.807872690245982E-2</v>
      </c>
      <c r="AH12">
        <v>0.14279385355355759</v>
      </c>
      <c r="AI12">
        <v>3.5258728219248213E-2</v>
      </c>
      <c r="AJ12">
        <v>1.7990691768893687</v>
      </c>
      <c r="AL12">
        <v>0.6025674652212285</v>
      </c>
      <c r="AM12">
        <v>3.113849899115569E-3</v>
      </c>
      <c r="AN12">
        <v>0.17727240724210364</v>
      </c>
      <c r="AO12">
        <v>3.4620484082809287E-2</v>
      </c>
      <c r="AP12">
        <v>2.894013984980711E-2</v>
      </c>
      <c r="AQ12">
        <v>5.451637333481537E-2</v>
      </c>
      <c r="AR12">
        <v>7.9370963266933062E-2</v>
      </c>
      <c r="AS12">
        <v>1.9598317103187411E-2</v>
      </c>
      <c r="AT12">
        <v>0.99999999999999989</v>
      </c>
    </row>
    <row r="13" spans="1:46">
      <c r="A13">
        <v>99.999999999999986</v>
      </c>
      <c r="B13">
        <v>1</v>
      </c>
      <c r="C13">
        <v>5</v>
      </c>
      <c r="D13">
        <v>4004.9</v>
      </c>
      <c r="F13">
        <v>1.0783247835505998</v>
      </c>
      <c r="G13">
        <v>5.5723909973136058E-3</v>
      </c>
      <c r="H13">
        <v>0.15861894410334046</v>
      </c>
      <c r="I13">
        <v>6.1955097411882473E-2</v>
      </c>
      <c r="J13">
        <v>5.178983572903318E-2</v>
      </c>
      <c r="K13">
        <v>0.10699497480268344</v>
      </c>
      <c r="L13">
        <v>7.1019165259441325E-2</v>
      </c>
      <c r="M13">
        <v>1.7536087050843027E-2</v>
      </c>
      <c r="N13">
        <v>1.248969600079934E-2</v>
      </c>
      <c r="O13">
        <v>1.5643009749059369</v>
      </c>
      <c r="Q13">
        <v>0.6893333193859581</v>
      </c>
      <c r="R13">
        <v>3.5622243332352841E-3</v>
      </c>
      <c r="S13">
        <v>0.10139924902423486</v>
      </c>
      <c r="T13">
        <v>3.9605611967101086E-2</v>
      </c>
      <c r="U13">
        <v>3.3107334560184214E-2</v>
      </c>
      <c r="V13">
        <v>6.8397946762845413E-2</v>
      </c>
      <c r="W13">
        <v>4.5399936712122668E-2</v>
      </c>
      <c r="X13">
        <v>1.1210174596929781E-2</v>
      </c>
      <c r="Y13">
        <v>7.9842026573884589E-3</v>
      </c>
      <c r="Z13">
        <v>0.99999999999999978</v>
      </c>
      <c r="AB13">
        <v>1.0783247835505998</v>
      </c>
      <c r="AC13">
        <v>5.5723909973136058E-3</v>
      </c>
      <c r="AD13">
        <v>0.31723788820668092</v>
      </c>
      <c r="AE13">
        <v>6.1955097411882473E-2</v>
      </c>
      <c r="AF13">
        <v>5.178983572903318E-2</v>
      </c>
      <c r="AG13">
        <v>0.10699497480268344</v>
      </c>
      <c r="AH13">
        <v>0.14203833051888265</v>
      </c>
      <c r="AI13">
        <v>3.5072174101686053E-2</v>
      </c>
      <c r="AJ13">
        <v>1.798985475318762</v>
      </c>
      <c r="AL13">
        <v>0.59940716495197477</v>
      </c>
      <c r="AM13">
        <v>3.0975186146659883E-3</v>
      </c>
      <c r="AN13">
        <v>0.1763426623277598</v>
      </c>
      <c r="AO13">
        <v>3.4438909186248243E-2</v>
      </c>
      <c r="AP13">
        <v>2.8788356793073355E-2</v>
      </c>
      <c r="AQ13">
        <v>5.947517435276959E-2</v>
      </c>
      <c r="AR13">
        <v>7.8954684441637807E-2</v>
      </c>
      <c r="AS13">
        <v>1.9495529331870577E-2</v>
      </c>
      <c r="AT13">
        <v>1</v>
      </c>
    </row>
    <row r="14" spans="1:46">
      <c r="A14">
        <v>99.999999999999972</v>
      </c>
      <c r="B14">
        <v>1</v>
      </c>
      <c r="C14">
        <v>5</v>
      </c>
      <c r="D14">
        <v>4004.9</v>
      </c>
      <c r="F14">
        <v>1.0725890134253304</v>
      </c>
      <c r="G14">
        <v>5.5427506196683209E-3</v>
      </c>
      <c r="H14">
        <v>0.15777522631555674</v>
      </c>
      <c r="I14">
        <v>6.1625549021393736E-2</v>
      </c>
      <c r="J14">
        <v>5.1514357879410666E-2</v>
      </c>
      <c r="K14">
        <v>0.11591122270290706</v>
      </c>
      <c r="L14">
        <v>7.064140374210387E-2</v>
      </c>
      <c r="M14">
        <v>1.7442809992061947E-2</v>
      </c>
      <c r="N14">
        <v>1.248969600079934E-2</v>
      </c>
      <c r="O14">
        <v>1.5655320296992323</v>
      </c>
      <c r="Q14">
        <v>0.68512747939842189</v>
      </c>
      <c r="R14">
        <v>3.5404900791031315E-3</v>
      </c>
      <c r="S14">
        <v>0.10078058022605151</v>
      </c>
      <c r="T14">
        <v>3.9363965637440927E-2</v>
      </c>
      <c r="U14">
        <v>3.2905336270448282E-2</v>
      </c>
      <c r="V14">
        <v>7.4039508936253287E-2</v>
      </c>
      <c r="W14">
        <v>4.5122937379745202E-2</v>
      </c>
      <c r="X14">
        <v>1.1141777786183674E-2</v>
      </c>
      <c r="Y14">
        <v>7.9779242863519326E-3</v>
      </c>
      <c r="Z14">
        <v>0.99999999999999989</v>
      </c>
      <c r="AB14">
        <v>1.0725890134253304</v>
      </c>
      <c r="AC14">
        <v>5.5427506196683209E-3</v>
      </c>
      <c r="AD14">
        <v>0.31555045263111348</v>
      </c>
      <c r="AE14">
        <v>6.1625549021393736E-2</v>
      </c>
      <c r="AF14">
        <v>5.1514357879410666E-2</v>
      </c>
      <c r="AG14">
        <v>0.11591122270290706</v>
      </c>
      <c r="AH14">
        <v>0.14128280748420774</v>
      </c>
      <c r="AI14">
        <v>3.4885619984123893E-2</v>
      </c>
      <c r="AJ14">
        <v>1.7989017737481554</v>
      </c>
      <c r="AL14">
        <v>0.59624657058984698</v>
      </c>
      <c r="AM14">
        <v>3.0811858104512055E-3</v>
      </c>
      <c r="AN14">
        <v>0.17541283089272791</v>
      </c>
      <c r="AO14">
        <v>3.425731739259559E-2</v>
      </c>
      <c r="AP14">
        <v>2.8636559611632598E-2</v>
      </c>
      <c r="AQ14">
        <v>6.4434436829419975E-2</v>
      </c>
      <c r="AR14">
        <v>7.8538366878050117E-2</v>
      </c>
      <c r="AS14">
        <v>1.9392731995275605E-2</v>
      </c>
      <c r="AT14">
        <v>1.0000000000000002</v>
      </c>
    </row>
    <row r="15" spans="1:46">
      <c r="A15">
        <v>99.999999999999986</v>
      </c>
      <c r="B15">
        <v>1</v>
      </c>
      <c r="C15">
        <v>5</v>
      </c>
      <c r="D15">
        <v>4004.9</v>
      </c>
      <c r="F15">
        <v>1.0668532433000613</v>
      </c>
      <c r="G15">
        <v>5.5131102420230352E-3</v>
      </c>
      <c r="H15">
        <v>0.15693150852777302</v>
      </c>
      <c r="I15">
        <v>6.1296000630904998E-2</v>
      </c>
      <c r="J15">
        <v>5.1238880029788145E-2</v>
      </c>
      <c r="K15">
        <v>0.12482747060313068</v>
      </c>
      <c r="L15">
        <v>7.0263642224766429E-2</v>
      </c>
      <c r="M15">
        <v>1.734953293328087E-2</v>
      </c>
      <c r="N15">
        <v>1.248969600079934E-2</v>
      </c>
      <c r="O15">
        <v>1.5667630844925275</v>
      </c>
      <c r="Q15">
        <v>0.6809282487311179</v>
      </c>
      <c r="R15">
        <v>3.5187899795384343E-3</v>
      </c>
      <c r="S15">
        <v>0.10016288364274482</v>
      </c>
      <c r="T15">
        <v>3.9122699045949685E-2</v>
      </c>
      <c r="U15">
        <v>3.2703655413469451E-2</v>
      </c>
      <c r="V15">
        <v>7.96722056057136E-2</v>
      </c>
      <c r="W15">
        <v>4.4846373341458148E-2</v>
      </c>
      <c r="X15">
        <v>1.1073488458467453E-2</v>
      </c>
      <c r="Y15">
        <v>7.9716557815406631E-3</v>
      </c>
      <c r="Z15">
        <v>1.0000000000000002</v>
      </c>
      <c r="AB15">
        <v>1.0668532433000613</v>
      </c>
      <c r="AC15">
        <v>5.5131102420230352E-3</v>
      </c>
      <c r="AD15">
        <v>0.31386301705554603</v>
      </c>
      <c r="AE15">
        <v>6.1296000630904998E-2</v>
      </c>
      <c r="AF15">
        <v>5.1238880029788145E-2</v>
      </c>
      <c r="AG15">
        <v>0.12482747060313068</v>
      </c>
      <c r="AH15">
        <v>0.14052728444953286</v>
      </c>
      <c r="AI15">
        <v>3.469906586656174E-2</v>
      </c>
      <c r="AJ15">
        <v>1.7988180721775486</v>
      </c>
      <c r="AL15">
        <v>0.59308568209379198</v>
      </c>
      <c r="AM15">
        <v>3.0648514862590703E-3</v>
      </c>
      <c r="AN15">
        <v>0.17448291292493021</v>
      </c>
      <c r="AO15">
        <v>3.4075708699492599E-2</v>
      </c>
      <c r="AP15">
        <v>2.8484748303513108E-2</v>
      </c>
      <c r="AQ15">
        <v>6.9394160829183538E-2</v>
      </c>
      <c r="AR15">
        <v>7.8122010570762374E-2</v>
      </c>
      <c r="AS15">
        <v>1.9289925092067253E-2</v>
      </c>
      <c r="AT15">
        <v>1.0000000000000002</v>
      </c>
    </row>
    <row r="16" spans="1:46">
      <c r="A16">
        <v>99.999999999999957</v>
      </c>
      <c r="B16">
        <v>1</v>
      </c>
      <c r="C16">
        <v>5</v>
      </c>
      <c r="D16">
        <v>4004.9</v>
      </c>
      <c r="F16">
        <v>1.0611174731747923</v>
      </c>
      <c r="G16">
        <v>5.4834698643777503E-3</v>
      </c>
      <c r="H16">
        <v>0.1560877907399893</v>
      </c>
      <c r="I16">
        <v>6.0966452240416254E-2</v>
      </c>
      <c r="J16">
        <v>5.096340218016563E-2</v>
      </c>
      <c r="K16">
        <v>0.13374371850335429</v>
      </c>
      <c r="L16">
        <v>6.988588070742896E-2</v>
      </c>
      <c r="M16">
        <v>1.7256255874499787E-2</v>
      </c>
      <c r="N16">
        <v>1.248969600079934E-2</v>
      </c>
      <c r="O16">
        <v>1.5679941392858239</v>
      </c>
      <c r="Q16">
        <v>0.67673561181682784</v>
      </c>
      <c r="R16">
        <v>3.4971239540954615E-3</v>
      </c>
      <c r="S16">
        <v>9.9546156984414991E-2</v>
      </c>
      <c r="T16">
        <v>3.8881811298213602E-2</v>
      </c>
      <c r="U16">
        <v>3.2502291241584609E-2</v>
      </c>
      <c r="V16">
        <v>8.5296057652530954E-2</v>
      </c>
      <c r="W16">
        <v>4.4570243571994447E-2</v>
      </c>
      <c r="X16">
        <v>1.1005306360621676E-2</v>
      </c>
      <c r="Y16">
        <v>7.9653971197163002E-3</v>
      </c>
      <c r="Z16">
        <v>1</v>
      </c>
      <c r="AB16">
        <v>1.0611174731747923</v>
      </c>
      <c r="AC16">
        <v>5.4834698643777503E-3</v>
      </c>
      <c r="AD16">
        <v>0.31217558147997859</v>
      </c>
      <c r="AE16">
        <v>6.0966452240416254E-2</v>
      </c>
      <c r="AF16">
        <v>5.096340218016563E-2</v>
      </c>
      <c r="AG16">
        <v>0.13374371850335429</v>
      </c>
      <c r="AH16">
        <v>0.13977176141485792</v>
      </c>
      <c r="AI16">
        <v>3.4512511748999573E-2</v>
      </c>
      <c r="AJ16">
        <v>1.7987343706069425</v>
      </c>
      <c r="AL16">
        <v>0.58992449942274805</v>
      </c>
      <c r="AM16">
        <v>3.0485156418773923E-3</v>
      </c>
      <c r="AN16">
        <v>0.17355290841228654</v>
      </c>
      <c r="AO16">
        <v>3.3894083104580079E-2</v>
      </c>
      <c r="AP16">
        <v>2.8332922866742785E-2</v>
      </c>
      <c r="AQ16">
        <v>7.4354346416489206E-2</v>
      </c>
      <c r="AR16">
        <v>7.7705615514365847E-2</v>
      </c>
      <c r="AS16">
        <v>1.9187108620909991E-2</v>
      </c>
      <c r="AT16">
        <v>0.99999999999999989</v>
      </c>
    </row>
    <row r="17" spans="1:46">
      <c r="A17">
        <v>99.999999999999972</v>
      </c>
      <c r="B17">
        <v>1</v>
      </c>
      <c r="C17">
        <v>5</v>
      </c>
      <c r="D17">
        <v>4004.9</v>
      </c>
      <c r="F17">
        <v>1.0553817030495232</v>
      </c>
      <c r="G17">
        <v>5.4538294867324654E-3</v>
      </c>
      <c r="H17">
        <v>0.15524407295220555</v>
      </c>
      <c r="I17">
        <v>6.0636903849927516E-2</v>
      </c>
      <c r="J17">
        <v>5.0687924330543109E-2</v>
      </c>
      <c r="K17">
        <v>0.14265996640357792</v>
      </c>
      <c r="L17">
        <v>6.9508119190091519E-2</v>
      </c>
      <c r="M17">
        <v>1.7162978815718707E-2</v>
      </c>
      <c r="N17">
        <v>1.248969600079934E-2</v>
      </c>
      <c r="O17">
        <v>1.5692251940791193</v>
      </c>
      <c r="Q17">
        <v>0.67254955313718445</v>
      </c>
      <c r="R17">
        <v>3.475491922580926E-3</v>
      </c>
      <c r="S17">
        <v>9.8930397968348099E-2</v>
      </c>
      <c r="T17">
        <v>3.8641301502625659E-2</v>
      </c>
      <c r="U17">
        <v>3.230124300947685E-2</v>
      </c>
      <c r="V17">
        <v>9.0911085892484783E-2</v>
      </c>
      <c r="W17">
        <v>4.4294547049304488E-2</v>
      </c>
      <c r="X17">
        <v>1.0937231240281349E-2</v>
      </c>
      <c r="Y17">
        <v>7.9591482777134261E-3</v>
      </c>
      <c r="Z17">
        <v>1</v>
      </c>
      <c r="AB17">
        <v>1.0553817030495232</v>
      </c>
      <c r="AC17">
        <v>5.4538294867324654E-3</v>
      </c>
      <c r="AD17">
        <v>0.31048814590441109</v>
      </c>
      <c r="AE17">
        <v>6.0636903849927516E-2</v>
      </c>
      <c r="AF17">
        <v>5.0687924330543109E-2</v>
      </c>
      <c r="AG17">
        <v>0.14265996640357792</v>
      </c>
      <c r="AH17">
        <v>0.13901623838018304</v>
      </c>
      <c r="AI17">
        <v>3.4325957631437413E-2</v>
      </c>
      <c r="AJ17">
        <v>1.7986506690363357</v>
      </c>
      <c r="AL17">
        <v>0.58676302253564649</v>
      </c>
      <c r="AM17">
        <v>3.0321782770939437E-3</v>
      </c>
      <c r="AN17">
        <v>0.17262281734271476</v>
      </c>
      <c r="AO17">
        <v>3.3712440605498446E-2</v>
      </c>
      <c r="AP17">
        <v>2.818108329934918E-2</v>
      </c>
      <c r="AQ17">
        <v>7.9314993655778057E-2</v>
      </c>
      <c r="AR17">
        <v>7.728918170345099E-2</v>
      </c>
      <c r="AS17">
        <v>1.9084282580468088E-2</v>
      </c>
      <c r="AT17">
        <v>1</v>
      </c>
    </row>
    <row r="18" spans="1:46">
      <c r="A18">
        <v>99.999999999999972</v>
      </c>
      <c r="B18">
        <v>1</v>
      </c>
      <c r="C18">
        <v>5</v>
      </c>
      <c r="D18">
        <v>4004.9</v>
      </c>
      <c r="F18">
        <v>1.049645932924254</v>
      </c>
      <c r="G18">
        <v>5.4241891090871805E-3</v>
      </c>
      <c r="H18">
        <v>0.15440035516442183</v>
      </c>
      <c r="I18">
        <v>6.0307355459438779E-2</v>
      </c>
      <c r="J18">
        <v>5.0412446480920602E-2</v>
      </c>
      <c r="K18">
        <v>0.15157621430380153</v>
      </c>
      <c r="L18">
        <v>6.913035767275405E-2</v>
      </c>
      <c r="M18">
        <v>1.706970175693763E-2</v>
      </c>
      <c r="N18">
        <v>1.248969600079934E-2</v>
      </c>
      <c r="O18">
        <v>1.570456248872415</v>
      </c>
      <c r="Q18">
        <v>0.66837005722247789</v>
      </c>
      <c r="R18">
        <v>3.4538938050529835E-3</v>
      </c>
      <c r="S18">
        <v>9.8315604318987573E-2</v>
      </c>
      <c r="T18">
        <v>3.8401168770374444E-2</v>
      </c>
      <c r="U18">
        <v>3.2100509974166205E-2</v>
      </c>
      <c r="V18">
        <v>9.6517311076085688E-2</v>
      </c>
      <c r="W18">
        <v>4.4019282754543171E-2</v>
      </c>
      <c r="X18">
        <v>1.0869262845872751E-2</v>
      </c>
      <c r="Y18">
        <v>7.9529092324392495E-3</v>
      </c>
      <c r="Z18">
        <v>1</v>
      </c>
      <c r="AB18">
        <v>1.049645932924254</v>
      </c>
      <c r="AC18">
        <v>5.4241891090871805E-3</v>
      </c>
      <c r="AD18">
        <v>0.30880071032884365</v>
      </c>
      <c r="AE18">
        <v>6.0307355459438779E-2</v>
      </c>
      <c r="AF18">
        <v>5.0412446480920602E-2</v>
      </c>
      <c r="AG18">
        <v>0.15157621430380153</v>
      </c>
      <c r="AH18">
        <v>0.1382607153455081</v>
      </c>
      <c r="AI18">
        <v>3.4139403513875261E-2</v>
      </c>
      <c r="AJ18">
        <v>1.7985669674657294</v>
      </c>
      <c r="AL18">
        <v>0.5836012513914105</v>
      </c>
      <c r="AM18">
        <v>3.0158393916964537E-3</v>
      </c>
      <c r="AN18">
        <v>0.17169263970413026</v>
      </c>
      <c r="AO18">
        <v>3.3530781199887623E-2</v>
      </c>
      <c r="AP18">
        <v>2.8029229599359457E-2</v>
      </c>
      <c r="AQ18">
        <v>8.4276102611502965E-2</v>
      </c>
      <c r="AR18">
        <v>7.687270913260702E-2</v>
      </c>
      <c r="AS18">
        <v>1.8981446969405527E-2</v>
      </c>
      <c r="AT18">
        <v>0.99999999999999989</v>
      </c>
    </row>
    <row r="19" spans="1:46">
      <c r="A19">
        <v>99.999999999999972</v>
      </c>
      <c r="B19">
        <v>1</v>
      </c>
      <c r="C19">
        <v>5</v>
      </c>
      <c r="D19">
        <v>4004.9</v>
      </c>
      <c r="F19">
        <v>1.0439101627989849</v>
      </c>
      <c r="G19">
        <v>5.3945487314418948E-3</v>
      </c>
      <c r="H19">
        <v>0.15355663737663811</v>
      </c>
      <c r="I19">
        <v>5.9977807068950041E-2</v>
      </c>
      <c r="J19">
        <v>5.0136968631298073E-2</v>
      </c>
      <c r="K19">
        <v>0.16049246220402516</v>
      </c>
      <c r="L19">
        <v>6.8752596155416609E-2</v>
      </c>
      <c r="M19">
        <v>1.697642469815655E-2</v>
      </c>
      <c r="N19">
        <v>1.248969600079934E-2</v>
      </c>
      <c r="O19">
        <v>1.5716873036657106</v>
      </c>
      <c r="Q19">
        <v>0.66419710865146675</v>
      </c>
      <c r="R19">
        <v>3.432329521820255E-3</v>
      </c>
      <c r="S19">
        <v>9.7701773767906425E-2</v>
      </c>
      <c r="T19">
        <v>3.8161412215433281E-2</v>
      </c>
      <c r="U19">
        <v>3.1900091395000503E-2</v>
      </c>
      <c r="V19">
        <v>0.10211475388883146</v>
      </c>
      <c r="W19">
        <v>4.3744449672057616E-2</v>
      </c>
      <c r="X19">
        <v>1.0801400926610364E-2</v>
      </c>
      <c r="Y19">
        <v>7.9466799608733305E-3</v>
      </c>
      <c r="Z19">
        <v>0.99999999999999989</v>
      </c>
      <c r="AB19">
        <v>1.0439101627989849</v>
      </c>
      <c r="AC19">
        <v>5.3945487314418948E-3</v>
      </c>
      <c r="AD19">
        <v>0.30711327475327621</v>
      </c>
      <c r="AE19">
        <v>5.9977807068950041E-2</v>
      </c>
      <c r="AF19">
        <v>5.0136968631298073E-2</v>
      </c>
      <c r="AG19">
        <v>0.16049246220402516</v>
      </c>
      <c r="AH19">
        <v>0.13750519231083322</v>
      </c>
      <c r="AI19">
        <v>3.3952849396313101E-2</v>
      </c>
      <c r="AJ19">
        <v>1.7984832658951226</v>
      </c>
      <c r="AL19">
        <v>0.58043918594895605</v>
      </c>
      <c r="AM19">
        <v>2.9994989854726147E-3</v>
      </c>
      <c r="AN19">
        <v>0.17076237548444631</v>
      </c>
      <c r="AO19">
        <v>3.3349104885387136E-2</v>
      </c>
      <c r="AP19">
        <v>2.7877361764800417E-2</v>
      </c>
      <c r="AQ19">
        <v>8.9237673348128987E-2</v>
      </c>
      <c r="AR19">
        <v>7.645619779642239E-2</v>
      </c>
      <c r="AS19">
        <v>1.8878601786386062E-2</v>
      </c>
      <c r="AT19">
        <v>0.99999999999999978</v>
      </c>
    </row>
    <row r="20" spans="1:46">
      <c r="A20">
        <v>99.999999999999986</v>
      </c>
      <c r="B20">
        <v>1</v>
      </c>
      <c r="C20">
        <v>5</v>
      </c>
      <c r="D20">
        <v>4004.9</v>
      </c>
      <c r="F20">
        <v>1.0381743926737157</v>
      </c>
      <c r="G20">
        <v>5.3649083537966099E-3</v>
      </c>
      <c r="H20">
        <v>0.15271291958885438</v>
      </c>
      <c r="I20">
        <v>5.9648258678461318E-2</v>
      </c>
      <c r="J20">
        <v>4.9861490781675559E-2</v>
      </c>
      <c r="K20">
        <v>0.16940871010424877</v>
      </c>
      <c r="L20">
        <v>6.8374834638079154E-2</v>
      </c>
      <c r="M20">
        <v>1.6883147639375467E-2</v>
      </c>
      <c r="N20">
        <v>1.248969600079934E-2</v>
      </c>
      <c r="O20">
        <v>1.5729183584590061</v>
      </c>
      <c r="Q20">
        <v>0.66003069205118758</v>
      </c>
      <c r="R20">
        <v>3.4107989934408487E-3</v>
      </c>
      <c r="S20">
        <v>9.7088904053779235E-2</v>
      </c>
      <c r="T20">
        <v>3.792203095454931E-2</v>
      </c>
      <c r="U20">
        <v>3.1699986533646314E-2</v>
      </c>
      <c r="V20">
        <v>0.10770343495146124</v>
      </c>
      <c r="W20">
        <v>4.3470046789374515E-2</v>
      </c>
      <c r="X20">
        <v>1.0733645232493788E-2</v>
      </c>
      <c r="Y20">
        <v>7.9404604400673037E-3</v>
      </c>
      <c r="Z20">
        <v>1.0000000000000002</v>
      </c>
      <c r="AB20">
        <v>1.0381743926737157</v>
      </c>
      <c r="AC20">
        <v>5.3649083537966099E-3</v>
      </c>
      <c r="AD20">
        <v>0.30542583917770877</v>
      </c>
      <c r="AE20">
        <v>5.9648258678461318E-2</v>
      </c>
      <c r="AF20">
        <v>4.9861490781675559E-2</v>
      </c>
      <c r="AG20">
        <v>0.16940871010424877</v>
      </c>
      <c r="AH20">
        <v>0.13674966927615831</v>
      </c>
      <c r="AI20">
        <v>3.3766295278750934E-2</v>
      </c>
      <c r="AJ20">
        <v>1.7983995643245156</v>
      </c>
      <c r="AL20">
        <v>0.57727682616719111</v>
      </c>
      <c r="AM20">
        <v>2.9831570582100789E-3</v>
      </c>
      <c r="AN20">
        <v>0.16983202467157382</v>
      </c>
      <c r="AO20">
        <v>3.3167411659636041E-2</v>
      </c>
      <c r="AP20">
        <v>2.7725479793698507E-2</v>
      </c>
      <c r="AQ20">
        <v>9.4199705930133049E-2</v>
      </c>
      <c r="AR20">
        <v>7.6039647689484346E-2</v>
      </c>
      <c r="AS20">
        <v>1.8775747030073186E-2</v>
      </c>
      <c r="AT20">
        <v>1.0000000000000002</v>
      </c>
    </row>
    <row r="21" spans="1:46">
      <c r="A21">
        <v>99.999999999999986</v>
      </c>
      <c r="B21">
        <v>1</v>
      </c>
      <c r="C21">
        <v>5</v>
      </c>
      <c r="D21">
        <v>4004.9</v>
      </c>
      <c r="F21">
        <v>1.0324386225484465</v>
      </c>
      <c r="G21">
        <v>5.3352679761513241E-3</v>
      </c>
      <c r="H21">
        <v>0.15186920180107069</v>
      </c>
      <c r="I21">
        <v>5.931871028797258E-2</v>
      </c>
      <c r="J21">
        <v>4.9586012932053045E-2</v>
      </c>
      <c r="K21">
        <v>0.1783249580044724</v>
      </c>
      <c r="L21">
        <v>6.79970731207417E-2</v>
      </c>
      <c r="M21">
        <v>1.6789870580594387E-2</v>
      </c>
      <c r="N21">
        <v>1.248969600079934E-2</v>
      </c>
      <c r="O21">
        <v>1.5741494132523024</v>
      </c>
      <c r="Q21">
        <v>0.65587079209676569</v>
      </c>
      <c r="R21">
        <v>3.3893021407213745E-3</v>
      </c>
      <c r="S21">
        <v>9.6476992922354385E-2</v>
      </c>
      <c r="T21">
        <v>3.7683024107232607E-2</v>
      </c>
      <c r="U21">
        <v>3.1500194654079806E-2</v>
      </c>
      <c r="V21">
        <v>0.11328337482020885</v>
      </c>
      <c r="W21">
        <v>4.3196073097187773E-2</v>
      </c>
      <c r="X21">
        <v>1.0665995514304671E-2</v>
      </c>
      <c r="Y21">
        <v>7.9342506471445796E-3</v>
      </c>
      <c r="Z21">
        <v>0.99999999999999978</v>
      </c>
      <c r="AB21">
        <v>1.0324386225484465</v>
      </c>
      <c r="AC21">
        <v>5.3352679761513241E-3</v>
      </c>
      <c r="AD21">
        <v>0.30373840360214138</v>
      </c>
      <c r="AE21">
        <v>5.931871028797258E-2</v>
      </c>
      <c r="AF21">
        <v>4.9586012932053045E-2</v>
      </c>
      <c r="AG21">
        <v>0.1783249580044724</v>
      </c>
      <c r="AH21">
        <v>0.1359941462414834</v>
      </c>
      <c r="AI21">
        <v>3.3579741161188774E-2</v>
      </c>
      <c r="AJ21">
        <v>1.7983158627539093</v>
      </c>
      <c r="AL21">
        <v>0.57411417200501591</v>
      </c>
      <c r="AM21">
        <v>2.966813609696457E-3</v>
      </c>
      <c r="AN21">
        <v>0.1689015872534215</v>
      </c>
      <c r="AO21">
        <v>3.2985701520272949E-2</v>
      </c>
      <c r="AP21">
        <v>2.7573583684079778E-2</v>
      </c>
      <c r="AQ21">
        <v>9.9162200422004118E-2</v>
      </c>
      <c r="AR21">
        <v>7.5623058806379179E-2</v>
      </c>
      <c r="AS21">
        <v>1.8672882699130144E-2</v>
      </c>
      <c r="AT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Pinatubo 850˚C</vt:lpstr>
      <vt:lpstr>DATASET</vt:lpstr>
      <vt:lpstr>PySulfSatFormat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Masotta</dc:creator>
  <cp:lastModifiedBy>Penny Wieser</cp:lastModifiedBy>
  <dcterms:created xsi:type="dcterms:W3CDTF">2015-01-29T07:55:38Z</dcterms:created>
  <dcterms:modified xsi:type="dcterms:W3CDTF">2024-01-04T20:32:11Z</dcterms:modified>
</cp:coreProperties>
</file>