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13_ncr:1_{9DEC75BA-3F67-4058-9C4B-CC8524871211}" xr6:coauthVersionLast="47" xr6:coauthVersionMax="47" xr10:uidLastSave="{00000000-0000-0000-0000-000000000000}"/>
  <bookViews>
    <workbookView xWindow="-110" yWindow="-110" windowWidth="19420" windowHeight="10540" activeTab="1" xr2:uid="{395FFA75-1094-42DA-8931-270E0BA84E8B}"/>
  </bookViews>
  <sheets>
    <sheet name="ONeill_Supplement" sheetId="2" r:id="rId1"/>
    <sheet name="BoullWood_Sup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P27" i="1"/>
  <c r="L27" i="1"/>
  <c r="AM13" i="2" l="1"/>
  <c r="U12" i="2"/>
  <c r="AH12" i="2"/>
  <c r="AG12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Q12" i="2"/>
  <c r="AD19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Q24" i="2"/>
  <c r="AQ40" i="2"/>
  <c r="AQ41" i="2"/>
  <c r="AE53" i="2"/>
  <c r="AC53" i="2"/>
  <c r="AB53" i="2"/>
  <c r="AA53" i="2"/>
  <c r="Z53" i="2"/>
  <c r="AQ53" i="2" s="1"/>
  <c r="Y53" i="2"/>
  <c r="X53" i="2"/>
  <c r="W53" i="2"/>
  <c r="V53" i="2"/>
  <c r="U53" i="2"/>
  <c r="P53" i="2"/>
  <c r="AE52" i="2"/>
  <c r="AC52" i="2"/>
  <c r="AB52" i="2"/>
  <c r="AA52" i="2"/>
  <c r="Z52" i="2"/>
  <c r="AQ52" i="2" s="1"/>
  <c r="Y52" i="2"/>
  <c r="X52" i="2"/>
  <c r="W52" i="2"/>
  <c r="V52" i="2"/>
  <c r="U52" i="2"/>
  <c r="P52" i="2"/>
  <c r="AE51" i="2"/>
  <c r="AC51" i="2"/>
  <c r="AB51" i="2"/>
  <c r="AA51" i="2"/>
  <c r="Z51" i="2"/>
  <c r="AQ51" i="2" s="1"/>
  <c r="Y51" i="2"/>
  <c r="X51" i="2"/>
  <c r="W51" i="2"/>
  <c r="V51" i="2"/>
  <c r="U51" i="2"/>
  <c r="P51" i="2"/>
  <c r="AE50" i="2"/>
  <c r="AC50" i="2"/>
  <c r="AD50" i="2" s="1"/>
  <c r="AB50" i="2"/>
  <c r="AA50" i="2"/>
  <c r="AQ50" i="2" s="1"/>
  <c r="Z50" i="2"/>
  <c r="Y50" i="2"/>
  <c r="R50" i="2" s="1"/>
  <c r="X50" i="2"/>
  <c r="W50" i="2"/>
  <c r="V50" i="2"/>
  <c r="U50" i="2"/>
  <c r="P50" i="2"/>
  <c r="AE49" i="2"/>
  <c r="AC49" i="2"/>
  <c r="AB49" i="2"/>
  <c r="AA49" i="2"/>
  <c r="Z49" i="2"/>
  <c r="AQ49" i="2" s="1"/>
  <c r="Y49" i="2"/>
  <c r="X49" i="2"/>
  <c r="W49" i="2"/>
  <c r="V49" i="2"/>
  <c r="U49" i="2"/>
  <c r="P49" i="2"/>
  <c r="AE48" i="2"/>
  <c r="AC48" i="2"/>
  <c r="AB48" i="2"/>
  <c r="AA48" i="2"/>
  <c r="Z48" i="2"/>
  <c r="AQ48" i="2" s="1"/>
  <c r="Y48" i="2"/>
  <c r="X48" i="2"/>
  <c r="W48" i="2"/>
  <c r="V48" i="2"/>
  <c r="U48" i="2"/>
  <c r="P48" i="2"/>
  <c r="AE47" i="2"/>
  <c r="AC47" i="2"/>
  <c r="AB47" i="2"/>
  <c r="AA47" i="2"/>
  <c r="Z47" i="2"/>
  <c r="AQ47" i="2" s="1"/>
  <c r="Y47" i="2"/>
  <c r="X47" i="2"/>
  <c r="W47" i="2"/>
  <c r="V47" i="2"/>
  <c r="U47" i="2"/>
  <c r="P47" i="2"/>
  <c r="AE46" i="2"/>
  <c r="AC46" i="2"/>
  <c r="AB46" i="2"/>
  <c r="AA46" i="2"/>
  <c r="Z46" i="2"/>
  <c r="AQ46" i="2" s="1"/>
  <c r="Y46" i="2"/>
  <c r="X46" i="2"/>
  <c r="W46" i="2"/>
  <c r="V46" i="2"/>
  <c r="U46" i="2"/>
  <c r="P46" i="2"/>
  <c r="AE45" i="2"/>
  <c r="AC45" i="2"/>
  <c r="AD45" i="2" s="1"/>
  <c r="AB45" i="2"/>
  <c r="AA45" i="2"/>
  <c r="Z45" i="2"/>
  <c r="AQ45" i="2" s="1"/>
  <c r="Y45" i="2"/>
  <c r="X45" i="2"/>
  <c r="W45" i="2"/>
  <c r="V45" i="2"/>
  <c r="U45" i="2"/>
  <c r="R45" i="2" s="1"/>
  <c r="P45" i="2"/>
  <c r="AI45" i="2" s="1"/>
  <c r="AE44" i="2"/>
  <c r="AC44" i="2"/>
  <c r="AB44" i="2"/>
  <c r="AA44" i="2"/>
  <c r="Z44" i="2"/>
  <c r="AQ44" i="2" s="1"/>
  <c r="Y44" i="2"/>
  <c r="R44" i="2" s="1"/>
  <c r="S44" i="2" s="1"/>
  <c r="X44" i="2"/>
  <c r="W44" i="2"/>
  <c r="V44" i="2"/>
  <c r="U44" i="2"/>
  <c r="P44" i="2"/>
  <c r="AE43" i="2"/>
  <c r="AC43" i="2"/>
  <c r="AB43" i="2"/>
  <c r="AA43" i="2"/>
  <c r="Z43" i="2"/>
  <c r="AQ43" i="2" s="1"/>
  <c r="Y43" i="2"/>
  <c r="X43" i="2"/>
  <c r="W43" i="2"/>
  <c r="V43" i="2"/>
  <c r="U43" i="2"/>
  <c r="P43" i="2"/>
  <c r="AE42" i="2"/>
  <c r="AC42" i="2"/>
  <c r="AB42" i="2"/>
  <c r="AA42" i="2"/>
  <c r="Z42" i="2"/>
  <c r="Y42" i="2"/>
  <c r="X42" i="2"/>
  <c r="AQ42" i="2" s="1"/>
  <c r="W42" i="2"/>
  <c r="V42" i="2"/>
  <c r="U42" i="2"/>
  <c r="P42" i="2"/>
  <c r="AI42" i="2" s="1"/>
  <c r="AE41" i="2"/>
  <c r="AC41" i="2"/>
  <c r="AB41" i="2"/>
  <c r="AA41" i="2"/>
  <c r="Z41" i="2"/>
  <c r="Y41" i="2"/>
  <c r="R41" i="2" s="1"/>
  <c r="X41" i="2"/>
  <c r="W41" i="2"/>
  <c r="V41" i="2"/>
  <c r="U41" i="2"/>
  <c r="P41" i="2"/>
  <c r="AE40" i="2"/>
  <c r="AC40" i="2"/>
  <c r="AB40" i="2"/>
  <c r="AA40" i="2"/>
  <c r="Z40" i="2"/>
  <c r="Y40" i="2"/>
  <c r="X40" i="2"/>
  <c r="W40" i="2"/>
  <c r="V40" i="2"/>
  <c r="U40" i="2"/>
  <c r="AI40" i="2"/>
  <c r="P40" i="2"/>
  <c r="AE39" i="2"/>
  <c r="AC39" i="2"/>
  <c r="AB39" i="2"/>
  <c r="AA39" i="2"/>
  <c r="Z39" i="2"/>
  <c r="AQ39" i="2" s="1"/>
  <c r="Y39" i="2"/>
  <c r="X39" i="2"/>
  <c r="W39" i="2"/>
  <c r="V39" i="2"/>
  <c r="U39" i="2"/>
  <c r="P39" i="2"/>
  <c r="AE38" i="2"/>
  <c r="AC38" i="2"/>
  <c r="AD38" i="2" s="1"/>
  <c r="AB38" i="2"/>
  <c r="AA38" i="2"/>
  <c r="Z38" i="2"/>
  <c r="AQ38" i="2" s="1"/>
  <c r="Y38" i="2"/>
  <c r="X38" i="2"/>
  <c r="W38" i="2"/>
  <c r="V38" i="2"/>
  <c r="U38" i="2"/>
  <c r="P38" i="2"/>
  <c r="AE37" i="2"/>
  <c r="AC37" i="2"/>
  <c r="AB37" i="2"/>
  <c r="AA37" i="2"/>
  <c r="Z37" i="2"/>
  <c r="AQ37" i="2" s="1"/>
  <c r="Y37" i="2"/>
  <c r="X37" i="2"/>
  <c r="W37" i="2"/>
  <c r="V37" i="2"/>
  <c r="U37" i="2"/>
  <c r="R37" i="2" s="1"/>
  <c r="P37" i="2"/>
  <c r="AE36" i="2"/>
  <c r="AD36" i="2" s="1"/>
  <c r="AC36" i="2"/>
  <c r="AB36" i="2"/>
  <c r="AA36" i="2"/>
  <c r="Z36" i="2"/>
  <c r="AQ36" i="2" s="1"/>
  <c r="Y36" i="2"/>
  <c r="X36" i="2"/>
  <c r="W36" i="2"/>
  <c r="V36" i="2"/>
  <c r="U36" i="2"/>
  <c r="P36" i="2"/>
  <c r="AE35" i="2"/>
  <c r="AC35" i="2"/>
  <c r="AB35" i="2"/>
  <c r="AA35" i="2"/>
  <c r="Z35" i="2"/>
  <c r="AQ35" i="2" s="1"/>
  <c r="Y35" i="2"/>
  <c r="X35" i="2"/>
  <c r="W35" i="2"/>
  <c r="V35" i="2"/>
  <c r="U35" i="2"/>
  <c r="P35" i="2"/>
  <c r="AI35" i="2" s="1"/>
  <c r="AE34" i="2"/>
  <c r="AC34" i="2"/>
  <c r="AB34" i="2"/>
  <c r="AA34" i="2"/>
  <c r="Z34" i="2"/>
  <c r="AQ34" i="2" s="1"/>
  <c r="Y34" i="2"/>
  <c r="X34" i="2"/>
  <c r="W34" i="2"/>
  <c r="V34" i="2"/>
  <c r="U34" i="2"/>
  <c r="R34" i="2" s="1"/>
  <c r="P34" i="2"/>
  <c r="AE33" i="2"/>
  <c r="AC33" i="2"/>
  <c r="AB33" i="2"/>
  <c r="AA33" i="2"/>
  <c r="Z33" i="2"/>
  <c r="AQ33" i="2" s="1"/>
  <c r="Y33" i="2"/>
  <c r="X33" i="2"/>
  <c r="W33" i="2"/>
  <c r="V33" i="2"/>
  <c r="U33" i="2"/>
  <c r="P33" i="2"/>
  <c r="AE32" i="2"/>
  <c r="AC32" i="2"/>
  <c r="AB32" i="2"/>
  <c r="AA32" i="2"/>
  <c r="Z32" i="2"/>
  <c r="AQ32" i="2" s="1"/>
  <c r="Y32" i="2"/>
  <c r="X32" i="2"/>
  <c r="W32" i="2"/>
  <c r="V32" i="2"/>
  <c r="U32" i="2"/>
  <c r="P32" i="2"/>
  <c r="AE31" i="2"/>
  <c r="AD31" i="2" s="1"/>
  <c r="AC31" i="2"/>
  <c r="AB31" i="2"/>
  <c r="AA31" i="2"/>
  <c r="Z31" i="2"/>
  <c r="AQ31" i="2" s="1"/>
  <c r="Y31" i="2"/>
  <c r="X31" i="2"/>
  <c r="W31" i="2"/>
  <c r="V31" i="2"/>
  <c r="U31" i="2"/>
  <c r="P31" i="2"/>
  <c r="AE30" i="2"/>
  <c r="AD30" i="2"/>
  <c r="AC30" i="2"/>
  <c r="AB30" i="2"/>
  <c r="AA30" i="2"/>
  <c r="Z30" i="2"/>
  <c r="AQ30" i="2" s="1"/>
  <c r="Y30" i="2"/>
  <c r="X30" i="2"/>
  <c r="W30" i="2"/>
  <c r="V30" i="2"/>
  <c r="U30" i="2"/>
  <c r="P30" i="2"/>
  <c r="AE29" i="2"/>
  <c r="AC29" i="2"/>
  <c r="AB29" i="2"/>
  <c r="AA29" i="2"/>
  <c r="Z29" i="2"/>
  <c r="AQ29" i="2" s="1"/>
  <c r="Y29" i="2"/>
  <c r="R29" i="2" s="1"/>
  <c r="X29" i="2"/>
  <c r="W29" i="2"/>
  <c r="V29" i="2"/>
  <c r="U29" i="2"/>
  <c r="P29" i="2"/>
  <c r="AI29" i="2" s="1"/>
  <c r="AE28" i="2"/>
  <c r="AC28" i="2"/>
  <c r="AB28" i="2"/>
  <c r="AA28" i="2"/>
  <c r="Z28" i="2"/>
  <c r="AQ28" i="2" s="1"/>
  <c r="Y28" i="2"/>
  <c r="X28" i="2"/>
  <c r="W28" i="2"/>
  <c r="V28" i="2"/>
  <c r="U28" i="2"/>
  <c r="P28" i="2"/>
  <c r="AE27" i="2"/>
  <c r="AC27" i="2"/>
  <c r="AB27" i="2"/>
  <c r="AA27" i="2"/>
  <c r="Z27" i="2"/>
  <c r="AQ27" i="2" s="1"/>
  <c r="Y27" i="2"/>
  <c r="X27" i="2"/>
  <c r="W27" i="2"/>
  <c r="V27" i="2"/>
  <c r="U27" i="2"/>
  <c r="R27" i="2"/>
  <c r="P27" i="2"/>
  <c r="AE26" i="2"/>
  <c r="AC26" i="2"/>
  <c r="AB26" i="2"/>
  <c r="AA26" i="2"/>
  <c r="AQ26" i="2" s="1"/>
  <c r="Z26" i="2"/>
  <c r="Y26" i="2"/>
  <c r="X26" i="2"/>
  <c r="W26" i="2"/>
  <c r="V26" i="2"/>
  <c r="U26" i="2"/>
  <c r="P26" i="2"/>
  <c r="AI26" i="2" s="1"/>
  <c r="AE25" i="2"/>
  <c r="AC25" i="2"/>
  <c r="AB25" i="2"/>
  <c r="AA25" i="2"/>
  <c r="AQ25" i="2" s="1"/>
  <c r="Z25" i="2"/>
  <c r="Y25" i="2"/>
  <c r="X25" i="2"/>
  <c r="W25" i="2"/>
  <c r="V25" i="2"/>
  <c r="U25" i="2"/>
  <c r="P25" i="2"/>
  <c r="AE24" i="2"/>
  <c r="AC24" i="2"/>
  <c r="AB24" i="2"/>
  <c r="AA24" i="2"/>
  <c r="Z24" i="2"/>
  <c r="Y24" i="2"/>
  <c r="X24" i="2"/>
  <c r="W24" i="2"/>
  <c r="V24" i="2"/>
  <c r="U24" i="2"/>
  <c r="P24" i="2"/>
  <c r="AI24" i="2" s="1"/>
  <c r="AE23" i="2"/>
  <c r="AC23" i="2"/>
  <c r="AB23" i="2"/>
  <c r="AA23" i="2"/>
  <c r="Z23" i="2"/>
  <c r="AQ23" i="2" s="1"/>
  <c r="Y23" i="2"/>
  <c r="X23" i="2"/>
  <c r="W23" i="2"/>
  <c r="V23" i="2"/>
  <c r="U23" i="2"/>
  <c r="P23" i="2"/>
  <c r="AE22" i="2"/>
  <c r="AC22" i="2"/>
  <c r="AB22" i="2"/>
  <c r="AA22" i="2"/>
  <c r="Z22" i="2"/>
  <c r="AQ22" i="2" s="1"/>
  <c r="Y22" i="2"/>
  <c r="X22" i="2"/>
  <c r="W22" i="2"/>
  <c r="V22" i="2"/>
  <c r="U22" i="2"/>
  <c r="P22" i="2"/>
  <c r="AE21" i="2"/>
  <c r="AC21" i="2"/>
  <c r="AB21" i="2"/>
  <c r="AA21" i="2"/>
  <c r="Z21" i="2"/>
  <c r="AQ21" i="2" s="1"/>
  <c r="Y21" i="2"/>
  <c r="X21" i="2"/>
  <c r="W21" i="2"/>
  <c r="V21" i="2"/>
  <c r="U21" i="2"/>
  <c r="P21" i="2"/>
  <c r="AE20" i="2"/>
  <c r="AC20" i="2"/>
  <c r="AB20" i="2"/>
  <c r="AA20" i="2"/>
  <c r="Z20" i="2"/>
  <c r="AQ20" i="2" s="1"/>
  <c r="Y20" i="2"/>
  <c r="X20" i="2"/>
  <c r="W20" i="2"/>
  <c r="V20" i="2"/>
  <c r="U20" i="2"/>
  <c r="P20" i="2"/>
  <c r="AE19" i="2"/>
  <c r="AC19" i="2"/>
  <c r="AB19" i="2"/>
  <c r="AA19" i="2"/>
  <c r="Z19" i="2"/>
  <c r="AQ19" i="2" s="1"/>
  <c r="Y19" i="2"/>
  <c r="R19" i="2" s="1"/>
  <c r="S19" i="2" s="1"/>
  <c r="X19" i="2"/>
  <c r="W19" i="2"/>
  <c r="V19" i="2"/>
  <c r="U19" i="2"/>
  <c r="AI19" i="2"/>
  <c r="P19" i="2"/>
  <c r="AE18" i="2"/>
  <c r="AC18" i="2"/>
  <c r="AB18" i="2"/>
  <c r="AA18" i="2"/>
  <c r="Z18" i="2"/>
  <c r="AQ18" i="2" s="1"/>
  <c r="Y18" i="2"/>
  <c r="X18" i="2"/>
  <c r="W18" i="2"/>
  <c r="V18" i="2"/>
  <c r="U18" i="2"/>
  <c r="R18" i="2" s="1"/>
  <c r="P18" i="2"/>
  <c r="AE17" i="2"/>
  <c r="AC17" i="2"/>
  <c r="AB17" i="2"/>
  <c r="AA17" i="2"/>
  <c r="Z17" i="2"/>
  <c r="AQ17" i="2" s="1"/>
  <c r="Y17" i="2"/>
  <c r="X17" i="2"/>
  <c r="W17" i="2"/>
  <c r="V17" i="2"/>
  <c r="U17" i="2"/>
  <c r="P17" i="2"/>
  <c r="AE16" i="2"/>
  <c r="AC16" i="2"/>
  <c r="AB16" i="2"/>
  <c r="AA16" i="2"/>
  <c r="Z16" i="2"/>
  <c r="AQ16" i="2" s="1"/>
  <c r="Y16" i="2"/>
  <c r="X16" i="2"/>
  <c r="W16" i="2"/>
  <c r="V16" i="2"/>
  <c r="U16" i="2"/>
  <c r="P16" i="2"/>
  <c r="AE15" i="2"/>
  <c r="AC15" i="2"/>
  <c r="AB15" i="2"/>
  <c r="AA15" i="2"/>
  <c r="Z15" i="2"/>
  <c r="AQ15" i="2" s="1"/>
  <c r="Y15" i="2"/>
  <c r="X15" i="2"/>
  <c r="W15" i="2"/>
  <c r="V15" i="2"/>
  <c r="U15" i="2"/>
  <c r="P15" i="2"/>
  <c r="AE14" i="2"/>
  <c r="AC14" i="2"/>
  <c r="AB14" i="2"/>
  <c r="AA14" i="2"/>
  <c r="Z14" i="2"/>
  <c r="AQ14" i="2" s="1"/>
  <c r="Y14" i="2"/>
  <c r="X14" i="2"/>
  <c r="W14" i="2"/>
  <c r="V14" i="2"/>
  <c r="U14" i="2"/>
  <c r="P14" i="2"/>
  <c r="AE13" i="2"/>
  <c r="AC13" i="2"/>
  <c r="AB13" i="2"/>
  <c r="AA13" i="2"/>
  <c r="Z13" i="2"/>
  <c r="AQ13" i="2" s="1"/>
  <c r="Y13" i="2"/>
  <c r="X13" i="2"/>
  <c r="W13" i="2"/>
  <c r="V13" i="2"/>
  <c r="U13" i="2"/>
  <c r="R13" i="2" s="1"/>
  <c r="P13" i="2"/>
  <c r="AI13" i="2" s="1"/>
  <c r="AE12" i="2"/>
  <c r="AC12" i="2"/>
  <c r="AB12" i="2"/>
  <c r="AA12" i="2"/>
  <c r="Z12" i="2"/>
  <c r="Y12" i="2"/>
  <c r="X12" i="2"/>
  <c r="W12" i="2"/>
  <c r="V12" i="2"/>
  <c r="P12" i="2"/>
  <c r="O27" i="1"/>
  <c r="N27" i="1"/>
  <c r="Q11" i="1"/>
  <c r="P11" i="1"/>
  <c r="O11" i="1"/>
  <c r="N11" i="1"/>
  <c r="M11" i="1"/>
  <c r="L11" i="1"/>
  <c r="K11" i="1"/>
  <c r="J11" i="1"/>
  <c r="I11" i="1"/>
  <c r="T7" i="1"/>
  <c r="I7" i="1"/>
  <c r="AR12" i="2" l="1"/>
  <c r="AS12" i="2" s="1"/>
  <c r="AD17" i="2"/>
  <c r="AD27" i="2"/>
  <c r="AD40" i="2"/>
  <c r="AD20" i="2"/>
  <c r="AD43" i="2"/>
  <c r="AH43" i="2" s="1"/>
  <c r="R12" i="2"/>
  <c r="AG31" i="2"/>
  <c r="AD49" i="2"/>
  <c r="R22" i="2"/>
  <c r="R25" i="2"/>
  <c r="AG47" i="2"/>
  <c r="AD29" i="2"/>
  <c r="R38" i="2"/>
  <c r="AG50" i="2"/>
  <c r="R20" i="2"/>
  <c r="R43" i="2"/>
  <c r="S43" i="2" s="1"/>
  <c r="R14" i="2"/>
  <c r="R30" i="2"/>
  <c r="S30" i="2" s="1"/>
  <c r="R39" i="2"/>
  <c r="S39" i="2" s="1"/>
  <c r="AD41" i="2"/>
  <c r="R23" i="2"/>
  <c r="S23" i="2" s="1"/>
  <c r="AD37" i="2"/>
  <c r="AD48" i="2"/>
  <c r="AD44" i="2"/>
  <c r="AD13" i="2"/>
  <c r="AD26" i="2"/>
  <c r="AD33" i="2"/>
  <c r="AH33" i="2" s="1"/>
  <c r="AD46" i="2"/>
  <c r="AH46" i="2" s="1"/>
  <c r="S34" i="2"/>
  <c r="AH19" i="2"/>
  <c r="AD15" i="2"/>
  <c r="AH15" i="2" s="1"/>
  <c r="R17" i="2"/>
  <c r="S17" i="2" s="1"/>
  <c r="AD22" i="2"/>
  <c r="AH22" i="2" s="1"/>
  <c r="R28" i="2"/>
  <c r="S28" i="2" s="1"/>
  <c r="R51" i="2"/>
  <c r="S51" i="2" s="1"/>
  <c r="AD52" i="2"/>
  <c r="AH52" i="2" s="1"/>
  <c r="R16" i="2"/>
  <c r="S16" i="2" s="1"/>
  <c r="AD25" i="2"/>
  <c r="AH25" i="2" s="1"/>
  <c r="AH48" i="2"/>
  <c r="R42" i="2"/>
  <c r="S42" i="2" s="1"/>
  <c r="R53" i="2"/>
  <c r="S53" i="2" s="1"/>
  <c r="AD14" i="2"/>
  <c r="AD32" i="2"/>
  <c r="AH32" i="2" s="1"/>
  <c r="R26" i="2"/>
  <c r="S26" i="2" s="1"/>
  <c r="R35" i="2"/>
  <c r="S35" i="2" s="1"/>
  <c r="AH36" i="2"/>
  <c r="R49" i="2"/>
  <c r="S49" i="2" s="1"/>
  <c r="AD51" i="2"/>
  <c r="AH51" i="2" s="1"/>
  <c r="AG15" i="2"/>
  <c r="R46" i="2"/>
  <c r="S46" i="2" s="1"/>
  <c r="AD47" i="2"/>
  <c r="AH47" i="2" s="1"/>
  <c r="R52" i="2"/>
  <c r="AD35" i="2"/>
  <c r="AH35" i="2" s="1"/>
  <c r="AH20" i="2"/>
  <c r="R48" i="2"/>
  <c r="S48" i="2" s="1"/>
  <c r="R33" i="2"/>
  <c r="S33" i="2" s="1"/>
  <c r="R21" i="2"/>
  <c r="S21" i="2" s="1"/>
  <c r="R32" i="2"/>
  <c r="S32" i="2" s="1"/>
  <c r="R36" i="2"/>
  <c r="S36" i="2" s="1"/>
  <c r="AD12" i="2"/>
  <c r="AD16" i="2"/>
  <c r="AH16" i="2" s="1"/>
  <c r="S18" i="2"/>
  <c r="AD24" i="2"/>
  <c r="AH24" i="2" s="1"/>
  <c r="AD28" i="2"/>
  <c r="AH28" i="2" s="1"/>
  <c r="S13" i="2"/>
  <c r="AD23" i="2"/>
  <c r="AH23" i="2" s="1"/>
  <c r="S29" i="2"/>
  <c r="S37" i="2"/>
  <c r="AD39" i="2"/>
  <c r="AH39" i="2" s="1"/>
  <c r="S45" i="2"/>
  <c r="AH30" i="2"/>
  <c r="AG18" i="2"/>
  <c r="AD42" i="2"/>
  <c r="AH42" i="2" s="1"/>
  <c r="AG34" i="2"/>
  <c r="AH50" i="2"/>
  <c r="AD21" i="2"/>
  <c r="AH21" i="2" s="1"/>
  <c r="AH41" i="2"/>
  <c r="AD53" i="2"/>
  <c r="AH53" i="2" s="1"/>
  <c r="S50" i="2"/>
  <c r="AH31" i="2"/>
  <c r="AI14" i="2"/>
  <c r="AG14" i="2"/>
  <c r="S22" i="2"/>
  <c r="AG38" i="2"/>
  <c r="AI38" i="2"/>
  <c r="AH38" i="2"/>
  <c r="AH14" i="2"/>
  <c r="S38" i="2"/>
  <c r="AI46" i="2"/>
  <c r="AG46" i="2"/>
  <c r="AI17" i="2"/>
  <c r="AG17" i="2"/>
  <c r="AI25" i="2"/>
  <c r="AG25" i="2"/>
  <c r="AI33" i="2"/>
  <c r="AG33" i="2"/>
  <c r="AI41" i="2"/>
  <c r="AG41" i="2"/>
  <c r="AI49" i="2"/>
  <c r="AG49" i="2"/>
  <c r="S14" i="2"/>
  <c r="AH17" i="2"/>
  <c r="AH13" i="2"/>
  <c r="AH27" i="2"/>
  <c r="AH29" i="2"/>
  <c r="AH45" i="2"/>
  <c r="AI12" i="2"/>
  <c r="AK12" i="2" s="1"/>
  <c r="AI16" i="2"/>
  <c r="AG16" i="2"/>
  <c r="AI20" i="2"/>
  <c r="AG20" i="2"/>
  <c r="S25" i="2"/>
  <c r="AI28" i="2"/>
  <c r="AG28" i="2"/>
  <c r="S20" i="2"/>
  <c r="AI32" i="2"/>
  <c r="AG32" i="2"/>
  <c r="AI36" i="2"/>
  <c r="AG36" i="2"/>
  <c r="S41" i="2"/>
  <c r="AI44" i="2"/>
  <c r="AG44" i="2"/>
  <c r="AI48" i="2"/>
  <c r="AG48" i="2"/>
  <c r="AI52" i="2"/>
  <c r="AG52" i="2"/>
  <c r="AH40" i="2"/>
  <c r="S52" i="2"/>
  <c r="AI23" i="2"/>
  <c r="AG23" i="2"/>
  <c r="S27" i="2"/>
  <c r="AG43" i="2"/>
  <c r="AI43" i="2"/>
  <c r="AH44" i="2"/>
  <c r="AG27" i="2"/>
  <c r="AI27" i="2"/>
  <c r="S12" i="2"/>
  <c r="AI39" i="2"/>
  <c r="AG39" i="2"/>
  <c r="AI51" i="2"/>
  <c r="AG51" i="2"/>
  <c r="AG22" i="2"/>
  <c r="AI22" i="2"/>
  <c r="AG13" i="2"/>
  <c r="AI15" i="2"/>
  <c r="R24" i="2"/>
  <c r="S24" i="2" s="1"/>
  <c r="AG29" i="2"/>
  <c r="AI31" i="2"/>
  <c r="R40" i="2"/>
  <c r="S40" i="2" s="1"/>
  <c r="AG45" i="2"/>
  <c r="AI47" i="2"/>
  <c r="R15" i="2"/>
  <c r="S15" i="2" s="1"/>
  <c r="AD18" i="2"/>
  <c r="AH18" i="2" s="1"/>
  <c r="R31" i="2"/>
  <c r="S31" i="2" s="1"/>
  <c r="AD34" i="2"/>
  <c r="AH34" i="2" s="1"/>
  <c r="R47" i="2"/>
  <c r="S47" i="2" s="1"/>
  <c r="AI18" i="2"/>
  <c r="AI34" i="2"/>
  <c r="AI50" i="2"/>
  <c r="AG30" i="2"/>
  <c r="AG21" i="2"/>
  <c r="AG37" i="2"/>
  <c r="AG53" i="2"/>
  <c r="AI30" i="2"/>
  <c r="AH37" i="2"/>
  <c r="AG19" i="2"/>
  <c r="AI21" i="2"/>
  <c r="AG35" i="2"/>
  <c r="AI37" i="2"/>
  <c r="AI53" i="2"/>
  <c r="AG26" i="2"/>
  <c r="AG42" i="2"/>
  <c r="AH26" i="2"/>
  <c r="AG24" i="2"/>
  <c r="AG40" i="2"/>
  <c r="AH49" i="2"/>
  <c r="R11" i="1"/>
  <c r="Q16" i="1" s="1"/>
  <c r="Q22" i="1" s="1"/>
  <c r="AJ50" i="2" l="1"/>
  <c r="AK50" i="2" s="1"/>
  <c r="AJ33" i="2"/>
  <c r="AK33" i="2" s="1"/>
  <c r="AJ47" i="2"/>
  <c r="AK47" i="2" s="1"/>
  <c r="AN47" i="2" s="1"/>
  <c r="AJ52" i="2"/>
  <c r="AK52" i="2" s="1"/>
  <c r="AJ19" i="2"/>
  <c r="AK19" i="2" s="1"/>
  <c r="AN19" i="2" s="1"/>
  <c r="AJ31" i="2"/>
  <c r="AK31" i="2" s="1"/>
  <c r="AM31" i="2" s="1"/>
  <c r="AO31" i="2" s="1"/>
  <c r="AJ35" i="2"/>
  <c r="AK35" i="2" s="1"/>
  <c r="AM35" i="2" s="1"/>
  <c r="AO35" i="2" s="1"/>
  <c r="AJ51" i="2"/>
  <c r="AK51" i="2" s="1"/>
  <c r="AN51" i="2" s="1"/>
  <c r="AJ46" i="2"/>
  <c r="AK46" i="2" s="1"/>
  <c r="AJ29" i="2"/>
  <c r="AK29" i="2" s="1"/>
  <c r="AN29" i="2" s="1"/>
  <c r="AJ32" i="2"/>
  <c r="AK32" i="2" s="1"/>
  <c r="AM32" i="2" s="1"/>
  <c r="AO32" i="2" s="1"/>
  <c r="AJ43" i="2"/>
  <c r="AK43" i="2" s="1"/>
  <c r="AN43" i="2" s="1"/>
  <c r="AJ26" i="2"/>
  <c r="AK26" i="2" s="1"/>
  <c r="AM26" i="2" s="1"/>
  <c r="AO26" i="2" s="1"/>
  <c r="AJ23" i="2"/>
  <c r="AK23" i="2" s="1"/>
  <c r="AM23" i="2" s="1"/>
  <c r="AO23" i="2" s="1"/>
  <c r="AJ27" i="2"/>
  <c r="AK27" i="2" s="1"/>
  <c r="AN27" i="2" s="1"/>
  <c r="AJ30" i="2"/>
  <c r="AK30" i="2" s="1"/>
  <c r="AM30" i="2" s="1"/>
  <c r="AO30" i="2" s="1"/>
  <c r="AJ39" i="2"/>
  <c r="AK39" i="2" s="1"/>
  <c r="AM39" i="2" s="1"/>
  <c r="AO39" i="2" s="1"/>
  <c r="AJ28" i="2"/>
  <c r="AK28" i="2" s="1"/>
  <c r="AM28" i="2" s="1"/>
  <c r="AO28" i="2" s="1"/>
  <c r="AJ14" i="2"/>
  <c r="AK14" i="2" s="1"/>
  <c r="AN14" i="2" s="1"/>
  <c r="AJ49" i="2"/>
  <c r="AK49" i="2" s="1"/>
  <c r="AN49" i="2" s="1"/>
  <c r="AJ15" i="2"/>
  <c r="AK15" i="2" s="1"/>
  <c r="AM15" i="2" s="1"/>
  <c r="AO15" i="2" s="1"/>
  <c r="AJ42" i="2"/>
  <c r="AK42" i="2" s="1"/>
  <c r="AN42" i="2" s="1"/>
  <c r="AJ48" i="2"/>
  <c r="AK48" i="2" s="1"/>
  <c r="AN48" i="2" s="1"/>
  <c r="AJ20" i="2"/>
  <c r="AK20" i="2" s="1"/>
  <c r="AM20" i="2" s="1"/>
  <c r="AO20" i="2" s="1"/>
  <c r="AJ41" i="2"/>
  <c r="AK41" i="2" s="1"/>
  <c r="AM41" i="2" s="1"/>
  <c r="AO41" i="2" s="1"/>
  <c r="AJ16" i="2"/>
  <c r="AK16" i="2" s="1"/>
  <c r="AN16" i="2" s="1"/>
  <c r="AJ36" i="2"/>
  <c r="AK36" i="2" s="1"/>
  <c r="AM36" i="2" s="1"/>
  <c r="AO36" i="2" s="1"/>
  <c r="AM19" i="2"/>
  <c r="AO19" i="2" s="1"/>
  <c r="AN30" i="2"/>
  <c r="AN39" i="2"/>
  <c r="AN20" i="2"/>
  <c r="AN41" i="2"/>
  <c r="AM43" i="2"/>
  <c r="AO43" i="2" s="1"/>
  <c r="AN33" i="2"/>
  <c r="AM33" i="2"/>
  <c r="AO33" i="2" s="1"/>
  <c r="AM47" i="2"/>
  <c r="AO47" i="2" s="1"/>
  <c r="AN12" i="2"/>
  <c r="AM12" i="2"/>
  <c r="AO12" i="2" s="1"/>
  <c r="AJ12" i="2"/>
  <c r="AK13" i="2" s="1"/>
  <c r="AN52" i="2"/>
  <c r="AM52" i="2"/>
  <c r="AO52" i="2" s="1"/>
  <c r="AJ53" i="2"/>
  <c r="AK53" i="2" s="1"/>
  <c r="AN50" i="2"/>
  <c r="AM50" i="2"/>
  <c r="AO50" i="2" s="1"/>
  <c r="AN31" i="2"/>
  <c r="AJ34" i="2"/>
  <c r="AK34" i="2" s="1"/>
  <c r="AJ25" i="2"/>
  <c r="AK25" i="2" s="1"/>
  <c r="AJ17" i="2"/>
  <c r="AK17" i="2" s="1"/>
  <c r="AJ37" i="2"/>
  <c r="AK37" i="2" s="1"/>
  <c r="AJ21" i="2"/>
  <c r="AK21" i="2" s="1"/>
  <c r="AJ22" i="2"/>
  <c r="AK22" i="2" s="1"/>
  <c r="AJ40" i="2"/>
  <c r="AK40" i="2" s="1"/>
  <c r="AJ38" i="2"/>
  <c r="AK38" i="2" s="1"/>
  <c r="AM51" i="2"/>
  <c r="AO51" i="2" s="1"/>
  <c r="AJ18" i="2"/>
  <c r="AK18" i="2" s="1"/>
  <c r="AM27" i="2"/>
  <c r="AO27" i="2" s="1"/>
  <c r="AJ44" i="2"/>
  <c r="AK44" i="2" s="1"/>
  <c r="AJ24" i="2"/>
  <c r="AK24" i="2" s="1"/>
  <c r="AN26" i="2"/>
  <c r="AN46" i="2"/>
  <c r="AM46" i="2"/>
  <c r="AO46" i="2" s="1"/>
  <c r="AJ45" i="2"/>
  <c r="AK45" i="2" s="1"/>
  <c r="O16" i="1"/>
  <c r="O22" i="1" s="1"/>
  <c r="N16" i="1"/>
  <c r="N22" i="1" s="1"/>
  <c r="M16" i="1"/>
  <c r="M22" i="1" s="1"/>
  <c r="L16" i="1"/>
  <c r="K16" i="1"/>
  <c r="K22" i="1" s="1"/>
  <c r="J16" i="1"/>
  <c r="J22" i="1" s="1"/>
  <c r="I16" i="1"/>
  <c r="I22" i="1" s="1"/>
  <c r="P16" i="1"/>
  <c r="AN23" i="2" l="1"/>
  <c r="AN32" i="2"/>
  <c r="AM29" i="2"/>
  <c r="AO29" i="2" s="1"/>
  <c r="AN35" i="2"/>
  <c r="AM48" i="2"/>
  <c r="AO48" i="2" s="1"/>
  <c r="AN28" i="2"/>
  <c r="AM14" i="2"/>
  <c r="AO14" i="2" s="1"/>
  <c r="AM49" i="2"/>
  <c r="AO49" i="2" s="1"/>
  <c r="AM42" i="2"/>
  <c r="AO42" i="2" s="1"/>
  <c r="AN15" i="2"/>
  <c r="AM16" i="2"/>
  <c r="AO16" i="2" s="1"/>
  <c r="AN36" i="2"/>
  <c r="AN25" i="2"/>
  <c r="AM25" i="2"/>
  <c r="AO25" i="2" s="1"/>
  <c r="AM24" i="2"/>
  <c r="AO24" i="2" s="1"/>
  <c r="AN24" i="2"/>
  <c r="AN34" i="2"/>
  <c r="AM34" i="2"/>
  <c r="AO34" i="2" s="1"/>
  <c r="AN44" i="2"/>
  <c r="AM44" i="2"/>
  <c r="AO44" i="2" s="1"/>
  <c r="AN18" i="2"/>
  <c r="AM18" i="2"/>
  <c r="AO18" i="2" s="1"/>
  <c r="AN53" i="2"/>
  <c r="AM53" i="2"/>
  <c r="AO53" i="2" s="1"/>
  <c r="AN38" i="2"/>
  <c r="AM38" i="2"/>
  <c r="AO38" i="2" s="1"/>
  <c r="AN40" i="2"/>
  <c r="AM40" i="2"/>
  <c r="AO40" i="2" s="1"/>
  <c r="AN13" i="2"/>
  <c r="AO13" i="2"/>
  <c r="AN45" i="2"/>
  <c r="AM45" i="2"/>
  <c r="AO45" i="2" s="1"/>
  <c r="AN22" i="2"/>
  <c r="AM22" i="2"/>
  <c r="AO22" i="2" s="1"/>
  <c r="AN21" i="2"/>
  <c r="AM21" i="2"/>
  <c r="AO21" i="2" s="1"/>
  <c r="AN37" i="2"/>
  <c r="AM37" i="2"/>
  <c r="AO37" i="2" s="1"/>
  <c r="AN17" i="2"/>
  <c r="AM17" i="2"/>
  <c r="AO17" i="2" s="1"/>
  <c r="P22" i="1"/>
  <c r="L22" i="1"/>
</calcChain>
</file>

<file path=xl/sharedStrings.xml><?xml version="1.0" encoding="utf-8"?>
<sst xmlns="http://schemas.openxmlformats.org/spreadsheetml/2006/main" count="124" uniqueCount="109">
  <si>
    <t>15 - Sulfate capacity calculation spreadsheet</t>
  </si>
  <si>
    <t>wt. %</t>
  </si>
  <si>
    <t xml:space="preserve">Temparature (K)    </t>
  </si>
  <si>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</si>
  <si>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</si>
  <si>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</si>
  <si>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</si>
  <si>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</si>
  <si>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</si>
  <si>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</si>
  <si>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</si>
  <si>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</si>
  <si>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</si>
  <si>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>Total</t>
  </si>
  <si>
    <t xml:space="preserve">Just need to modify the temperature (in Kelvin) you want for your calculation </t>
  </si>
  <si>
    <t>and the oxide proportions</t>
  </si>
  <si>
    <t>molar proportions</t>
  </si>
  <si>
    <t>sum</t>
  </si>
  <si>
    <t>Bigger than it should be</t>
  </si>
  <si>
    <t>Cells that can be modified are in grey</t>
  </si>
  <si>
    <t>Cation fraction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</si>
  <si>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</si>
  <si>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</si>
  <si>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</si>
  <si>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</si>
  <si>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</si>
  <si>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</si>
  <si>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</si>
  <si>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</si>
  <si>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</si>
  <si>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Smaller than it should be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</si>
  <si>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</si>
  <si>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</si>
  <si>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</si>
  <si>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</si>
  <si>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</si>
  <si>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</si>
  <si>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</si>
  <si>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</si>
  <si>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</si>
  <si>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Same as spreadsheet from Oneill</t>
  </si>
  <si>
    <t>LogCs(calc)</t>
  </si>
  <si>
    <t>err logCs calc</t>
  </si>
  <si>
    <t>Cs6_Boulling</t>
  </si>
  <si>
    <t>lnCs6_Boulling</t>
  </si>
  <si>
    <t>Table S6</t>
  </si>
  <si>
    <t>O'Neill, Hugh StC. and Mavrogenes, John A. The sulfate capacities of silicate melts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</si>
  <si>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</si>
  <si>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</si>
  <si>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</si>
  <si>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</si>
  <si>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</si>
  <si>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</si>
  <si>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</si>
  <si>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</si>
  <si>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</si>
  <si>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</si>
  <si>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S (ppm)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</si>
  <si>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</si>
  <si>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</si>
  <si>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</si>
  <si>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</si>
  <si>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</si>
  <si>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t>log fO2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</si>
  <si>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</si>
  <si>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</si>
  <si>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</si>
  <si>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</si>
  <si>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</si>
  <si>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</si>
  <si>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</si>
  <si>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>MnO</t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</si>
  <si>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</si>
  <si>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</si>
  <si>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</si>
  <si>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</si>
  <si>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</si>
  <si>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</si>
  <si>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</si>
  <si>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</si>
  <si>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</si>
  <si>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</si>
  <si>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</si>
  <si>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</si>
  <si>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</si>
  <si>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</si>
  <si>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</si>
  <si>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</si>
  <si>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</si>
  <si>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</si>
  <si>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</si>
  <si>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</si>
  <si>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</si>
  <si>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</si>
  <si>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</si>
  <si>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VG175</t>
  </si>
  <si>
    <t/>
  </si>
  <si>
    <t>Calcs using BOIlling and Wood</t>
  </si>
  <si>
    <t>LogCS6+_BW22</t>
  </si>
  <si>
    <t>CS6+</t>
  </si>
  <si>
    <t>lnC6S+</t>
  </si>
  <si>
    <t>Using temperature in celcius for Oneill</t>
  </si>
  <si>
    <t>Calc lnCs6+ Oneill using temperature in celcius</t>
  </si>
  <si>
    <t>LnCs6_Oneill_UsingKelvin</t>
  </si>
  <si>
    <t>Boulling and Wood</t>
  </si>
  <si>
    <t>Oneill and Mavrogenes 2022</t>
  </si>
  <si>
    <t>LnCs6_Oneill_UsingCelcius</t>
  </si>
  <si>
    <t>Oneill Mav</t>
  </si>
  <si>
    <t>Boulling and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</si>
</sst>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"/>
    <numFmt numFmtId="167" formatCode="0.000000"/>
    <numFmt numFmtId="168" formatCode="0.000"/>
    <numFmt numFmtId="169" formatCode="0.0E+00"/>
  </numFmts>
  <fonts count="10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  <font>
      <b/>
      <sz val="2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8" fillId="0" borderId="0"/>
  </cellStyleXfs>
  <cellXfs count="78">
    <xf numFmtId="0" fontId="0" fillId="0" borderId="0" xfId="0"/>
    <xf numFmtId="0" fontId="1" fillId="0" borderId="2" xfId="0" applyFont="1" applyBorder="1"/>
    <xf numFmtId="0" fontId="2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4" borderId="0" xfId="0" applyFont="1" applyFill="1"/>
    <xf numFmtId="0" fontId="0" fillId="4" borderId="0" xfId="0" applyFill="1"/>
    <xf numFmtId="2" fontId="0" fillId="0" borderId="0" xfId="0" applyNumberFormat="1" applyAlignment="1">
      <alignment horizontal="center"/>
    </xf>
    <xf numFmtId="0" fontId="3" fillId="0" borderId="0" xfId="0" applyFont="1"/>
    <xf numFmtId="0" fontId="0" fillId="5" borderId="0" xfId="0" applyFill="1"/>
    <xf numFmtId="167" fontId="0" fillId="0" borderId="0" xfId="0" applyNumberFormat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1" fontId="3" fillId="6" borderId="3" xfId="0" applyNumberFormat="1" applyFont="1" applyFill="1" applyBorder="1" applyAlignment="1">
      <alignment vertical="center"/>
    </xf>
    <xf numFmtId="2" fontId="3" fillId="6" borderId="5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wrapText="1"/>
    </xf>
    <xf numFmtId="2" fontId="3" fillId="7" borderId="7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" fontId="0" fillId="6" borderId="8" xfId="0" applyNumberFormat="1" applyFill="1" applyBorder="1" applyAlignment="1">
      <alignment vertical="center" wrapText="1"/>
    </xf>
    <xf numFmtId="2" fontId="0" fillId="6" borderId="9" xfId="0" applyNumberFormat="1" applyFill="1" applyBorder="1" applyAlignment="1">
      <alignment vertical="center" wrapText="1"/>
    </xf>
    <xf numFmtId="2" fontId="0" fillId="7" borderId="10" xfId="0" applyNumberFormat="1" applyFill="1" applyBorder="1" applyAlignment="1">
      <alignment horizontal="center" vertical="center" wrapText="1"/>
    </xf>
    <xf numFmtId="1" fontId="3" fillId="8" borderId="11" xfId="1" applyNumberFormat="1" applyFill="1" applyBorder="1" applyAlignment="1">
      <alignment horizontal="center" vertical="center" wrapText="1"/>
    </xf>
    <xf numFmtId="1" fontId="5" fillId="9" borderId="3" xfId="0" applyNumberFormat="1" applyFont="1" applyFill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1" fontId="3" fillId="10" borderId="19" xfId="0" applyNumberFormat="1" applyFont="1" applyFill="1" applyBorder="1" applyAlignment="1">
      <alignment horizontal="center" vertical="center"/>
    </xf>
    <xf numFmtId="2" fontId="3" fillId="10" borderId="19" xfId="0" applyNumberFormat="1" applyFont="1" applyFill="1" applyBorder="1" applyAlignment="1">
      <alignment horizontal="center" vertical="center"/>
    </xf>
    <xf numFmtId="2" fontId="3" fillId="11" borderId="19" xfId="0" applyNumberFormat="1" applyFont="1" applyFill="1" applyBorder="1" applyAlignment="1">
      <alignment horizontal="center" vertical="center"/>
    </xf>
    <xf numFmtId="168" fontId="3" fillId="11" borderId="19" xfId="0" applyNumberFormat="1" applyFont="1" applyFill="1" applyBorder="1" applyAlignment="1">
      <alignment horizontal="center" wrapText="1"/>
    </xf>
    <xf numFmtId="168" fontId="3" fillId="11" borderId="19" xfId="0" applyNumberFormat="1" applyFont="1" applyFill="1" applyBorder="1" applyAlignment="1">
      <alignment horizontal="center" vertical="center"/>
    </xf>
    <xf numFmtId="1" fontId="0" fillId="10" borderId="21" xfId="0" applyNumberFormat="1" applyFill="1" applyBorder="1" applyAlignment="1">
      <alignment horizontal="center"/>
    </xf>
    <xf numFmtId="1" fontId="0" fillId="10" borderId="22" xfId="0" applyNumberFormat="1" applyFill="1" applyBorder="1" applyAlignment="1">
      <alignment horizontal="center"/>
    </xf>
    <xf numFmtId="2" fontId="0" fillId="10" borderId="23" xfId="0" applyNumberFormat="1" applyFill="1" applyBorder="1" applyAlignment="1">
      <alignment horizontal="center"/>
    </xf>
    <xf numFmtId="2" fontId="0" fillId="10" borderId="22" xfId="0" applyNumberFormat="1" applyFill="1" applyBorder="1" applyAlignment="1">
      <alignment horizontal="center"/>
    </xf>
    <xf numFmtId="168" fontId="0" fillId="6" borderId="24" xfId="0" applyNumberFormat="1" applyFill="1" applyBorder="1" applyAlignment="1">
      <alignment horizontal="center"/>
    </xf>
    <xf numFmtId="168" fontId="0" fillId="6" borderId="21" xfId="0" applyNumberFormat="1" applyFill="1" applyBorder="1" applyAlignment="1">
      <alignment horizontal="center"/>
    </xf>
    <xf numFmtId="168" fontId="0" fillId="6" borderId="22" xfId="0" applyNumberFormat="1" applyFill="1" applyBorder="1" applyAlignment="1">
      <alignment horizontal="center"/>
    </xf>
    <xf numFmtId="2" fontId="0" fillId="12" borderId="25" xfId="0" applyNumberFormat="1" applyFill="1" applyBorder="1" applyAlignment="1">
      <alignment horizontal="center"/>
    </xf>
    <xf numFmtId="2" fontId="0" fillId="0" borderId="7" xfId="0" applyNumberFormat="1" applyBorder="1"/>
    <xf numFmtId="2" fontId="0" fillId="12" borderId="7" xfId="0" applyNumberFormat="1" applyFill="1" applyBorder="1"/>
    <xf numFmtId="2" fontId="0" fillId="13" borderId="7" xfId="0" applyNumberFormat="1" applyFill="1" applyBorder="1"/>
    <xf numFmtId="168" fontId="0" fillId="13" borderId="5" xfId="0" applyNumberFormat="1" applyFill="1" applyBorder="1"/>
    <xf numFmtId="169" fontId="0" fillId="0" borderId="0" xfId="0" applyNumberFormat="1"/>
    <xf numFmtId="2" fontId="0" fillId="10" borderId="21" xfId="0" applyNumberFormat="1" applyFill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6" borderId="0" xfId="0" applyFill="1"/>
    <xf numFmtId="0" fontId="0" fillId="8" borderId="0" xfId="0" applyFill="1"/>
    <xf numFmtId="0" fontId="3" fillId="5" borderId="0" xfId="0" applyFont="1" applyFill="1"/>
    <xf numFmtId="0" fontId="3" fillId="5" borderId="0" xfId="0" applyFont="1" applyFill="1" applyBorder="1"/>
    <xf numFmtId="0" fontId="9" fillId="0" borderId="0" xfId="0" applyFont="1"/>
    <xf numFmtId="0" fontId="0" fillId="5" borderId="0" xfId="0" applyFill="1" applyAlignment="1">
      <alignment wrapText="1"/>
    </xf>
    <xf numFmtId="1" fontId="3" fillId="10" borderId="12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2" fontId="3" fillId="11" borderId="3" xfId="0" applyNumberFormat="1" applyFont="1" applyFill="1" applyBorder="1" applyAlignment="1">
      <alignment horizontal="center" vertical="center"/>
    </xf>
    <xf numFmtId="2" fontId="3" fillId="11" borderId="4" xfId="0" applyNumberFormat="1" applyFont="1" applyFill="1" applyBorder="1" applyAlignment="1">
      <alignment horizontal="center" vertical="center"/>
    </xf>
    <xf numFmtId="2" fontId="0" fillId="0" borderId="5" xfId="0" applyNumberFormat="1" applyBorder="1"/>
    <xf numFmtId="1" fontId="3" fillId="10" borderId="16" xfId="0" applyNumberFormat="1" applyFont="1" applyFill="1" applyBorder="1" applyAlignment="1">
      <alignment horizontal="center" vertical="center"/>
    </xf>
    <xf numFmtId="1" fontId="3" fillId="10" borderId="17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Normal" xfId="0" builtinId="0"/>
    <cellStyle name="Normal 2" xfId="2" xr:uid="{1B62F0C1-B663-4A61-92CC-3E6DE7D3079E}"/>
    <cellStyle name="Total 2" xfId="1" xr:uid="{DCE3E9AD-8926-4599-AEB5-9A3E025145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Using Temp in Celcius ONeill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ONeill_Supplement!$AS$12:$AS$53</c:f>
              <c:numCache>
                <c:formatCode>General</c:formatCode>
                <c:ptCount val="42"/>
                <c:pt idx="0">
                  <c:v>20.393978067908986</c:v>
                </c:pt>
                <c:pt idx="1">
                  <c:v>20.762306886623808</c:v>
                </c:pt>
                <c:pt idx="2">
                  <c:v>21.197025173730395</c:v>
                </c:pt>
                <c:pt idx="3">
                  <c:v>20.443651914970232</c:v>
                </c:pt>
                <c:pt idx="4">
                  <c:v>19.872813610822607</c:v>
                </c:pt>
                <c:pt idx="5">
                  <c:v>18.434002373361349</c:v>
                </c:pt>
                <c:pt idx="6">
                  <c:v>19.072996564189769</c:v>
                </c:pt>
                <c:pt idx="7">
                  <c:v>19.565919921548826</c:v>
                </c:pt>
                <c:pt idx="8">
                  <c:v>18.474055898913157</c:v>
                </c:pt>
                <c:pt idx="9">
                  <c:v>17.853482089728939</c:v>
                </c:pt>
                <c:pt idx="10">
                  <c:v>18.959743127702879</c:v>
                </c:pt>
                <c:pt idx="11">
                  <c:v>18.295203185477281</c:v>
                </c:pt>
                <c:pt idx="12">
                  <c:v>20.153615424407445</c:v>
                </c:pt>
                <c:pt idx="13">
                  <c:v>17.221570764409829</c:v>
                </c:pt>
                <c:pt idx="14">
                  <c:v>16.875767435546251</c:v>
                </c:pt>
                <c:pt idx="15">
                  <c:v>17.588855670482079</c:v>
                </c:pt>
                <c:pt idx="16">
                  <c:v>18.174434768698994</c:v>
                </c:pt>
                <c:pt idx="17">
                  <c:v>15.299388253840117</c:v>
                </c:pt>
                <c:pt idx="18">
                  <c:v>17.017059750924801</c:v>
                </c:pt>
                <c:pt idx="19">
                  <c:v>16.232016034637724</c:v>
                </c:pt>
                <c:pt idx="20">
                  <c:v>17.407044169131193</c:v>
                </c:pt>
                <c:pt idx="21">
                  <c:v>16.781213085546408</c:v>
                </c:pt>
                <c:pt idx="22">
                  <c:v>18.587539395898371</c:v>
                </c:pt>
                <c:pt idx="23">
                  <c:v>14.982997942671213</c:v>
                </c:pt>
                <c:pt idx="24">
                  <c:v>18.68012929825359</c:v>
                </c:pt>
                <c:pt idx="25">
                  <c:v>19.016335337982657</c:v>
                </c:pt>
                <c:pt idx="26">
                  <c:v>18.29137761221336</c:v>
                </c:pt>
                <c:pt idx="27">
                  <c:v>15.822424731378053</c:v>
                </c:pt>
                <c:pt idx="28">
                  <c:v>15.184817145129768</c:v>
                </c:pt>
                <c:pt idx="29">
                  <c:v>16.139984594249125</c:v>
                </c:pt>
                <c:pt idx="30">
                  <c:v>16.678880101449014</c:v>
                </c:pt>
                <c:pt idx="31">
                  <c:v>14.019229689968897</c:v>
                </c:pt>
                <c:pt idx="32">
                  <c:v>15.607675073767199</c:v>
                </c:pt>
                <c:pt idx="33">
                  <c:v>14.867075099648419</c:v>
                </c:pt>
                <c:pt idx="34">
                  <c:v>16.005764592956027</c:v>
                </c:pt>
                <c:pt idx="35">
                  <c:v>15.325224534178572</c:v>
                </c:pt>
                <c:pt idx="36">
                  <c:v>17.218335706768872</c:v>
                </c:pt>
                <c:pt idx="37">
                  <c:v>13.17530418341955</c:v>
                </c:pt>
                <c:pt idx="38">
                  <c:v>17.120412238093135</c:v>
                </c:pt>
                <c:pt idx="39">
                  <c:v>17.456109006687775</c:v>
                </c:pt>
                <c:pt idx="40">
                  <c:v>16.821433366584284</c:v>
                </c:pt>
                <c:pt idx="41">
                  <c:v>14.453300626829403</c:v>
                </c:pt>
              </c:numCache>
            </c:numRef>
          </c:xVal>
          <c:yVal>
            <c:numRef>
              <c:f>ONeill_Supplement!$AU$12:$AU$53</c:f>
              <c:numCache>
                <c:formatCode>General</c:formatCode>
                <c:ptCount val="42"/>
                <c:pt idx="0">
                  <c:v>18.445220051222094</c:v>
                </c:pt>
                <c:pt idx="1">
                  <c:v>18.41709431360723</c:v>
                </c:pt>
                <c:pt idx="2">
                  <c:v>19.310294158447395</c:v>
                </c:pt>
                <c:pt idx="3">
                  <c:v>18.77006416910292</c:v>
                </c:pt>
                <c:pt idx="4">
                  <c:v>17.543475827708129</c:v>
                </c:pt>
                <c:pt idx="5">
                  <c:v>16.686808640680614</c:v>
                </c:pt>
                <c:pt idx="6">
                  <c:v>17.072743067500433</c:v>
                </c:pt>
                <c:pt idx="7">
                  <c:v>18.081102455532491</c:v>
                </c:pt>
                <c:pt idx="8">
                  <c:v>16.925224547910354</c:v>
                </c:pt>
                <c:pt idx="9">
                  <c:v>15.864967203681477</c:v>
                </c:pt>
                <c:pt idx="10">
                  <c:v>17.866348893730901</c:v>
                </c:pt>
                <c:pt idx="11">
                  <c:v>16.111444380189713</c:v>
                </c:pt>
                <c:pt idx="12">
                  <c:v>18.887364858765597</c:v>
                </c:pt>
                <c:pt idx="13">
                  <c:v>15.735374254563304</c:v>
                </c:pt>
                <c:pt idx="14">
                  <c:v>15.932769869935086</c:v>
                </c:pt>
                <c:pt idx="15">
                  <c:v>16.317139659794464</c:v>
                </c:pt>
                <c:pt idx="16">
                  <c:v>17.239643663830115</c:v>
                </c:pt>
                <c:pt idx="17">
                  <c:v>13.622504247904548</c:v>
                </c:pt>
                <c:pt idx="18">
                  <c:v>16.016789225192959</c:v>
                </c:pt>
                <c:pt idx="19">
                  <c:v>14.962073006901104</c:v>
                </c:pt>
                <c:pt idx="20">
                  <c:v>16.448351468839817</c:v>
                </c:pt>
                <c:pt idx="21">
                  <c:v>15.696775798877997</c:v>
                </c:pt>
                <c:pt idx="22">
                  <c:v>17.893463007135036</c:v>
                </c:pt>
                <c:pt idx="23">
                  <c:v>13.646520059610044</c:v>
                </c:pt>
                <c:pt idx="24">
                  <c:v>17.467893612429528</c:v>
                </c:pt>
                <c:pt idx="25">
                  <c:v>17.116922778114656</c:v>
                </c:pt>
                <c:pt idx="26">
                  <c:v>17.072966099989259</c:v>
                </c:pt>
                <c:pt idx="27">
                  <c:v>15.346496093702456</c:v>
                </c:pt>
                <c:pt idx="28">
                  <c:v>14.810974452171255</c:v>
                </c:pt>
                <c:pt idx="29">
                  <c:v>15.332689468581375</c:v>
                </c:pt>
                <c:pt idx="30">
                  <c:v>16.132542518614365</c:v>
                </c:pt>
                <c:pt idx="31">
                  <c:v>12.966494466647337</c:v>
                </c:pt>
                <c:pt idx="32">
                  <c:v>15.037201376701578</c:v>
                </c:pt>
                <c:pt idx="33">
                  <c:v>14.357478359631287</c:v>
                </c:pt>
                <c:pt idx="34">
                  <c:v>15.758941035914528</c:v>
                </c:pt>
                <c:pt idx="35">
                  <c:v>14.686705028693432</c:v>
                </c:pt>
                <c:pt idx="36">
                  <c:v>17.049638544764214</c:v>
                </c:pt>
                <c:pt idx="37">
                  <c:v>12.440673055207238</c:v>
                </c:pt>
                <c:pt idx="38">
                  <c:v>16.415122018172237</c:v>
                </c:pt>
                <c:pt idx="39">
                  <c:v>16.236787030737425</c:v>
                </c:pt>
                <c:pt idx="40">
                  <c:v>16.201963294388438</c:v>
                </c:pt>
                <c:pt idx="41">
                  <c:v>14.160195663034742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F-4982-8A74-07B98C2137DA}"/>
            </c:ext>
          </c:extLst>
        </c:ser>
        <c:ser>
          <c:idx val="1"/>
          <c:order val="1"/>
          <c:tx>
            <c:v>Using Temp in Kelvin ONeill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ONeill_Supplement!$AS$12:$AS$100</c:f>
              <c:numCache>
                <c:formatCode>General</c:formatCode>
                <c:ptCount val="89"/>
                <c:pt idx="0">
                  <c:v>20.393978067908986</c:v>
                </c:pt>
                <c:pt idx="1">
                  <c:v>20.762306886623808</c:v>
                </c:pt>
                <c:pt idx="2">
                  <c:v>21.197025173730395</c:v>
                </c:pt>
                <c:pt idx="3">
                  <c:v>20.443651914970232</c:v>
                </c:pt>
                <c:pt idx="4">
                  <c:v>19.872813610822607</c:v>
                </c:pt>
                <c:pt idx="5">
                  <c:v>18.434002373361349</c:v>
                </c:pt>
                <c:pt idx="6">
                  <c:v>19.072996564189769</c:v>
                </c:pt>
                <c:pt idx="7">
                  <c:v>19.565919921548826</c:v>
                </c:pt>
                <c:pt idx="8">
                  <c:v>18.474055898913157</c:v>
                </c:pt>
                <c:pt idx="9">
                  <c:v>17.853482089728939</c:v>
                </c:pt>
                <c:pt idx="10">
                  <c:v>18.959743127702879</c:v>
                </c:pt>
                <c:pt idx="11">
                  <c:v>18.295203185477281</c:v>
                </c:pt>
                <c:pt idx="12">
                  <c:v>20.153615424407445</c:v>
                </c:pt>
                <c:pt idx="13">
                  <c:v>17.221570764409829</c:v>
                </c:pt>
                <c:pt idx="14">
                  <c:v>16.875767435546251</c:v>
                </c:pt>
                <c:pt idx="15">
                  <c:v>17.588855670482079</c:v>
                </c:pt>
                <c:pt idx="16">
                  <c:v>18.174434768698994</c:v>
                </c:pt>
                <c:pt idx="17">
                  <c:v>15.299388253840117</c:v>
                </c:pt>
                <c:pt idx="18">
                  <c:v>17.017059750924801</c:v>
                </c:pt>
                <c:pt idx="19">
                  <c:v>16.232016034637724</c:v>
                </c:pt>
                <c:pt idx="20">
                  <c:v>17.407044169131193</c:v>
                </c:pt>
                <c:pt idx="21">
                  <c:v>16.781213085546408</c:v>
                </c:pt>
                <c:pt idx="22">
                  <c:v>18.587539395898371</c:v>
                </c:pt>
                <c:pt idx="23">
                  <c:v>14.982997942671213</c:v>
                </c:pt>
                <c:pt idx="24">
                  <c:v>18.68012929825359</c:v>
                </c:pt>
                <c:pt idx="25">
                  <c:v>19.016335337982657</c:v>
                </c:pt>
                <c:pt idx="26">
                  <c:v>18.29137761221336</c:v>
                </c:pt>
                <c:pt idx="27">
                  <c:v>15.822424731378053</c:v>
                </c:pt>
                <c:pt idx="28">
                  <c:v>15.184817145129768</c:v>
                </c:pt>
                <c:pt idx="29">
                  <c:v>16.139984594249125</c:v>
                </c:pt>
                <c:pt idx="30">
                  <c:v>16.678880101449014</c:v>
                </c:pt>
                <c:pt idx="31">
                  <c:v>14.019229689968897</c:v>
                </c:pt>
                <c:pt idx="32">
                  <c:v>15.607675073767199</c:v>
                </c:pt>
                <c:pt idx="33">
                  <c:v>14.867075099648419</c:v>
                </c:pt>
                <c:pt idx="34">
                  <c:v>16.005764592956027</c:v>
                </c:pt>
                <c:pt idx="35">
                  <c:v>15.325224534178572</c:v>
                </c:pt>
                <c:pt idx="36">
                  <c:v>17.218335706768872</c:v>
                </c:pt>
                <c:pt idx="37">
                  <c:v>13.17530418341955</c:v>
                </c:pt>
                <c:pt idx="38">
                  <c:v>17.120412238093135</c:v>
                </c:pt>
                <c:pt idx="39">
                  <c:v>17.456109006687775</c:v>
                </c:pt>
                <c:pt idx="40">
                  <c:v>16.821433366584284</c:v>
                </c:pt>
                <c:pt idx="41">
                  <c:v>14.453300626829403</c:v>
                </c:pt>
              </c:numCache>
            </c:numRef>
          </c:xVal>
          <c:yVal>
            <c:numRef>
              <c:f>ONeill_Supplement!$AH$12:$AH$100</c:f>
              <c:numCache>
                <c:formatCode>0.00</c:formatCode>
                <c:ptCount val="89"/>
                <c:pt idx="0">
                  <c:v>13.540260734193154</c:v>
                </c:pt>
                <c:pt idx="1">
                  <c:v>13.517347709659656</c:v>
                </c:pt>
                <c:pt idx="2">
                  <c:v>14.245005424397064</c:v>
                </c:pt>
                <c:pt idx="3">
                  <c:v>13.804899526764089</c:v>
                </c:pt>
                <c:pt idx="4">
                  <c:v>12.805642222165481</c:v>
                </c:pt>
                <c:pt idx="5">
                  <c:v>12.25807669130057</c:v>
                </c:pt>
                <c:pt idx="6">
                  <c:v>12.574831801953735</c:v>
                </c:pt>
                <c:pt idx="7">
                  <c:v>13.402441279983986</c:v>
                </c:pt>
                <c:pt idx="8">
                  <c:v>12.453756194936272</c:v>
                </c:pt>
                <c:pt idx="9">
                  <c:v>11.58355154602879</c:v>
                </c:pt>
                <c:pt idx="10">
                  <c:v>13.226182611400937</c:v>
                </c:pt>
                <c:pt idx="11">
                  <c:v>11.785847324515522</c:v>
                </c:pt>
                <c:pt idx="12">
                  <c:v>14.064179956307942</c:v>
                </c:pt>
                <c:pt idx="13">
                  <c:v>11.612540706250666</c:v>
                </c:pt>
                <c:pt idx="14">
                  <c:v>11.775677578458748</c:v>
                </c:pt>
                <c:pt idx="15">
                  <c:v>12.093338561813606</c:v>
                </c:pt>
                <c:pt idx="16">
                  <c:v>12.855738565148858</c:v>
                </c:pt>
                <c:pt idx="17">
                  <c:v>9.8663671470285514</c:v>
                </c:pt>
                <c:pt idx="18">
                  <c:v>11.845115062142941</c:v>
                </c:pt>
                <c:pt idx="19">
                  <c:v>10.973448766033972</c:v>
                </c:pt>
                <c:pt idx="20">
                  <c:v>12.201778073421337</c:v>
                </c:pt>
                <c:pt idx="21">
                  <c:v>11.580641156097521</c:v>
                </c:pt>
                <c:pt idx="22">
                  <c:v>13.396085129863668</c:v>
                </c:pt>
                <c:pt idx="23">
                  <c:v>9.8862149252975549</c:v>
                </c:pt>
                <c:pt idx="24">
                  <c:v>13.044374886305395</c:v>
                </c:pt>
                <c:pt idx="25">
                  <c:v>12.754316345549302</c:v>
                </c:pt>
                <c:pt idx="26">
                  <c:v>12.717988512387816</c:v>
                </c:pt>
                <c:pt idx="27">
                  <c:v>11.416087323782079</c:v>
                </c:pt>
                <c:pt idx="28">
                  <c:v>10.970644183876278</c:v>
                </c:pt>
                <c:pt idx="29">
                  <c:v>11.404603069984507</c:v>
                </c:pt>
                <c:pt idx="30">
                  <c:v>12.069915218810472</c:v>
                </c:pt>
                <c:pt idx="31">
                  <c:v>9.4364186875994491</c:v>
                </c:pt>
                <c:pt idx="32">
                  <c:v>11.158818150675991</c:v>
                </c:pt>
                <c:pt idx="33">
                  <c:v>10.593429319471497</c:v>
                </c:pt>
                <c:pt idx="34">
                  <c:v>11.759156129688609</c:v>
                </c:pt>
                <c:pt idx="35">
                  <c:v>10.867277750299525</c:v>
                </c:pt>
                <c:pt idx="36">
                  <c:v>12.832749251652306</c:v>
                </c:pt>
                <c:pt idx="37">
                  <c:v>8.9990441309487217</c:v>
                </c:pt>
                <c:pt idx="38">
                  <c:v>12.304962861695948</c:v>
                </c:pt>
                <c:pt idx="39">
                  <c:v>12.156625071777892</c:v>
                </c:pt>
                <c:pt idx="40">
                  <c:v>12.127658932485762</c:v>
                </c:pt>
                <c:pt idx="41">
                  <c:v>10.540833190824053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F-4982-8A74-07B98C2137DA}"/>
            </c:ext>
          </c:extLst>
        </c:ser>
        <c:ser>
          <c:idx val="2"/>
          <c:order val="2"/>
          <c:tx>
            <c:v>1:1 line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25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BBF-4982-8A74-07B98C21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8896"/>
        <c:axId val="210626000"/>
      </c:scatterChart>
      <c:valAx>
        <c:axId val="2106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 lnCS6</a:t>
                </a:r>
                <a:r>
                  <a:rPr lang="en-US" baseline="0"/>
                  <a:t> BW2022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6000"/>
        <c:crosses val="autoZero"/>
        <c:crossBetween val="midCat"/>
      </c:valAx>
      <c:valAx>
        <c:axId val="2106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 LnCs6</a:t>
                </a:r>
                <a:r>
                  <a:rPr lang="en-US" baseline="0"/>
                  <a:t> (ONeill 2022)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342481</xdr:colOff>
      <xdr:row>9</xdr:row>
      <xdr:rowOff>7703</xdr:rowOff>
    </xdr:from>
    <xdr:to>
      <xdr:col>55</xdr:col>
      <xdr:colOff>42678</xdr:colOff>
      <xdr:row>21</xdr:row>
      <xdr:rowOff>138034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FD006-9C96-B2C5-AC2E-7EA3FDF1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730250</xdr:colOff>
      <xdr:row>24</xdr:row>
      <xdr:rowOff>120650</xdr:rowOff>
    </xdr:from>
    <xdr:to>
      <xdr:col>20</xdr:col>
      <xdr:colOff>539828</xdr:colOff>
      <xdr:row>29</xdr:row>
      <xdr:rowOff>177874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AB26C-3068-4A79-A311-3D3661953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38600" y="4946650"/>
          <a:ext cx="1441528" cy="1435174"/>
        </a:xfrm>
        <a:prstGeom prst="rect">
          <a:avLst/>
        </a:prstGeom>
      </xdr:spPr>
    </xdr:pic>
    <xdr:clientData/>
  </xdr:twoCellAnchor>
  <xdr:twoCellAnchor editAs="oneCell">
    <xdr:from>
      <xdr:col>7</xdr:col>
      <xdr:colOff>625475</xdr:colOff>
      <xdr:row>31</xdr:row>
      <xdr:rowOff>38100</xdr:rowOff>
    </xdr:from>
    <xdr:to>
      <xdr:col>15</xdr:col>
      <xdr:colOff>225808</xdr:colOff>
      <xdr:row>34</xdr:row>
      <xdr:rowOff>158787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6FA55-B80A-2713-8532-FD03938C2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2850" y="6705600"/>
          <a:ext cx="7458458" cy="723937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37</xdr:row>
      <xdr:rowOff>111125</xdr:rowOff>
    </xdr:from>
    <xdr:to>
      <xdr:col>15</xdr:col>
      <xdr:colOff>57515</xdr:colOff>
      <xdr:row>40</xdr:row>
      <xdr:rowOff>57178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06EA83-FA4B-1CE5-69E5-9ED5E9E11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6525" y="7978775"/>
          <a:ext cx="7096490" cy="54612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12</xdr:col>
      <xdr:colOff>228778</xdr:colOff>
      <xdr:row>46</xdr:row>
      <xdr:rowOff>15907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ACF4B3-CE4A-DDAF-AB26-ADEB6F14C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0" y="9067800"/>
          <a:ext cx="3467278" cy="61598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17</xdr:col>
      <xdr:colOff>473319</xdr:colOff>
      <xdr:row>50</xdr:row>
      <xdr:rowOff>168356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E33970-A0EB-65FC-C218-8B2D04B89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34725" y="9067800"/>
          <a:ext cx="4750044" cy="1568531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47</xdr:row>
      <xdr:rowOff>47625</xdr:rowOff>
    </xdr:from>
    <xdr:to>
      <xdr:col>11</xdr:col>
      <xdr:colOff>778036</xdr:colOff>
      <xdr:row>48</xdr:row>
      <xdr:rowOff>149241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1FDB8C-FDB3-6E92-6F10-F1D6C5DC6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62725" y="9915525"/>
          <a:ext cx="3121186" cy="301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EB49-DB1D-47BA-91C9-FED3C5010172}">
  <dimension ref="A1:AU207"/>
  <sheetViews>
    <sheetView topLeftCell="A4" zoomScale="61" workbookViewId="0">
      <selection activeCell="A22" sqref="A22"/>
    </sheetView>
  </sheetViews>
  <sheetFormatPr defaultColWidth="10.6640625" defaultRowHeight="15.5"/>
  <cols>
    <col min="1" max="1" width="13.1640625" customWidth="1"/>
    <col min="2" max="2" width="11.5" style="19" customWidth="1"/>
    <col min="3" max="5" width="10.6640625" style="18"/>
    <col min="7" max="15" width="10.6640625" style="18"/>
    <col min="16" max="16" width="11.5" style="19" customWidth="1"/>
    <col min="17" max="17" width="10.6640625" style="19"/>
    <col min="31" max="31" width="13.33203125" style="20" customWidth="1"/>
    <col min="32" max="32" width="3.1640625" customWidth="1"/>
    <col min="33" max="33" width="12.1640625" style="18" customWidth="1"/>
    <col min="34" max="34" width="11.6640625" style="18" customWidth="1"/>
    <col min="35" max="36" width="10.6640625" style="18"/>
    <col min="37" max="37" width="10.6640625" style="20"/>
    <col min="40" max="41" width="12.1640625" bestFit="1" customWidth="1"/>
  </cols>
  <sheetData>
    <row r="1" spans="1:47">
      <c r="A1" s="14" t="s">
        <v>45</v>
      </c>
      <c r="B1"/>
      <c r="C1" s="17" t="s">
        <v>46</v>
      </c>
      <c r="D1"/>
    </row>
    <row r="2" spans="1:47">
      <c r="A2" s="14" t="s">
        <v>47</v>
      </c>
      <c r="S2" s="14"/>
    </row>
    <row r="3" spans="1:47" s="21" customFormat="1" ht="31">
      <c r="B3" s="22" t="s">
        <v>48</v>
      </c>
      <c r="C3" s="23" t="s">
        <v>49</v>
      </c>
      <c r="D3" s="24"/>
      <c r="E3" s="25" t="s">
        <v>50</v>
      </c>
      <c r="G3" s="24"/>
      <c r="H3" s="24"/>
      <c r="I3" s="24"/>
      <c r="J3" s="24"/>
      <c r="K3" s="24"/>
      <c r="L3" s="24"/>
      <c r="M3" s="24"/>
      <c r="N3" s="24"/>
      <c r="O3" s="24"/>
      <c r="P3" s="26"/>
      <c r="Q3" s="26"/>
      <c r="AE3" s="27"/>
      <c r="AG3" s="24"/>
      <c r="AH3" s="18"/>
      <c r="AI3" s="18"/>
      <c r="AJ3" s="24"/>
      <c r="AK3" s="27"/>
      <c r="AM3"/>
    </row>
    <row r="4" spans="1:47" ht="201.5">
      <c r="B4" s="28" t="s">
        <v>51</v>
      </c>
      <c r="C4" s="29" t="s">
        <v>52</v>
      </c>
      <c r="E4" s="30" t="s">
        <v>53</v>
      </c>
      <c r="P4" s="31" t="s">
        <v>54</v>
      </c>
    </row>
    <row r="5" spans="1:47" ht="31" customHeight="1">
      <c r="B5" s="32">
        <v>1</v>
      </c>
      <c r="C5" s="33">
        <v>1</v>
      </c>
      <c r="G5" s="34"/>
      <c r="H5" s="34"/>
      <c r="I5" s="34"/>
      <c r="J5" s="34"/>
      <c r="K5" s="34"/>
      <c r="L5" s="34"/>
      <c r="M5" s="34"/>
      <c r="N5" s="34"/>
    </row>
    <row r="6" spans="1:47">
      <c r="G6" s="34"/>
      <c r="H6" s="34"/>
      <c r="I6" s="34"/>
      <c r="J6" s="34"/>
      <c r="K6" s="34"/>
      <c r="L6" s="34"/>
      <c r="M6" s="34"/>
      <c r="N6" s="34"/>
    </row>
    <row r="7" spans="1:47">
      <c r="G7" s="34"/>
      <c r="H7" s="34"/>
      <c r="I7" s="34"/>
      <c r="J7" s="34"/>
      <c r="K7" s="34"/>
      <c r="L7" s="34"/>
      <c r="M7" s="34"/>
      <c r="N7" s="34"/>
    </row>
    <row r="8" spans="1:47">
      <c r="G8" s="34"/>
      <c r="H8" s="34"/>
      <c r="I8" s="34"/>
      <c r="J8" s="34"/>
      <c r="K8" s="34"/>
      <c r="L8" s="34"/>
      <c r="M8" s="34"/>
      <c r="N8" s="34"/>
    </row>
    <row r="9" spans="1:47" ht="32">
      <c r="G9" s="18" t="s">
        <v>55</v>
      </c>
      <c r="AU9" s="61" t="s">
        <v>101</v>
      </c>
    </row>
    <row r="10" spans="1:47" ht="30" customHeight="1" thickBot="1">
      <c r="A10" s="63" t="s">
        <v>56</v>
      </c>
      <c r="B10" s="64"/>
      <c r="C10" s="64"/>
      <c r="D10" s="65"/>
      <c r="E10" s="66" t="s">
        <v>57</v>
      </c>
      <c r="G10" s="68" t="s">
        <v>58</v>
      </c>
      <c r="H10" s="69"/>
      <c r="I10" s="69"/>
      <c r="J10" s="69"/>
      <c r="K10" s="69"/>
      <c r="L10" s="69"/>
      <c r="M10" s="69"/>
      <c r="N10" s="69"/>
      <c r="O10" s="70"/>
      <c r="P10" s="71" t="s">
        <v>59</v>
      </c>
      <c r="Q10" s="72"/>
      <c r="R10" s="73"/>
      <c r="S10" s="74"/>
      <c r="AQ10" t="s">
        <v>97</v>
      </c>
    </row>
    <row r="11" spans="1:47" ht="18.5" thickTop="1" thickBot="1">
      <c r="A11" s="35" t="s">
        <v>60</v>
      </c>
      <c r="B11" s="35" t="s">
        <v>61</v>
      </c>
      <c r="C11" s="36" t="s">
        <v>62</v>
      </c>
      <c r="D11" s="36" t="s">
        <v>63</v>
      </c>
      <c r="E11" s="67"/>
      <c r="G11" s="37" t="s">
        <v>64</v>
      </c>
      <c r="H11" s="37" t="s">
        <v>65</v>
      </c>
      <c r="I11" s="37" t="s">
        <v>66</v>
      </c>
      <c r="J11" s="37" t="s">
        <v>67</v>
      </c>
      <c r="K11" s="37" t="s">
        <v>68</v>
      </c>
      <c r="L11" s="37" t="s">
        <v>69</v>
      </c>
      <c r="M11" s="37" t="s">
        <v>70</v>
      </c>
      <c r="N11" s="37" t="s">
        <v>71</v>
      </c>
      <c r="O11" s="37" t="s">
        <v>72</v>
      </c>
      <c r="P11" s="35" t="s">
        <v>61</v>
      </c>
      <c r="Q11" s="35" t="s">
        <v>73</v>
      </c>
      <c r="R11" s="35" t="s">
        <v>74</v>
      </c>
      <c r="S11" s="35" t="s">
        <v>75</v>
      </c>
      <c r="U11" s="38" t="s">
        <v>76</v>
      </c>
      <c r="V11" s="38" t="s">
        <v>77</v>
      </c>
      <c r="W11" s="38" t="s">
        <v>78</v>
      </c>
      <c r="X11" s="38" t="s">
        <v>79</v>
      </c>
      <c r="Y11" s="38" t="s">
        <v>80</v>
      </c>
      <c r="Z11" s="38" t="s">
        <v>81</v>
      </c>
      <c r="AA11" s="38" t="s">
        <v>82</v>
      </c>
      <c r="AB11" s="38" t="s">
        <v>83</v>
      </c>
      <c r="AC11" s="38" t="s">
        <v>84</v>
      </c>
      <c r="AD11" s="38" t="s">
        <v>85</v>
      </c>
      <c r="AE11" s="39" t="s">
        <v>86</v>
      </c>
      <c r="AG11" s="37" t="s">
        <v>87</v>
      </c>
      <c r="AH11" s="37" t="s">
        <v>88</v>
      </c>
      <c r="AI11" s="37" t="s">
        <v>89</v>
      </c>
      <c r="AJ11" s="37" t="s">
        <v>90</v>
      </c>
      <c r="AK11" s="37" t="s">
        <v>91</v>
      </c>
      <c r="AM11" s="37" t="s">
        <v>92</v>
      </c>
      <c r="AN11" s="37" t="s">
        <v>93</v>
      </c>
      <c r="AO11" s="39" t="s">
        <v>94</v>
      </c>
      <c r="AQ11" s="59" t="s">
        <v>98</v>
      </c>
      <c r="AR11" s="59" t="s">
        <v>99</v>
      </c>
      <c r="AS11" s="59" t="s">
        <v>100</v>
      </c>
      <c r="AU11" s="60" t="s">
        <v>102</v>
      </c>
    </row>
    <row r="12" spans="1:47" ht="16" thickTop="1">
      <c r="A12" t="s">
        <v>95</v>
      </c>
      <c r="C12" s="20">
        <v>0.1121350869924614</v>
      </c>
      <c r="E12" s="19">
        <v>1763.2</v>
      </c>
      <c r="G12" s="5">
        <v>4.28</v>
      </c>
      <c r="H12" s="5">
        <v>4.3</v>
      </c>
      <c r="I12" s="5">
        <v>16.600000000000001</v>
      </c>
      <c r="J12" s="5">
        <v>49.1</v>
      </c>
      <c r="K12" s="5">
        <v>1.3</v>
      </c>
      <c r="L12" s="5">
        <v>9.8000000000000007</v>
      </c>
      <c r="M12" s="5">
        <v>2.97</v>
      </c>
      <c r="N12" s="5">
        <v>0.23</v>
      </c>
      <c r="O12" s="5">
        <v>7.63</v>
      </c>
      <c r="P12" s="40">
        <f t="shared" ref="P12:P53" si="0">IF($B$5=1,$B12,IF($B$5=2,815.3+265.3*(H12/40.32)/(H12/40.32+O12/71.85)+15.37*H12+8.61*O12+6.646*(G12+K12),""))</f>
        <v>0</v>
      </c>
      <c r="Q12" s="41">
        <v>1473</v>
      </c>
      <c r="R12" s="42">
        <f t="shared" ref="R12:R53" si="1">IF($C$5=1,4*(LOG(C12/(1-C12))+1.36-2*U12-3.7*Y12-2.4*Z12),IF($C$5=2,D12-8.58+25050/Q12))</f>
        <v>8.0724366155440208E-3</v>
      </c>
      <c r="S12" s="43">
        <f t="shared" ref="S12:S53" si="2">R12-25050/Q12+8.58</f>
        <v>-8.4180375430178582</v>
      </c>
      <c r="U12" s="44">
        <f>(G12/30.99)/($J12/60.08+$M12/79.9+$I12/50.98+$O12/71.85+$H12/40.32+$L12/56.08+$G12/30.99+$K12/47.1+$N12/70.94)</f>
        <v>7.9529537619291532E-2</v>
      </c>
      <c r="V12" s="45">
        <f>(H12/40.32)/($J12/60.08+$M12/79.9+$I12/50.98+$O12/71.85+$H12/40.32+$L12/56.08+$G12/30.99+$K12/47.1+$N12/70.94)</f>
        <v>6.1412135130022506E-2</v>
      </c>
      <c r="W12" s="45">
        <f>(I12/50.98)/($J12/60.08+$M12/79.9+$I12/50.98+$O12/71.85+$H12/40.32+$L12/56.08+$G12/30.99+$K12/47.1+$N12/70.94)</f>
        <v>0.18750572038348659</v>
      </c>
      <c r="X12" s="45">
        <f>(J12/60.08)/($J12/60.08+$M12/79.9+$I12/50.98+$O12/71.85+$H12/40.32+$L12/56.08+$G12/30.99+$K12/47.1+$N12/70.94)</f>
        <v>0.47060640410664506</v>
      </c>
      <c r="Y12" s="45">
        <f>(K12/47.1)/($J12/60.08+$M12/79.9+$I12/50.98+$O12/71.85+$H12/40.32+$L12/56.08+$G12/30.99+$K12/47.1+$N12/70.94)</f>
        <v>1.5893835357602627E-2</v>
      </c>
      <c r="Z12" s="45">
        <f>(L12/56.08)/($J12/60.08+$M12/79.9+$I12/50.98+$O12/71.85+$H12/40.32+$L12/56.08+$G12/30.99+$K12/47.1+$N12/70.94)</f>
        <v>0.10062927307640486</v>
      </c>
      <c r="AA12" s="45">
        <f>(M12/79.9)/($J12/60.08+$M12/79.9+$I12/50.98+$O12/71.85+$H12/40.32+$L12/56.08+$G12/30.99+$K12/47.1+$N12/70.94)</f>
        <v>2.1405034626638668E-2</v>
      </c>
      <c r="AB12" s="45">
        <f>(N12/70.94)/($J12/60.08+$M12/79.9+$I12/50.98+$O12/71.85+$H12/40.32+$L12/56.08+$G12/30.99+$K12/47.1+$N12/70.94)</f>
        <v>1.8669939757206442E-3</v>
      </c>
      <c r="AC12" s="45">
        <f>(O12/71.85)/($J12/60.08+$M12/79.9+$I12/50.98+$O12/71.85+$H12/40.32+$L12/56.08+$G12/30.99+$K12/47.1+$N12/70.94)</f>
        <v>6.1151065724187451E-2</v>
      </c>
      <c r="AD12" s="46">
        <f>AC12*AE12</f>
        <v>5.4293885649523962E-2</v>
      </c>
      <c r="AE12" s="46">
        <f t="shared" ref="AE12:AE53" si="3">IF($C$5=2,1/(1+10^(0.25*R12-1.36+2*U12+2.4*Z12+3.7*Y12)),IF($C$5=1,1-C12,""))</f>
        <v>0.88786491300753856</v>
      </c>
      <c r="AG12" s="47">
        <f>8.77-23590/Q12+(1673/Q12)*(6.7*(U12+Y12)+4.9*V12+8.1*Z12+8.9*(AC12+AB12)+5*AA12+1.8*W12-22.2*AA12*(AC12+AB12)+7.2*((AC12+AB12)*X12))-2.06*ERF(-7.2*(AC12+AB12))</f>
        <v>-2.9142686557250737</v>
      </c>
      <c r="AH12" s="48">
        <f>-8.02+(21100+44000*U12+18700*V12+4300*W12+35600*Z12+44200*Y12+16500*AD12+12600*AB12)/Q12</f>
        <v>13.540260734193154</v>
      </c>
      <c r="AI12" s="49">
        <f>-55921/Q12+25.07-0.6465*LN(Q12)</f>
        <v>-17.610272982068615</v>
      </c>
      <c r="AJ12" s="50">
        <f>(AH13-AI13-AG13)+2*LN(10)*S13</f>
        <v>-3.2793365451459735</v>
      </c>
      <c r="AK12" s="51" t="e">
        <f>1-1/(1+EXP(#REF!))</f>
        <v>#REF!</v>
      </c>
      <c r="AM12" s="18" t="e">
        <f>(E12*(1-AK12)/EXP(AG12))^2*10^S12</f>
        <v>#REF!</v>
      </c>
      <c r="AN12" s="52" t="e">
        <f>E12*AK12/EXP(AH12)</f>
        <v>#REF!</v>
      </c>
      <c r="AO12" s="18" t="e">
        <f>EXP(43660/Q12-9.8263+0.12917*LN(Q12))*SQRT(AM12)*(10^S12)</f>
        <v>#REF!</v>
      </c>
      <c r="AQ12">
        <f>-12.659+(3692*Z12-7592*X12
-13736*AA12+3762*W12+34483)/Q12</f>
        <v>8.8569921389488133</v>
      </c>
      <c r="AR12">
        <f>10^AQ12</f>
        <v>719435955.56318378</v>
      </c>
      <c r="AS12">
        <f>LN(AR12)</f>
        <v>20.393978067908986</v>
      </c>
      <c r="AU12">
        <f>-8.02+(21100+44000*U12+18700*V12+4300*W12+35600*Z12+44200*Y12+16500*AD12+12600*AB12)/(Q12-273)</f>
        <v>18.445220051222094</v>
      </c>
    </row>
    <row r="13" spans="1:47">
      <c r="A13">
        <v>180</v>
      </c>
      <c r="C13" s="20">
        <v>0.1231447238530748</v>
      </c>
      <c r="E13" s="19">
        <v>1889</v>
      </c>
      <c r="G13" s="5">
        <v>2.41</v>
      </c>
      <c r="H13" s="5">
        <v>8.5</v>
      </c>
      <c r="I13" s="5">
        <v>14.4</v>
      </c>
      <c r="J13" s="5">
        <v>49.1</v>
      </c>
      <c r="K13" s="5">
        <v>0.41</v>
      </c>
      <c r="L13" s="5">
        <v>12.4</v>
      </c>
      <c r="M13" s="5">
        <v>0.93</v>
      </c>
      <c r="N13" s="5">
        <v>0.19</v>
      </c>
      <c r="O13" s="5">
        <v>8.8800000000000008</v>
      </c>
      <c r="P13" s="40">
        <f t="shared" si="0"/>
        <v>0</v>
      </c>
      <c r="Q13" s="41">
        <v>1473</v>
      </c>
      <c r="R13" s="53">
        <f t="shared" si="1"/>
        <v>0.39348962758840522</v>
      </c>
      <c r="S13" s="43">
        <f t="shared" si="2"/>
        <v>-8.0326203520449955</v>
      </c>
      <c r="U13" s="44">
        <f t="shared" ref="U13:U53" si="4">(G13/30.99)/($J13/60.08+$M13/79.9+$I13/50.98+$O13/71.85+$H13/40.32+$L13/56.08+$G13/30.99+$K13/47.1+$N13/70.94)</f>
        <v>4.4286101598258042E-2</v>
      </c>
      <c r="V13" s="45">
        <f t="shared" ref="V13:V53" si="5">(H13/40.32)/($J13/60.08+$M13/79.9+$I13/50.98+$O13/71.85+$H13/40.32+$L13/56.08+$G13/30.99+$K13/47.1+$N13/70.94)</f>
        <v>0.12005227323018694</v>
      </c>
      <c r="W13" s="45">
        <f t="shared" ref="W13:W53" si="6">(I13/50.98)/($J13/60.08+$M13/79.9+$I13/50.98+$O13/71.85+$H13/40.32+$L13/56.08+$G13/30.99+$K13/47.1+$N13/70.94)</f>
        <v>0.16085503024399969</v>
      </c>
      <c r="X13" s="45">
        <f t="shared" ref="X13:X53" si="7">(J13/60.08)/($J13/60.08+$M13/79.9+$I13/50.98+$O13/71.85+$H13/40.32+$L13/56.08+$G13/30.99+$K13/47.1+$N13/70.94)</f>
        <v>0.46539697254852325</v>
      </c>
      <c r="Y13" s="45">
        <f t="shared" ref="Y13:Y53" si="8">(K13/47.1)/($J13/60.08+$M13/79.9+$I13/50.98+$O13/71.85+$H13/40.32+$L13/56.08+$G13/30.99+$K13/47.1+$N13/70.94)</f>
        <v>4.9571828130957072E-3</v>
      </c>
      <c r="Z13" s="45">
        <f t="shared" ref="Z13:Z53" si="9">(L13/56.08)/($J13/60.08+$M13/79.9+$I13/50.98+$O13/71.85+$H13/40.32+$L13/56.08+$G13/30.99+$K13/47.1+$N13/70.94)</f>
        <v>0.1259173763160823</v>
      </c>
      <c r="AA13" s="45">
        <f t="shared" ref="AA13:AA53" si="10">(M13/79.9)/($J13/60.08+$M13/79.9+$I13/50.98+$O13/71.85+$H13/40.32+$L13/56.08+$G13/30.99+$K13/47.1+$N13/70.94)</f>
        <v>6.628391549254594E-3</v>
      </c>
      <c r="AB13" s="45">
        <f t="shared" ref="AB13:AB53" si="11">(N13/70.94)/($J13/60.08+$M13/79.9+$I13/50.98+$O13/71.85+$H13/40.32+$L13/56.08+$G13/30.99+$K13/47.1+$N13/70.94)</f>
        <v>1.5252267114907645E-3</v>
      </c>
      <c r="AC13" s="45">
        <f t="shared" ref="AC13:AC53" si="12">(O13/71.85)/($J13/60.08+$M13/79.9+$I13/50.98+$O13/71.85+$H13/40.32+$L13/56.08+$G13/30.99+$K13/47.1+$N13/70.94)</f>
        <v>7.0381444989108533E-2</v>
      </c>
      <c r="AD13" s="46">
        <f t="shared" ref="AD13:AD53" si="13">AC13*AE13</f>
        <v>6.1714341381544385E-2</v>
      </c>
      <c r="AE13" s="46">
        <f t="shared" si="3"/>
        <v>0.87685527614692516</v>
      </c>
      <c r="AG13" s="47">
        <f t="shared" ref="AG13:AG53" si="14">8.77-23590/Q13+(1673/Q13)*(6.7*(U13+Y13)+4.9*V13+8.1*Z13+8.9*(AC13+AB13)+5*AA13+1.8*W13-22.2*AA13*(AC13+AB13)+7.2*((AC13+AB13)*X13))-2.06*ERF(-7.2*(AC13+AB13))</f>
        <v>-2.5846265237245443</v>
      </c>
      <c r="AH13" s="48">
        <f t="shared" ref="AH13:AH53" si="15">-8.02+(21100+44000*U13+18700*V13+4300*W13+35600*Z13+44200*Y13+16500*AD13+12600*AB13)/Q13</f>
        <v>13.517347709659656</v>
      </c>
      <c r="AI13" s="49">
        <f t="shared" ref="AI13:AI53" si="16">-55921/Q13+25.07-0.6465*LN(Q13)</f>
        <v>-17.610272982068615</v>
      </c>
      <c r="AK13" s="51">
        <f>1-1/(1+EXP(AJ12))</f>
        <v>3.6286910367469671E-2</v>
      </c>
      <c r="AM13" s="18">
        <f>(E13*(1-AK13)/EXP(AG13))^2*10^S13</f>
        <v>5.4040225616844104</v>
      </c>
      <c r="AN13" s="52">
        <f t="shared" ref="AN13:AN53" si="17">E13*AK13/EXP(AH13)</f>
        <v>9.235755550704276E-5</v>
      </c>
      <c r="AO13" s="18">
        <f t="shared" ref="AO13:AO53" si="18">EXP(43660/Q13-9.8263+0.12917*LN(Q13))*SQRT(AM13)*(10^S13)</f>
        <v>22.286306750819605</v>
      </c>
      <c r="AQ13">
        <f t="shared" ref="AQ13:AQ53" si="19">-12.659+(3692*Z13-7592*X13
-13736*AA13+3762*W13+34483)/Q13</f>
        <v>9.0169553124426027</v>
      </c>
      <c r="AR13">
        <f t="shared" ref="AR13:AR53" si="20">10^AQ13</f>
        <v>1039813166.7691364</v>
      </c>
      <c r="AS13">
        <f t="shared" ref="AS13:AS53" si="21">LN(AR13)</f>
        <v>20.762306886623808</v>
      </c>
      <c r="AU13">
        <f t="shared" ref="AU13:AU53" si="22">-8.02+(21100+44000*U13+18700*V13+4300*W13+35600*Z13+44200*Y13+16500*AD13+12600*AB13)/(Q13-273)</f>
        <v>18.41709431360723</v>
      </c>
    </row>
    <row r="14" spans="1:47">
      <c r="A14">
        <v>183</v>
      </c>
      <c r="C14" s="20">
        <v>0.11946385612088724</v>
      </c>
      <c r="E14" s="19">
        <v>1732</v>
      </c>
      <c r="G14" s="5">
        <v>2.58</v>
      </c>
      <c r="H14" s="5">
        <v>7.9</v>
      </c>
      <c r="I14" s="5">
        <v>14.3</v>
      </c>
      <c r="J14" s="5">
        <v>43.2</v>
      </c>
      <c r="K14" s="5">
        <v>0.49</v>
      </c>
      <c r="L14" s="5">
        <v>14.4</v>
      </c>
      <c r="M14" s="5">
        <v>2.93</v>
      </c>
      <c r="N14" s="5">
        <v>2.5099999999999998</v>
      </c>
      <c r="O14" s="5">
        <v>8.73</v>
      </c>
      <c r="P14" s="40">
        <f t="shared" si="0"/>
        <v>0</v>
      </c>
      <c r="Q14" s="41">
        <v>1473</v>
      </c>
      <c r="R14" s="53">
        <f t="shared" si="1"/>
        <v>8.1420780876846788E-2</v>
      </c>
      <c r="S14" s="53">
        <f t="shared" si="2"/>
        <v>-8.3446891987565532</v>
      </c>
      <c r="U14" s="44">
        <f t="shared" si="4"/>
        <v>4.7861099541889843E-2</v>
      </c>
      <c r="V14" s="45">
        <f t="shared" si="5"/>
        <v>0.11263960266458461</v>
      </c>
      <c r="W14" s="45">
        <f t="shared" si="6"/>
        <v>0.1612578066005918</v>
      </c>
      <c r="X14" s="45">
        <f t="shared" si="7"/>
        <v>0.41336943836833051</v>
      </c>
      <c r="Y14" s="45">
        <f t="shared" si="8"/>
        <v>5.980805992968543E-3</v>
      </c>
      <c r="Z14" s="45">
        <f t="shared" si="9"/>
        <v>0.14761790214675044</v>
      </c>
      <c r="AA14" s="45">
        <f t="shared" si="10"/>
        <v>2.1081688065378607E-2</v>
      </c>
      <c r="AB14" s="45">
        <f t="shared" si="11"/>
        <v>2.0340755490260067E-2</v>
      </c>
      <c r="AC14" s="45">
        <f t="shared" si="12"/>
        <v>6.9850901129245593E-2</v>
      </c>
      <c r="AD14" s="46">
        <f t="shared" si="13"/>
        <v>6.1506243126827072E-2</v>
      </c>
      <c r="AE14" s="46">
        <f t="shared" si="3"/>
        <v>0.88053614387911272</v>
      </c>
      <c r="AG14" s="47">
        <f t="shared" si="14"/>
        <v>-1.910620456568157</v>
      </c>
      <c r="AH14" s="48">
        <f t="shared" si="15"/>
        <v>14.245005424397064</v>
      </c>
      <c r="AI14" s="49">
        <f t="shared" si="16"/>
        <v>-17.610272982068615</v>
      </c>
      <c r="AJ14" s="50">
        <f t="shared" ref="AJ14:AJ53" si="23">(AH14-AI14-AG14)+2*LN(10)*S14</f>
        <v>-4.6628150464167035</v>
      </c>
      <c r="AK14" s="51">
        <f t="shared" ref="AK14:AK53" si="24">1-1/(1+EXP(AJ14))</f>
        <v>9.3515738766749568E-3</v>
      </c>
      <c r="AM14" s="18">
        <f t="shared" ref="AM13:AM53" si="25">(E14*(1-AK14)/EXP(AG14))^2*10^S14</f>
        <v>0.60784035099715172</v>
      </c>
      <c r="AN14" s="52">
        <f t="shared" si="17"/>
        <v>1.0541571196693771E-5</v>
      </c>
      <c r="AO14" s="18">
        <f t="shared" si="18"/>
        <v>3.6433881705673881</v>
      </c>
      <c r="AQ14">
        <f t="shared" si="19"/>
        <v>9.2057510657154271</v>
      </c>
      <c r="AR14">
        <f t="shared" si="20"/>
        <v>1606020430.4725697</v>
      </c>
      <c r="AS14">
        <f t="shared" si="21"/>
        <v>21.197025173730395</v>
      </c>
      <c r="AU14">
        <f t="shared" si="22"/>
        <v>19.310294158447395</v>
      </c>
    </row>
    <row r="15" spans="1:47">
      <c r="A15">
        <v>186</v>
      </c>
      <c r="C15" s="20">
        <v>0.11579400997285261</v>
      </c>
      <c r="E15" s="19">
        <v>1567.5</v>
      </c>
      <c r="G15" s="5">
        <v>2.92</v>
      </c>
      <c r="H15" s="5">
        <v>10.4</v>
      </c>
      <c r="I15" s="5">
        <v>12.1</v>
      </c>
      <c r="J15" s="5">
        <v>47.2</v>
      </c>
      <c r="K15" s="5">
        <v>0.57999999999999996</v>
      </c>
      <c r="L15" s="5">
        <v>10.7</v>
      </c>
      <c r="M15" s="5">
        <v>2.5499999999999998</v>
      </c>
      <c r="N15" s="5">
        <v>0.19</v>
      </c>
      <c r="O15" s="5">
        <v>9.3000000000000007</v>
      </c>
      <c r="P15" s="40">
        <f t="shared" si="0"/>
        <v>0</v>
      </c>
      <c r="Q15" s="41">
        <v>1473</v>
      </c>
      <c r="R15" s="53">
        <f t="shared" si="1"/>
        <v>0.31996463737454506</v>
      </c>
      <c r="S15" s="53">
        <f t="shared" si="2"/>
        <v>-8.1061453422588539</v>
      </c>
      <c r="U15" s="44">
        <f t="shared" si="4"/>
        <v>5.4081130293603848E-2</v>
      </c>
      <c r="V15" s="45">
        <f t="shared" si="5"/>
        <v>0.1480462122294533</v>
      </c>
      <c r="W15" s="45">
        <f t="shared" si="6"/>
        <v>0.13622914274981107</v>
      </c>
      <c r="X15" s="45">
        <f t="shared" si="7"/>
        <v>0.45091694836167401</v>
      </c>
      <c r="Y15" s="45">
        <f t="shared" si="8"/>
        <v>7.0679191179019735E-3</v>
      </c>
      <c r="Z15" s="45">
        <f t="shared" si="9"/>
        <v>0.10951163356070939</v>
      </c>
      <c r="AA15" s="45">
        <f t="shared" si="10"/>
        <v>1.8317992871598476E-2</v>
      </c>
      <c r="AB15" s="45">
        <f t="shared" si="11"/>
        <v>1.5372584939702509E-3</v>
      </c>
      <c r="AC15" s="45">
        <f t="shared" si="12"/>
        <v>7.4291762321277613E-2</v>
      </c>
      <c r="AD15" s="46">
        <f t="shared" si="13"/>
        <v>6.5689221254146793E-2</v>
      </c>
      <c r="AE15" s="46">
        <f t="shared" si="3"/>
        <v>0.88420599002714739</v>
      </c>
      <c r="AG15" s="47">
        <f t="shared" si="14"/>
        <v>-2.4010610864393378</v>
      </c>
      <c r="AH15" s="48">
        <f t="shared" si="15"/>
        <v>13.804899526764089</v>
      </c>
      <c r="AI15" s="49">
        <f t="shared" si="16"/>
        <v>-17.610272982068615</v>
      </c>
      <c r="AJ15" s="50">
        <f t="shared" si="23"/>
        <v>-3.5139452581846697</v>
      </c>
      <c r="AK15" s="51">
        <f t="shared" si="24"/>
        <v>2.8918039790650218E-2</v>
      </c>
      <c r="AM15" s="18">
        <f t="shared" si="25"/>
        <v>2.2096154121702143</v>
      </c>
      <c r="AN15" s="52">
        <f t="shared" si="17"/>
        <v>4.5812576033481312E-5</v>
      </c>
      <c r="AO15" s="18">
        <f t="shared" si="18"/>
        <v>12.031309034182156</v>
      </c>
      <c r="AQ15">
        <f t="shared" si="19"/>
        <v>8.8785652166224178</v>
      </c>
      <c r="AR15">
        <f t="shared" si="20"/>
        <v>756075589.28345382</v>
      </c>
      <c r="AS15">
        <f t="shared" si="21"/>
        <v>20.443651914970232</v>
      </c>
      <c r="AU15">
        <f t="shared" si="22"/>
        <v>18.77006416910292</v>
      </c>
    </row>
    <row r="16" spans="1:47">
      <c r="A16">
        <v>187</v>
      </c>
      <c r="C16" s="20">
        <v>0.13549517743722073</v>
      </c>
      <c r="E16" s="19">
        <v>1654.8333333333333</v>
      </c>
      <c r="G16" s="5">
        <v>6.03</v>
      </c>
      <c r="H16" s="5">
        <v>2</v>
      </c>
      <c r="I16" s="5">
        <v>20.7</v>
      </c>
      <c r="J16" s="5">
        <v>57.7</v>
      </c>
      <c r="K16" s="5">
        <v>2.62</v>
      </c>
      <c r="L16" s="5">
        <v>4.5999999999999996</v>
      </c>
      <c r="M16" s="5">
        <v>1.64</v>
      </c>
      <c r="N16" s="5">
        <v>0.14000000000000001</v>
      </c>
      <c r="O16" s="5">
        <v>4.88</v>
      </c>
      <c r="P16" s="40">
        <f t="shared" si="0"/>
        <v>0</v>
      </c>
      <c r="Q16" s="41">
        <v>1473</v>
      </c>
      <c r="R16" s="53">
        <f t="shared" si="1"/>
        <v>0.49800569657799831</v>
      </c>
      <c r="S16" s="53">
        <f t="shared" si="2"/>
        <v>-7.9281042830554025</v>
      </c>
      <c r="U16" s="44">
        <f t="shared" si="4"/>
        <v>0.10582530432435451</v>
      </c>
      <c r="V16" s="45">
        <f t="shared" si="5"/>
        <v>2.6977596977182092E-2</v>
      </c>
      <c r="W16" s="45">
        <f t="shared" si="6"/>
        <v>0.22083316888469626</v>
      </c>
      <c r="X16" s="45">
        <f t="shared" si="7"/>
        <v>0.52232363660055725</v>
      </c>
      <c r="Y16" s="45">
        <f t="shared" si="8"/>
        <v>3.0253398943889096E-2</v>
      </c>
      <c r="Z16" s="45">
        <f t="shared" si="9"/>
        <v>4.4611170350855184E-2</v>
      </c>
      <c r="AA16" s="45">
        <f t="shared" si="10"/>
        <v>1.1163255347914706E-2</v>
      </c>
      <c r="AB16" s="45">
        <f t="shared" si="11"/>
        <v>1.0733235087172081E-3</v>
      </c>
      <c r="AC16" s="45">
        <f t="shared" si="12"/>
        <v>3.6939145061833767E-2</v>
      </c>
      <c r="AD16" s="46">
        <f t="shared" si="13"/>
        <v>3.1934069047301367E-2</v>
      </c>
      <c r="AE16" s="46">
        <f t="shared" si="3"/>
        <v>0.86450482256277927</v>
      </c>
      <c r="AG16" s="47">
        <f t="shared" si="14"/>
        <v>-3.9774395764340715</v>
      </c>
      <c r="AH16" s="48">
        <f t="shared" si="15"/>
        <v>12.805642222165481</v>
      </c>
      <c r="AI16" s="49">
        <f t="shared" si="16"/>
        <v>-17.610272982068615</v>
      </c>
      <c r="AJ16" s="50">
        <f t="shared" si="23"/>
        <v>-2.1169146950630662</v>
      </c>
      <c r="AK16" s="51">
        <f t="shared" si="24"/>
        <v>0.10746363994826813</v>
      </c>
      <c r="AM16" s="18">
        <f t="shared" si="25"/>
        <v>73.352714940281189</v>
      </c>
      <c r="AN16" s="52">
        <f t="shared" si="17"/>
        <v>4.8819806379189453E-4</v>
      </c>
      <c r="AO16" s="18">
        <f t="shared" si="18"/>
        <v>104.44885715654337</v>
      </c>
      <c r="AQ16">
        <f t="shared" si="19"/>
        <v>8.630653291072095</v>
      </c>
      <c r="AR16">
        <f t="shared" si="20"/>
        <v>427221687.44919449</v>
      </c>
      <c r="AS16">
        <f t="shared" si="21"/>
        <v>19.872813610822607</v>
      </c>
      <c r="AU16">
        <f t="shared" si="22"/>
        <v>17.543475827708129</v>
      </c>
    </row>
    <row r="17" spans="1:47">
      <c r="A17">
        <v>195</v>
      </c>
      <c r="C17" s="20">
        <v>8.2849006739947939E-2</v>
      </c>
      <c r="E17" s="19" t="s">
        <v>96</v>
      </c>
      <c r="G17" s="55">
        <v>1.68</v>
      </c>
      <c r="H17" s="55">
        <v>8</v>
      </c>
      <c r="I17" s="55">
        <v>13</v>
      </c>
      <c r="J17" s="55">
        <v>47</v>
      </c>
      <c r="K17" s="55">
        <v>0.24</v>
      </c>
      <c r="L17" s="55">
        <v>11</v>
      </c>
      <c r="M17" s="55">
        <v>5.35</v>
      </c>
      <c r="N17" s="55">
        <v>0.49</v>
      </c>
      <c r="O17" s="55">
        <v>11.07</v>
      </c>
      <c r="P17" s="40">
        <f t="shared" si="0"/>
        <v>0</v>
      </c>
      <c r="Q17" s="41">
        <v>1523</v>
      </c>
      <c r="R17" s="53">
        <f t="shared" si="1"/>
        <v>-0.12811608782008232</v>
      </c>
      <c r="S17" s="53">
        <f t="shared" si="2"/>
        <v>-7.9959164817793731</v>
      </c>
      <c r="U17" s="44">
        <f t="shared" si="4"/>
        <v>3.1534603387380102E-2</v>
      </c>
      <c r="V17" s="45">
        <f t="shared" si="5"/>
        <v>0.11541682716540405</v>
      </c>
      <c r="W17" s="45">
        <f t="shared" si="6"/>
        <v>0.14833484731026431</v>
      </c>
      <c r="X17" s="45">
        <f t="shared" si="7"/>
        <v>0.45505888846439607</v>
      </c>
      <c r="Y17" s="45">
        <f t="shared" si="8"/>
        <v>2.9640805549739436E-3</v>
      </c>
      <c r="Z17" s="45">
        <f t="shared" si="9"/>
        <v>0.11409965938034952</v>
      </c>
      <c r="AA17" s="45">
        <f t="shared" si="10"/>
        <v>3.8949929007358629E-2</v>
      </c>
      <c r="AB17" s="45">
        <f t="shared" si="11"/>
        <v>4.0179503294006467E-3</v>
      </c>
      <c r="AC17" s="45">
        <f t="shared" si="12"/>
        <v>8.9623214400472606E-2</v>
      </c>
      <c r="AD17" s="46">
        <f t="shared" si="13"/>
        <v>8.2198020106552055E-2</v>
      </c>
      <c r="AE17" s="46">
        <f t="shared" si="3"/>
        <v>0.91715099326005212</v>
      </c>
      <c r="AG17" s="47">
        <f t="shared" si="14"/>
        <v>-1.7990943195008098</v>
      </c>
      <c r="AH17" s="48">
        <f t="shared" si="15"/>
        <v>12.25807669130057</v>
      </c>
      <c r="AI17" s="49">
        <f t="shared" si="16"/>
        <v>-16.385497256854205</v>
      </c>
      <c r="AJ17" s="50">
        <f t="shared" si="23"/>
        <v>-6.3798879238855832</v>
      </c>
      <c r="AK17" s="51">
        <f t="shared" si="24"/>
        <v>1.6924437282944682E-3</v>
      </c>
      <c r="AM17" s="18" t="e">
        <f t="shared" si="25"/>
        <v>#VALUE!</v>
      </c>
      <c r="AN17" s="52" t="e">
        <f t="shared" si="17"/>
        <v>#VALUE!</v>
      </c>
      <c r="AO17" s="18" t="e">
        <f t="shared" si="18"/>
        <v>#VALUE!</v>
      </c>
      <c r="AQ17">
        <f t="shared" si="19"/>
        <v>8.0057855101422799</v>
      </c>
      <c r="AR17">
        <f t="shared" si="20"/>
        <v>101341075.76520894</v>
      </c>
      <c r="AS17">
        <f t="shared" si="21"/>
        <v>18.434002373361349</v>
      </c>
      <c r="AU17">
        <f t="shared" si="22"/>
        <v>16.686808640680614</v>
      </c>
    </row>
    <row r="18" spans="1:47">
      <c r="A18">
        <v>202</v>
      </c>
      <c r="C18" s="20">
        <v>0.10001633229947844</v>
      </c>
      <c r="E18" s="19" t="s">
        <v>96</v>
      </c>
      <c r="G18" s="55">
        <v>2.09</v>
      </c>
      <c r="H18" s="55">
        <v>8.6999999999999993</v>
      </c>
      <c r="I18" s="55">
        <v>14.8</v>
      </c>
      <c r="J18" s="55">
        <v>50.1</v>
      </c>
      <c r="K18" s="55">
        <v>0.24</v>
      </c>
      <c r="L18" s="55">
        <v>12.3</v>
      </c>
      <c r="M18" s="55">
        <v>0.92</v>
      </c>
      <c r="N18" s="55">
        <v>0.18</v>
      </c>
      <c r="O18" s="55">
        <v>9.1</v>
      </c>
      <c r="P18" s="40">
        <f t="shared" si="0"/>
        <v>0</v>
      </c>
      <c r="Q18" s="41">
        <v>1523</v>
      </c>
      <c r="R18" s="53">
        <f t="shared" si="1"/>
        <v>8.8540643827172971E-2</v>
      </c>
      <c r="S18" s="53">
        <f t="shared" si="2"/>
        <v>-7.7792597501321179</v>
      </c>
      <c r="U18" s="44">
        <f t="shared" si="4"/>
        <v>3.804766750207815E-2</v>
      </c>
      <c r="V18" s="45">
        <f t="shared" si="5"/>
        <v>0.12173124309635115</v>
      </c>
      <c r="W18" s="45">
        <f t="shared" si="6"/>
        <v>0.16378163868712142</v>
      </c>
      <c r="X18" s="45">
        <f t="shared" si="7"/>
        <v>0.47044746172614377</v>
      </c>
      <c r="Y18" s="45">
        <f t="shared" si="8"/>
        <v>2.8747075022446029E-3</v>
      </c>
      <c r="Z18" s="45">
        <f t="shared" si="9"/>
        <v>0.12373724272433473</v>
      </c>
      <c r="AA18" s="45">
        <f t="shared" si="10"/>
        <v>6.4959754634576101E-3</v>
      </c>
      <c r="AB18" s="45">
        <f t="shared" si="11"/>
        <v>1.4314779040991061E-3</v>
      </c>
      <c r="AC18" s="45">
        <f t="shared" si="12"/>
        <v>7.1452585394169515E-2</v>
      </c>
      <c r="AD18" s="46">
        <f t="shared" si="13"/>
        <v>6.4306159869729401E-2</v>
      </c>
      <c r="AE18" s="46">
        <f t="shared" si="3"/>
        <v>0.89998366770052152</v>
      </c>
      <c r="AG18" s="47">
        <f t="shared" si="14"/>
        <v>-2.2135440542861096</v>
      </c>
      <c r="AH18" s="48">
        <f t="shared" si="15"/>
        <v>12.574831801953735</v>
      </c>
      <c r="AI18" s="49">
        <f t="shared" si="16"/>
        <v>-16.385497256854205</v>
      </c>
      <c r="AJ18" s="50">
        <f t="shared" si="23"/>
        <v>-4.6509419572715522</v>
      </c>
      <c r="AK18" s="51">
        <f t="shared" si="24"/>
        <v>9.4622108396562599E-3</v>
      </c>
      <c r="AM18" s="18" t="e">
        <f t="shared" si="25"/>
        <v>#VALUE!</v>
      </c>
      <c r="AN18" s="52" t="e">
        <f t="shared" si="17"/>
        <v>#VALUE!</v>
      </c>
      <c r="AO18" s="18" t="e">
        <f t="shared" si="18"/>
        <v>#VALUE!</v>
      </c>
      <c r="AQ18">
        <f t="shared" si="19"/>
        <v>8.2832971611872974</v>
      </c>
      <c r="AR18">
        <f t="shared" si="20"/>
        <v>191998201.77438179</v>
      </c>
      <c r="AS18">
        <f t="shared" si="21"/>
        <v>19.072996564189769</v>
      </c>
      <c r="AU18">
        <f t="shared" si="22"/>
        <v>17.072743067500433</v>
      </c>
    </row>
    <row r="19" spans="1:47">
      <c r="A19">
        <v>203</v>
      </c>
      <c r="C19" s="20">
        <v>0.11701607350695693</v>
      </c>
      <c r="E19" s="19" t="s">
        <v>96</v>
      </c>
      <c r="G19" s="55">
        <v>2.5099999999999998</v>
      </c>
      <c r="H19" s="55">
        <v>8.1</v>
      </c>
      <c r="I19" s="55">
        <v>14.6</v>
      </c>
      <c r="J19" s="55">
        <v>43.3</v>
      </c>
      <c r="K19" s="55">
        <v>0.47</v>
      </c>
      <c r="L19" s="55">
        <v>13.8</v>
      </c>
      <c r="M19" s="55">
        <v>2.75</v>
      </c>
      <c r="N19" s="55">
        <v>2.42</v>
      </c>
      <c r="O19" s="55">
        <v>9.81</v>
      </c>
      <c r="P19" s="40">
        <f t="shared" si="0"/>
        <v>0</v>
      </c>
      <c r="Q19" s="41">
        <v>1523</v>
      </c>
      <c r="R19" s="53">
        <f t="shared" si="1"/>
        <v>0.12471705563902469</v>
      </c>
      <c r="S19" s="53">
        <f t="shared" si="2"/>
        <v>-7.7430833383202664</v>
      </c>
      <c r="U19" s="44">
        <f t="shared" si="4"/>
        <v>4.6279543137641363E-2</v>
      </c>
      <c r="V19" s="45">
        <f t="shared" si="5"/>
        <v>0.11478930151287307</v>
      </c>
      <c r="W19" s="45">
        <f t="shared" si="6"/>
        <v>0.16364017770267214</v>
      </c>
      <c r="X19" s="45">
        <f t="shared" si="7"/>
        <v>0.41180810520552541</v>
      </c>
      <c r="Y19" s="45">
        <f t="shared" si="8"/>
        <v>5.7018247998467933E-3</v>
      </c>
      <c r="Z19" s="45">
        <f t="shared" si="9"/>
        <v>0.14060734222404236</v>
      </c>
      <c r="AA19" s="45">
        <f t="shared" si="10"/>
        <v>1.9666307810298933E-2</v>
      </c>
      <c r="AB19" s="45">
        <f t="shared" si="11"/>
        <v>1.9492210808538746E-2</v>
      </c>
      <c r="AC19" s="45">
        <f t="shared" si="12"/>
        <v>7.8015186798561162E-2</v>
      </c>
      <c r="AD19" s="46">
        <f>AC19*AE19</f>
        <v>6.8886155965481755E-2</v>
      </c>
      <c r="AE19" s="46">
        <f t="shared" si="3"/>
        <v>0.88298392649304303</v>
      </c>
      <c r="AG19" s="47">
        <f t="shared" si="14"/>
        <v>-1.4127551141645678</v>
      </c>
      <c r="AH19" s="48">
        <f t="shared" si="15"/>
        <v>13.402441279983986</v>
      </c>
      <c r="AI19" s="49">
        <f t="shared" si="16"/>
        <v>-16.385497256854205</v>
      </c>
      <c r="AJ19" s="50">
        <f t="shared" si="23"/>
        <v>-4.457522886250878</v>
      </c>
      <c r="AK19" s="51">
        <f t="shared" si="24"/>
        <v>1.1458227307748148E-2</v>
      </c>
      <c r="AM19" s="18" t="e">
        <f t="shared" si="25"/>
        <v>#VALUE!</v>
      </c>
      <c r="AN19" s="52" t="e">
        <f t="shared" si="17"/>
        <v>#VALUE!</v>
      </c>
      <c r="AO19" s="18" t="e">
        <f t="shared" si="18"/>
        <v>#VALUE!</v>
      </c>
      <c r="AQ19">
        <f t="shared" si="19"/>
        <v>8.4973710552895607</v>
      </c>
      <c r="AR19">
        <f t="shared" si="20"/>
        <v>314319304.83002079</v>
      </c>
      <c r="AS19">
        <f t="shared" si="21"/>
        <v>19.565919921548826</v>
      </c>
      <c r="AU19">
        <f t="shared" si="22"/>
        <v>18.081102455532491</v>
      </c>
    </row>
    <row r="20" spans="1:47">
      <c r="A20">
        <v>285</v>
      </c>
      <c r="C20" s="20">
        <v>9.1203684506076882E-2</v>
      </c>
      <c r="E20" s="19">
        <v>1237.5</v>
      </c>
      <c r="G20" s="55">
        <v>3.01</v>
      </c>
      <c r="H20" s="55">
        <v>8.9</v>
      </c>
      <c r="I20" s="55">
        <v>14.4</v>
      </c>
      <c r="J20" s="55">
        <v>55.3</v>
      </c>
      <c r="K20" s="55">
        <v>1.47</v>
      </c>
      <c r="L20" s="55">
        <v>9.5</v>
      </c>
      <c r="M20" s="55">
        <v>0.62</v>
      </c>
      <c r="N20" s="55"/>
      <c r="O20" s="55">
        <v>5.94</v>
      </c>
      <c r="P20" s="40">
        <f t="shared" si="0"/>
        <v>0</v>
      </c>
      <c r="Q20" s="41">
        <v>1523</v>
      </c>
      <c r="R20" s="53">
        <f t="shared" si="1"/>
        <v>-0.13521127878819794</v>
      </c>
      <c r="S20" s="53">
        <f t="shared" si="2"/>
        <v>-8.0030116727474887</v>
      </c>
      <c r="U20" s="44">
        <f t="shared" si="4"/>
        <v>5.360837775653185E-2</v>
      </c>
      <c r="V20" s="45">
        <f t="shared" si="5"/>
        <v>0.12183083733295436</v>
      </c>
      <c r="W20" s="45">
        <f t="shared" si="6"/>
        <v>0.15590154059580968</v>
      </c>
      <c r="X20" s="45">
        <f t="shared" si="7"/>
        <v>0.50802250684095174</v>
      </c>
      <c r="Y20" s="45">
        <f t="shared" si="8"/>
        <v>1.7225989315248783E-2</v>
      </c>
      <c r="Z20" s="45">
        <f t="shared" si="9"/>
        <v>9.3498220703999976E-2</v>
      </c>
      <c r="AA20" s="45">
        <f t="shared" si="10"/>
        <v>4.2828479475525948E-3</v>
      </c>
      <c r="AB20" s="45">
        <f t="shared" si="11"/>
        <v>0</v>
      </c>
      <c r="AC20" s="45">
        <f t="shared" si="12"/>
        <v>4.5629679506951022E-2</v>
      </c>
      <c r="AD20" s="46">
        <f t="shared" si="13"/>
        <v>4.1468084613085661E-2</v>
      </c>
      <c r="AE20" s="46">
        <f t="shared" si="3"/>
        <v>0.90879631549392315</v>
      </c>
      <c r="AG20" s="47">
        <f t="shared" si="14"/>
        <v>-3.0166247400449904</v>
      </c>
      <c r="AH20" s="48">
        <f t="shared" si="15"/>
        <v>12.453756194936272</v>
      </c>
      <c r="AI20" s="49">
        <f t="shared" si="16"/>
        <v>-16.385497256854205</v>
      </c>
      <c r="AJ20" s="50">
        <f t="shared" si="23"/>
        <v>-4.9993525616159573</v>
      </c>
      <c r="AK20" s="51">
        <f t="shared" si="24"/>
        <v>6.6971565063450589E-3</v>
      </c>
      <c r="AM20" s="18">
        <f t="shared" si="25"/>
        <v>6.2581945067977456</v>
      </c>
      <c r="AN20" s="52">
        <f t="shared" si="17"/>
        <v>3.2347301857793332E-5</v>
      </c>
      <c r="AO20" s="18">
        <f t="shared" si="18"/>
        <v>9.7449493790851935</v>
      </c>
      <c r="AQ20">
        <f t="shared" si="19"/>
        <v>8.0231805352702015</v>
      </c>
      <c r="AR20">
        <f t="shared" si="20"/>
        <v>105482529.38416784</v>
      </c>
      <c r="AS20">
        <f t="shared" si="21"/>
        <v>18.474055898913157</v>
      </c>
      <c r="AU20">
        <f t="shared" si="22"/>
        <v>16.925224547910354</v>
      </c>
    </row>
    <row r="21" spans="1:47">
      <c r="A21">
        <v>290</v>
      </c>
      <c r="C21" s="20">
        <v>0.10082057713477482</v>
      </c>
      <c r="E21" s="19">
        <v>1119.1666666666667</v>
      </c>
      <c r="G21" s="55">
        <v>4.83</v>
      </c>
      <c r="H21" s="55">
        <v>3.3</v>
      </c>
      <c r="I21" s="55">
        <v>18</v>
      </c>
      <c r="J21" s="55">
        <v>62.2</v>
      </c>
      <c r="K21" s="55">
        <v>1.25</v>
      </c>
      <c r="L21" s="55">
        <v>6.6</v>
      </c>
      <c r="M21" s="55">
        <v>0.61</v>
      </c>
      <c r="N21" s="55"/>
      <c r="O21" s="55">
        <v>3.53</v>
      </c>
      <c r="P21" s="40">
        <f t="shared" si="0"/>
        <v>0</v>
      </c>
      <c r="Q21" s="41">
        <v>1523</v>
      </c>
      <c r="R21" s="53">
        <f t="shared" si="1"/>
        <v>0.12301629090695843</v>
      </c>
      <c r="S21" s="53">
        <f t="shared" si="2"/>
        <v>-7.7447841030523339</v>
      </c>
      <c r="U21" s="44">
        <f t="shared" si="4"/>
        <v>8.5304617622102341E-2</v>
      </c>
      <c r="V21" s="45">
        <f t="shared" si="5"/>
        <v>4.4796120324975451E-2</v>
      </c>
      <c r="W21" s="45">
        <f t="shared" si="6"/>
        <v>0.19325007006344846</v>
      </c>
      <c r="X21" s="45">
        <f t="shared" si="7"/>
        <v>0.56664028440608094</v>
      </c>
      <c r="Y21" s="45">
        <f t="shared" si="8"/>
        <v>1.452566727387739E-2</v>
      </c>
      <c r="Z21" s="45">
        <f t="shared" si="9"/>
        <v>6.4414392706954718E-2</v>
      </c>
      <c r="AA21" s="45">
        <f t="shared" si="10"/>
        <v>4.1785927053393868E-3</v>
      </c>
      <c r="AB21" s="45">
        <f t="shared" si="11"/>
        <v>0</v>
      </c>
      <c r="AC21" s="45">
        <f t="shared" si="12"/>
        <v>2.6890254897221175E-2</v>
      </c>
      <c r="AD21" s="46">
        <f t="shared" si="13"/>
        <v>2.4179163879182133E-2</v>
      </c>
      <c r="AE21" s="46">
        <f t="shared" si="3"/>
        <v>0.89917942286522523</v>
      </c>
      <c r="AG21" s="47">
        <f t="shared" si="14"/>
        <v>-3.9399583917796428</v>
      </c>
      <c r="AH21" s="48">
        <f t="shared" si="15"/>
        <v>11.58355154602879</v>
      </c>
      <c r="AI21" s="49">
        <f t="shared" si="16"/>
        <v>-16.385497256854205</v>
      </c>
      <c r="AJ21" s="50">
        <f t="shared" si="23"/>
        <v>-3.7570416536284945</v>
      </c>
      <c r="AK21" s="51">
        <f t="shared" si="24"/>
        <v>2.2819818807549463E-2</v>
      </c>
      <c r="AM21" s="18">
        <f t="shared" si="25"/>
        <v>56.906137319890313</v>
      </c>
      <c r="AN21" s="52">
        <f t="shared" si="17"/>
        <v>2.3797670173564338E-4</v>
      </c>
      <c r="AO21" s="18">
        <f t="shared" si="18"/>
        <v>53.255219914709308</v>
      </c>
      <c r="AQ21">
        <f t="shared" si="19"/>
        <v>7.7536687543278138</v>
      </c>
      <c r="AR21">
        <f t="shared" si="20"/>
        <v>56711189.206351884</v>
      </c>
      <c r="AS21">
        <f t="shared" si="21"/>
        <v>17.853482089728939</v>
      </c>
      <c r="AU21">
        <f t="shared" si="22"/>
        <v>15.864967203681477</v>
      </c>
    </row>
    <row r="22" spans="1:47">
      <c r="A22">
        <v>322</v>
      </c>
      <c r="C22" s="20">
        <v>0.12724762499955133</v>
      </c>
      <c r="E22" s="19">
        <v>1030.8</v>
      </c>
      <c r="G22" s="55">
        <v>2.95</v>
      </c>
      <c r="H22" s="55">
        <v>12.2</v>
      </c>
      <c r="I22" s="55">
        <v>11.7</v>
      </c>
      <c r="J22" s="55">
        <v>46.1</v>
      </c>
      <c r="K22" s="55">
        <v>0.49</v>
      </c>
      <c r="L22" s="55">
        <v>10.1</v>
      </c>
      <c r="M22" s="55">
        <v>2.41</v>
      </c>
      <c r="N22" s="55">
        <v>0.19</v>
      </c>
      <c r="O22" s="55">
        <v>10.88</v>
      </c>
      <c r="P22" s="40">
        <f t="shared" si="0"/>
        <v>0</v>
      </c>
      <c r="Q22" s="41">
        <v>1523</v>
      </c>
      <c r="R22" s="53">
        <f t="shared" si="1"/>
        <v>0.60044134515759751</v>
      </c>
      <c r="S22" s="53">
        <f t="shared" si="2"/>
        <v>-7.2673590488016941</v>
      </c>
      <c r="U22" s="44">
        <f t="shared" si="4"/>
        <v>5.3800417793777248E-2</v>
      </c>
      <c r="V22" s="45">
        <f t="shared" si="5"/>
        <v>0.1710111847477444</v>
      </c>
      <c r="W22" s="45">
        <f t="shared" si="6"/>
        <v>0.12970933689463554</v>
      </c>
      <c r="X22" s="45">
        <f t="shared" si="7"/>
        <v>0.43366683448331117</v>
      </c>
      <c r="Y22" s="45">
        <f t="shared" si="8"/>
        <v>5.8797705872128308E-3</v>
      </c>
      <c r="Z22" s="45">
        <f t="shared" si="9"/>
        <v>0.10178846786089173</v>
      </c>
      <c r="AA22" s="45">
        <f t="shared" si="10"/>
        <v>1.7047294810480337E-2</v>
      </c>
      <c r="AB22" s="45">
        <f t="shared" si="11"/>
        <v>1.5137272367268583E-3</v>
      </c>
      <c r="AC22" s="45">
        <f t="shared" si="12"/>
        <v>8.5582965585219814E-2</v>
      </c>
      <c r="AD22" s="46">
        <f t="shared" si="13"/>
        <v>7.4692736474082255E-2</v>
      </c>
      <c r="AE22" s="46">
        <f t="shared" si="3"/>
        <v>0.87275237500044867</v>
      </c>
      <c r="AG22" s="47">
        <f t="shared" si="14"/>
        <v>-1.7024468721418813</v>
      </c>
      <c r="AH22" s="48">
        <f t="shared" si="15"/>
        <v>13.226182611400937</v>
      </c>
      <c r="AI22" s="49">
        <f t="shared" si="16"/>
        <v>-16.385497256854205</v>
      </c>
      <c r="AJ22" s="50">
        <f t="shared" si="23"/>
        <v>-2.153298482015316</v>
      </c>
      <c r="AK22" s="51">
        <f t="shared" si="24"/>
        <v>0.10402339447444009</v>
      </c>
      <c r="AM22" s="18">
        <f t="shared" si="25"/>
        <v>1.3877450145735752</v>
      </c>
      <c r="AN22" s="52">
        <f t="shared" si="17"/>
        <v>1.9330687790247451E-4</v>
      </c>
      <c r="AO22" s="18">
        <f t="shared" si="18"/>
        <v>24.966779218869181</v>
      </c>
      <c r="AQ22">
        <f t="shared" si="19"/>
        <v>8.2341118186644611</v>
      </c>
      <c r="AR22">
        <f t="shared" si="20"/>
        <v>171439866.03225604</v>
      </c>
      <c r="AS22">
        <f t="shared" si="21"/>
        <v>18.959743127702879</v>
      </c>
      <c r="AU22">
        <f t="shared" si="22"/>
        <v>17.866348893730901</v>
      </c>
    </row>
    <row r="23" spans="1:47">
      <c r="A23">
        <v>334</v>
      </c>
      <c r="C23" s="20">
        <v>0.10767776263512492</v>
      </c>
      <c r="E23" s="19">
        <v>1210.2</v>
      </c>
      <c r="G23" s="55">
        <v>5.34</v>
      </c>
      <c r="H23" s="55">
        <v>2</v>
      </c>
      <c r="I23" s="55">
        <v>21.5</v>
      </c>
      <c r="J23" s="55">
        <v>57.5</v>
      </c>
      <c r="K23" s="55">
        <v>2.42</v>
      </c>
      <c r="L23" s="55">
        <v>4.5999999999999996</v>
      </c>
      <c r="M23" s="55">
        <v>1.66</v>
      </c>
      <c r="N23" s="55">
        <v>0.14000000000000001</v>
      </c>
      <c r="O23" s="55">
        <v>4.9000000000000004</v>
      </c>
      <c r="P23" s="40">
        <f t="shared" si="0"/>
        <v>0</v>
      </c>
      <c r="Q23" s="41">
        <v>1523</v>
      </c>
      <c r="R23" s="53">
        <f t="shared" si="1"/>
        <v>0.1629746784904984</v>
      </c>
      <c r="S23" s="53">
        <f t="shared" si="2"/>
        <v>-7.7048257154687914</v>
      </c>
      <c r="U23" s="44">
        <f t="shared" si="4"/>
        <v>9.44152866016017E-2</v>
      </c>
      <c r="V23" s="45">
        <f t="shared" si="5"/>
        <v>2.7178914487319017E-2</v>
      </c>
      <c r="W23" s="45">
        <f t="shared" si="6"/>
        <v>0.23107941732804152</v>
      </c>
      <c r="X23" s="45">
        <f t="shared" si="7"/>
        <v>0.52439743131991023</v>
      </c>
      <c r="Y23" s="45">
        <f t="shared" si="8"/>
        <v>2.8152508213922088E-2</v>
      </c>
      <c r="Z23" s="45">
        <f t="shared" si="9"/>
        <v>4.4944076567332673E-2</v>
      </c>
      <c r="AA23" s="45">
        <f t="shared" si="10"/>
        <v>1.1383713149772505E-2</v>
      </c>
      <c r="AB23" s="45">
        <f t="shared" si="11"/>
        <v>1.0813330737103072E-3</v>
      </c>
      <c r="AC23" s="45">
        <f t="shared" si="12"/>
        <v>3.7367319258390007E-2</v>
      </c>
      <c r="AD23" s="46">
        <f t="shared" si="13"/>
        <v>3.3343689924974156E-2</v>
      </c>
      <c r="AE23" s="46">
        <f t="shared" si="3"/>
        <v>0.89232223736487504</v>
      </c>
      <c r="AG23" s="47">
        <f t="shared" si="14"/>
        <v>-3.5993496264879941</v>
      </c>
      <c r="AH23" s="48">
        <f t="shared" si="15"/>
        <v>11.785847324515522</v>
      </c>
      <c r="AI23" s="49">
        <f t="shared" si="16"/>
        <v>-16.385497256854205</v>
      </c>
      <c r="AJ23" s="50">
        <f t="shared" si="23"/>
        <v>-3.7113394652535234</v>
      </c>
      <c r="AK23" s="51">
        <f t="shared" si="24"/>
        <v>2.3861470545101904E-2</v>
      </c>
      <c r="AM23" s="18">
        <f t="shared" si="25"/>
        <v>36.835524210492245</v>
      </c>
      <c r="AN23" s="52">
        <f t="shared" si="17"/>
        <v>2.1979909303889821E-4</v>
      </c>
      <c r="AO23" s="18">
        <f t="shared" si="18"/>
        <v>46.975827984170728</v>
      </c>
      <c r="AQ23">
        <f t="shared" si="19"/>
        <v>7.9455057887515768</v>
      </c>
      <c r="AR23">
        <f t="shared" si="20"/>
        <v>88207555.932555974</v>
      </c>
      <c r="AS23">
        <f t="shared" si="21"/>
        <v>18.295203185477281</v>
      </c>
      <c r="AU23">
        <f t="shared" si="22"/>
        <v>16.111444380189713</v>
      </c>
    </row>
    <row r="24" spans="1:47">
      <c r="A24">
        <v>612</v>
      </c>
      <c r="C24" s="20">
        <v>0.1080823102541469</v>
      </c>
      <c r="E24" s="19">
        <v>965</v>
      </c>
      <c r="G24" s="55">
        <v>0.56000000000000005</v>
      </c>
      <c r="H24" s="55">
        <v>12.1</v>
      </c>
      <c r="I24" s="55">
        <v>11.6</v>
      </c>
      <c r="J24" s="55">
        <v>43.4</v>
      </c>
      <c r="K24" s="55"/>
      <c r="L24" s="55">
        <v>19.899999999999999</v>
      </c>
      <c r="M24" s="55"/>
      <c r="N24" s="55"/>
      <c r="O24" s="55">
        <v>10.67</v>
      </c>
      <c r="P24" s="40">
        <f t="shared" si="0"/>
        <v>0</v>
      </c>
      <c r="Q24" s="41">
        <v>1523</v>
      </c>
      <c r="R24" s="53">
        <f t="shared" si="1"/>
        <v>-0.23094175028218777</v>
      </c>
      <c r="S24" s="53">
        <f t="shared" si="2"/>
        <v>-8.0987421442414789</v>
      </c>
      <c r="U24" s="44">
        <f t="shared" si="4"/>
        <v>1.0200970229425085E-2</v>
      </c>
      <c r="V24" s="45">
        <f t="shared" si="5"/>
        <v>0.16941032524002569</v>
      </c>
      <c r="W24" s="45">
        <f t="shared" si="6"/>
        <v>0.12844972755263431</v>
      </c>
      <c r="X24" s="45">
        <f t="shared" si="7"/>
        <v>0.40778836924543871</v>
      </c>
      <c r="Y24" s="45">
        <f t="shared" si="8"/>
        <v>0</v>
      </c>
      <c r="Z24" s="45">
        <f t="shared" si="9"/>
        <v>0.20031805779551784</v>
      </c>
      <c r="AA24" s="45">
        <f t="shared" si="10"/>
        <v>0</v>
      </c>
      <c r="AB24" s="45">
        <f t="shared" si="11"/>
        <v>0</v>
      </c>
      <c r="AC24" s="45">
        <f t="shared" si="12"/>
        <v>8.3832549936958323E-2</v>
      </c>
      <c r="AD24" s="46">
        <f t="shared" si="13"/>
        <v>7.4771734265275724E-2</v>
      </c>
      <c r="AE24" s="46">
        <f t="shared" si="3"/>
        <v>0.89191768974585306</v>
      </c>
      <c r="AG24" s="47">
        <f t="shared" si="14"/>
        <v>-1.3561204874785582</v>
      </c>
      <c r="AH24" s="48">
        <f t="shared" si="15"/>
        <v>14.064179956307942</v>
      </c>
      <c r="AI24" s="49">
        <f t="shared" si="16"/>
        <v>-16.385497256854205</v>
      </c>
      <c r="AJ24" s="50">
        <f t="shared" si="23"/>
        <v>-5.4902881660254188</v>
      </c>
      <c r="AK24" s="51">
        <f t="shared" si="24"/>
        <v>4.1096955461558116E-3</v>
      </c>
      <c r="AM24" s="18">
        <f t="shared" si="25"/>
        <v>0.11082730690690429</v>
      </c>
      <c r="AN24" s="52">
        <f t="shared" si="17"/>
        <v>3.0927243632364073E-6</v>
      </c>
      <c r="AO24" s="18">
        <f t="shared" si="18"/>
        <v>1.0402745589998845</v>
      </c>
      <c r="AQ24">
        <f t="shared" si="19"/>
        <v>8.7526039692204147</v>
      </c>
      <c r="AR24">
        <f t="shared" si="20"/>
        <v>565723173.86265492</v>
      </c>
      <c r="AS24">
        <f t="shared" si="21"/>
        <v>20.153615424407445</v>
      </c>
      <c r="AU24">
        <f t="shared" si="22"/>
        <v>18.887364858765597</v>
      </c>
    </row>
    <row r="25" spans="1:47">
      <c r="A25" s="54">
        <v>662</v>
      </c>
      <c r="C25" s="20">
        <v>9.360097951875479E-2</v>
      </c>
      <c r="E25" s="19">
        <v>745.59788331451364</v>
      </c>
      <c r="G25" s="56">
        <v>3.39</v>
      </c>
      <c r="H25" s="56">
        <v>4.5</v>
      </c>
      <c r="I25" s="56">
        <v>16.899999999999999</v>
      </c>
      <c r="J25" s="56">
        <v>48.5</v>
      </c>
      <c r="K25" s="56">
        <v>0.28999999999999998</v>
      </c>
      <c r="L25" s="56">
        <v>9.6</v>
      </c>
      <c r="M25" s="56">
        <v>3.6</v>
      </c>
      <c r="N25" s="56">
        <v>0.23</v>
      </c>
      <c r="O25" s="56">
        <v>10.77</v>
      </c>
      <c r="P25" s="40">
        <f t="shared" si="0"/>
        <v>0</v>
      </c>
      <c r="Q25" s="41">
        <v>1573</v>
      </c>
      <c r="R25" s="53">
        <f t="shared" si="1"/>
        <v>-8.002638154565811E-3</v>
      </c>
      <c r="S25" s="53">
        <f t="shared" si="2"/>
        <v>-7.3529867449568531</v>
      </c>
      <c r="U25" s="44">
        <f t="shared" si="4"/>
        <v>6.3038452445945567E-2</v>
      </c>
      <c r="V25" s="45">
        <f t="shared" si="5"/>
        <v>6.4316056985482942E-2</v>
      </c>
      <c r="W25" s="45">
        <f t="shared" si="6"/>
        <v>0.19103559460513472</v>
      </c>
      <c r="X25" s="45">
        <f t="shared" si="7"/>
        <v>0.46519949606543715</v>
      </c>
      <c r="Y25" s="45">
        <f t="shared" si="8"/>
        <v>3.5481707531014616E-3</v>
      </c>
      <c r="Z25" s="45">
        <f t="shared" si="9"/>
        <v>9.8648537048204352E-2</v>
      </c>
      <c r="AA25" s="45">
        <f t="shared" si="10"/>
        <v>2.5964690039095586E-2</v>
      </c>
      <c r="AB25" s="45">
        <f t="shared" si="11"/>
        <v>1.8683751090454361E-3</v>
      </c>
      <c r="AC25" s="45">
        <f t="shared" si="12"/>
        <v>8.6380626948552738E-2</v>
      </c>
      <c r="AD25" s="46">
        <f t="shared" si="13"/>
        <v>7.8295315654724057E-2</v>
      </c>
      <c r="AE25" s="46">
        <f t="shared" si="3"/>
        <v>0.90639902048124521</v>
      </c>
      <c r="AG25" s="47">
        <f t="shared" si="14"/>
        <v>-1.6677567145738492</v>
      </c>
      <c r="AH25" s="48">
        <f t="shared" si="15"/>
        <v>11.612540706250666</v>
      </c>
      <c r="AI25" s="49">
        <f t="shared" si="16"/>
        <v>-15.239258716049363</v>
      </c>
      <c r="AJ25" s="50">
        <f t="shared" si="23"/>
        <v>-5.3421991989670481</v>
      </c>
      <c r="AK25" s="51">
        <f t="shared" si="24"/>
        <v>4.762544851802053E-3</v>
      </c>
      <c r="AM25" s="18">
        <f t="shared" si="25"/>
        <v>0.68623219376266265</v>
      </c>
      <c r="AN25" s="52">
        <f t="shared" si="17"/>
        <v>3.2142628998719644E-5</v>
      </c>
      <c r="AO25" s="18">
        <f t="shared" si="18"/>
        <v>5.819532730614279</v>
      </c>
      <c r="AQ25">
        <f t="shared" si="19"/>
        <v>7.4792331526895541</v>
      </c>
      <c r="AR25">
        <f t="shared" si="20"/>
        <v>30146240.025132436</v>
      </c>
      <c r="AS25">
        <f t="shared" si="21"/>
        <v>17.221570764409829</v>
      </c>
      <c r="AU25">
        <f t="shared" si="22"/>
        <v>15.735374254563304</v>
      </c>
    </row>
    <row r="26" spans="1:47">
      <c r="A26" s="54">
        <v>663</v>
      </c>
      <c r="C26" s="20">
        <v>9.560223888329078E-2</v>
      </c>
      <c r="E26" s="19">
        <v>759.80006672703951</v>
      </c>
      <c r="G26" s="56">
        <v>2</v>
      </c>
      <c r="H26" s="56">
        <v>7.7</v>
      </c>
      <c r="I26" s="56">
        <v>12</v>
      </c>
      <c r="J26" s="56">
        <v>42.9</v>
      </c>
      <c r="K26" s="56"/>
      <c r="L26" s="56">
        <v>10</v>
      </c>
      <c r="M26" s="56">
        <v>7.44</v>
      </c>
      <c r="N26" s="56">
        <v>0.56999999999999995</v>
      </c>
      <c r="O26" s="56">
        <v>15.14</v>
      </c>
      <c r="P26" s="40">
        <f t="shared" si="0"/>
        <v>0</v>
      </c>
      <c r="Q26" s="41">
        <v>1573</v>
      </c>
      <c r="R26" s="53">
        <f t="shared" si="1"/>
        <v>0.22199946909881341</v>
      </c>
      <c r="S26" s="53">
        <f t="shared" si="2"/>
        <v>-7.1229846377034747</v>
      </c>
      <c r="U26" s="44">
        <f t="shared" si="4"/>
        <v>3.8072012354459193E-2</v>
      </c>
      <c r="V26" s="45">
        <f t="shared" si="5"/>
        <v>0.11265944697492705</v>
      </c>
      <c r="W26" s="45">
        <f t="shared" si="6"/>
        <v>0.13886053309509891</v>
      </c>
      <c r="X26" s="45">
        <f t="shared" si="7"/>
        <v>0.42123532237762329</v>
      </c>
      <c r="Y26" s="45">
        <f t="shared" si="8"/>
        <v>0</v>
      </c>
      <c r="Z26" s="45">
        <f t="shared" si="9"/>
        <v>0.10519362186739395</v>
      </c>
      <c r="AA26" s="45">
        <f t="shared" si="10"/>
        <v>5.4931767031998098E-2</v>
      </c>
      <c r="AB26" s="45">
        <f t="shared" si="11"/>
        <v>4.7400299396170948E-3</v>
      </c>
      <c r="AC26" s="45">
        <f t="shared" si="12"/>
        <v>0.12430726635888251</v>
      </c>
      <c r="AD26" s="46">
        <f t="shared" si="13"/>
        <v>0.11242321338551177</v>
      </c>
      <c r="AE26" s="46">
        <f t="shared" si="3"/>
        <v>0.90439776111670922</v>
      </c>
      <c r="AG26" s="47">
        <f t="shared" si="14"/>
        <v>-0.76279465830891513</v>
      </c>
      <c r="AH26" s="48">
        <f t="shared" si="15"/>
        <v>11.775677578458748</v>
      </c>
      <c r="AI26" s="49">
        <f t="shared" si="16"/>
        <v>-15.239258716049363</v>
      </c>
      <c r="AJ26" s="50">
        <f t="shared" si="23"/>
        <v>-5.0248255359862064</v>
      </c>
      <c r="AK26" s="51">
        <f t="shared" si="24"/>
        <v>6.5298143732344105E-3</v>
      </c>
      <c r="AM26" s="18">
        <f t="shared" si="25"/>
        <v>0.19736889765863569</v>
      </c>
      <c r="AN26" s="52">
        <f t="shared" si="17"/>
        <v>3.8149457796561968E-5</v>
      </c>
      <c r="AO26" s="18">
        <f t="shared" si="18"/>
        <v>5.3002216998202716</v>
      </c>
      <c r="AQ26">
        <f t="shared" si="19"/>
        <v>7.3290526751403267</v>
      </c>
      <c r="AR26">
        <f t="shared" si="20"/>
        <v>21333036.437061492</v>
      </c>
      <c r="AS26">
        <f t="shared" si="21"/>
        <v>16.875767435546251</v>
      </c>
      <c r="AU26">
        <f t="shared" si="22"/>
        <v>15.932769869935086</v>
      </c>
    </row>
    <row r="27" spans="1:47">
      <c r="A27" s="54">
        <v>664</v>
      </c>
      <c r="C27" s="20">
        <v>8.5230404073088517E-2</v>
      </c>
      <c r="E27" s="19">
        <v>808.4</v>
      </c>
      <c r="G27" s="56">
        <v>2.4900000000000002</v>
      </c>
      <c r="H27" s="56">
        <v>8.8000000000000007</v>
      </c>
      <c r="I27" s="56">
        <v>14.7</v>
      </c>
      <c r="J27" s="56">
        <v>49.5</v>
      </c>
      <c r="K27" s="56">
        <v>0.14000000000000001</v>
      </c>
      <c r="L27" s="56">
        <v>12.2</v>
      </c>
      <c r="M27" s="56">
        <v>0.93</v>
      </c>
      <c r="N27" s="56">
        <v>0.17</v>
      </c>
      <c r="O27" s="56">
        <v>9.1</v>
      </c>
      <c r="P27" s="40">
        <f t="shared" si="0"/>
        <v>0</v>
      </c>
      <c r="Q27" s="41">
        <v>1573</v>
      </c>
      <c r="R27" s="53">
        <f t="shared" si="1"/>
        <v>-0.24896971192098594</v>
      </c>
      <c r="S27" s="53">
        <f t="shared" si="2"/>
        <v>-7.5939538187232731</v>
      </c>
      <c r="U27" s="44">
        <f t="shared" si="4"/>
        <v>4.53418679986482E-2</v>
      </c>
      <c r="V27" s="45">
        <f t="shared" si="5"/>
        <v>0.1231640003032701</v>
      </c>
      <c r="W27" s="45">
        <f t="shared" si="6"/>
        <v>0.16271932762346508</v>
      </c>
      <c r="X27" s="45">
        <f t="shared" si="7"/>
        <v>0.46494000114483447</v>
      </c>
      <c r="Y27" s="45">
        <f t="shared" si="8"/>
        <v>1.6773695930126882E-3</v>
      </c>
      <c r="Z27" s="45">
        <f t="shared" si="9"/>
        <v>0.12276468763207544</v>
      </c>
      <c r="AA27" s="45">
        <f t="shared" si="10"/>
        <v>6.5683729914835301E-3</v>
      </c>
      <c r="AB27" s="45">
        <f t="shared" si="11"/>
        <v>1.3523196998723867E-3</v>
      </c>
      <c r="AC27" s="45">
        <f t="shared" si="12"/>
        <v>7.147205301333813E-2</v>
      </c>
      <c r="AD27" s="46">
        <f t="shared" si="13"/>
        <v>6.5380461055078123E-2</v>
      </c>
      <c r="AE27" s="46">
        <f t="shared" si="3"/>
        <v>0.91476959592691154</v>
      </c>
      <c r="AG27" s="47">
        <f t="shared" si="14"/>
        <v>-1.7927671433971839</v>
      </c>
      <c r="AH27" s="48">
        <f t="shared" si="15"/>
        <v>12.093338561813606</v>
      </c>
      <c r="AI27" s="49">
        <f t="shared" si="16"/>
        <v>-15.239258716049363</v>
      </c>
      <c r="AJ27" s="50">
        <f t="shared" si="23"/>
        <v>-5.8460852984946818</v>
      </c>
      <c r="AK27" s="51">
        <f t="shared" si="24"/>
        <v>2.882860287722111E-3</v>
      </c>
      <c r="AM27" s="18">
        <f t="shared" si="25"/>
        <v>0.59699254715772743</v>
      </c>
      <c r="AN27" s="52">
        <f t="shared" si="17"/>
        <v>1.3043066102928619E-5</v>
      </c>
      <c r="AO27" s="18">
        <f t="shared" si="18"/>
        <v>3.116520240305491</v>
      </c>
      <c r="AQ27">
        <f t="shared" si="19"/>
        <v>7.6387429606830874</v>
      </c>
      <c r="AR27">
        <f t="shared" si="20"/>
        <v>43525419.011252999</v>
      </c>
      <c r="AS27">
        <f t="shared" si="21"/>
        <v>17.588855670482079</v>
      </c>
      <c r="AU27">
        <f t="shared" si="22"/>
        <v>16.317139659794464</v>
      </c>
    </row>
    <row r="28" spans="1:47">
      <c r="A28" s="54">
        <v>665</v>
      </c>
      <c r="C28" s="20">
        <v>8.0472093819951657E-2</v>
      </c>
      <c r="E28" s="19">
        <v>721.4</v>
      </c>
      <c r="G28" s="56">
        <v>2.33</v>
      </c>
      <c r="H28" s="56">
        <v>8.3000000000000007</v>
      </c>
      <c r="I28" s="56">
        <v>14.4</v>
      </c>
      <c r="J28" s="56">
        <v>41.5</v>
      </c>
      <c r="K28" s="56">
        <v>0.22</v>
      </c>
      <c r="L28" s="56">
        <v>14.3</v>
      </c>
      <c r="M28" s="56">
        <v>2.93</v>
      </c>
      <c r="N28" s="56">
        <v>2.72</v>
      </c>
      <c r="O28" s="56">
        <v>10.68</v>
      </c>
      <c r="P28" s="40">
        <f t="shared" si="0"/>
        <v>0</v>
      </c>
      <c r="Q28" s="41">
        <v>1573</v>
      </c>
      <c r="R28" s="53">
        <f t="shared" si="1"/>
        <v>-0.58645448674732459</v>
      </c>
      <c r="S28" s="53">
        <f t="shared" si="2"/>
        <v>-7.931438593549613</v>
      </c>
      <c r="U28" s="44">
        <f t="shared" si="4"/>
        <v>4.3270562208263835E-2</v>
      </c>
      <c r="V28" s="45">
        <f t="shared" si="5"/>
        <v>0.11847201145687503</v>
      </c>
      <c r="W28" s="45">
        <f t="shared" si="6"/>
        <v>0.16256268139160004</v>
      </c>
      <c r="X28" s="45">
        <f t="shared" si="7"/>
        <v>0.39753591061428101</v>
      </c>
      <c r="Y28" s="45">
        <f t="shared" si="8"/>
        <v>2.6881900351138671E-3</v>
      </c>
      <c r="Z28" s="45">
        <f t="shared" si="9"/>
        <v>0.14675274237698122</v>
      </c>
      <c r="AA28" s="45">
        <f t="shared" si="10"/>
        <v>2.1104692764581809E-2</v>
      </c>
      <c r="AB28" s="45">
        <f t="shared" si="11"/>
        <v>2.2066624918529603E-2</v>
      </c>
      <c r="AC28" s="45">
        <f t="shared" si="12"/>
        <v>8.5546584233773551E-2</v>
      </c>
      <c r="AD28" s="46">
        <f t="shared" si="13"/>
        <v>7.8662471481336926E-2</v>
      </c>
      <c r="AE28" s="46">
        <f t="shared" si="3"/>
        <v>0.91952790618004832</v>
      </c>
      <c r="AG28" s="47">
        <f t="shared" si="14"/>
        <v>-0.80433707659614084</v>
      </c>
      <c r="AH28" s="48">
        <f t="shared" si="15"/>
        <v>12.855738565148858</v>
      </c>
      <c r="AI28" s="49">
        <f t="shared" si="16"/>
        <v>-15.239258716049363</v>
      </c>
      <c r="AJ28" s="50">
        <f t="shared" si="23"/>
        <v>-7.6262901852156411</v>
      </c>
      <c r="AK28" s="51">
        <f t="shared" si="24"/>
        <v>4.8722840907522436E-4</v>
      </c>
      <c r="AM28" s="18">
        <f t="shared" si="25"/>
        <v>3.0417862050768216E-2</v>
      </c>
      <c r="AN28" s="52">
        <f t="shared" si="17"/>
        <v>9.1776696525304966E-7</v>
      </c>
      <c r="AO28" s="18">
        <f t="shared" si="18"/>
        <v>0.32341865390555802</v>
      </c>
      <c r="AQ28">
        <f t="shared" si="19"/>
        <v>7.893056731756575</v>
      </c>
      <c r="AR28">
        <f t="shared" si="20"/>
        <v>78172991.506078795</v>
      </c>
      <c r="AS28">
        <f t="shared" si="21"/>
        <v>18.174434768698994</v>
      </c>
      <c r="AU28">
        <f t="shared" si="22"/>
        <v>17.239643663830115</v>
      </c>
    </row>
    <row r="29" spans="1:47">
      <c r="A29">
        <v>666</v>
      </c>
      <c r="C29" s="20">
        <v>0.10041838975877308</v>
      </c>
      <c r="E29" s="19">
        <v>1350.6</v>
      </c>
      <c r="G29" s="56">
        <v>1.87</v>
      </c>
      <c r="H29" s="56">
        <v>1.8</v>
      </c>
      <c r="I29" s="56">
        <v>15.5</v>
      </c>
      <c r="J29" s="56">
        <v>66.099999999999994</v>
      </c>
      <c r="K29" s="56">
        <v>4.8499999999999996</v>
      </c>
      <c r="L29" s="56">
        <v>3.2</v>
      </c>
      <c r="M29" s="56">
        <v>0.93</v>
      </c>
      <c r="N29" s="56"/>
      <c r="O29" s="56">
        <v>4.0999999999999996</v>
      </c>
      <c r="P29" s="40">
        <f t="shared" si="0"/>
        <v>0</v>
      </c>
      <c r="Q29" s="41">
        <v>1573</v>
      </c>
      <c r="R29" s="53">
        <f t="shared" si="1"/>
        <v>0.16125614389464671</v>
      </c>
      <c r="S29" s="53">
        <f t="shared" si="2"/>
        <v>-7.1837279629076409</v>
      </c>
      <c r="U29" s="44">
        <f t="shared" si="4"/>
        <v>3.4720001925009424E-2</v>
      </c>
      <c r="V29" s="45">
        <f t="shared" si="5"/>
        <v>2.5686899819901691E-2</v>
      </c>
      <c r="W29" s="45">
        <f t="shared" si="6"/>
        <v>0.17494098896567023</v>
      </c>
      <c r="X29" s="45">
        <f t="shared" si="7"/>
        <v>0.63304013564146522</v>
      </c>
      <c r="Y29" s="45">
        <f t="shared" si="8"/>
        <v>5.9248934106881514E-2</v>
      </c>
      <c r="Z29" s="45">
        <f t="shared" si="9"/>
        <v>3.2832328443126842E-2</v>
      </c>
      <c r="AA29" s="45">
        <f t="shared" si="10"/>
        <v>6.6972402634316889E-3</v>
      </c>
      <c r="AB29" s="45">
        <f t="shared" si="11"/>
        <v>0</v>
      </c>
      <c r="AC29" s="45">
        <f t="shared" si="12"/>
        <v>3.283347083451317E-2</v>
      </c>
      <c r="AD29" s="46">
        <f t="shared" si="13"/>
        <v>2.9536386563119719E-2</v>
      </c>
      <c r="AE29" s="46">
        <f t="shared" si="3"/>
        <v>0.89958161024122696</v>
      </c>
      <c r="AG29" s="47">
        <f t="shared" si="14"/>
        <v>-3.7657552215165291</v>
      </c>
      <c r="AH29" s="48">
        <f t="shared" si="15"/>
        <v>9.8663671470285514</v>
      </c>
      <c r="AI29" s="49">
        <f t="shared" si="16"/>
        <v>-15.239258716049363</v>
      </c>
      <c r="AJ29" s="50">
        <f t="shared" si="23"/>
        <v>-4.2109087544367902</v>
      </c>
      <c r="AK29" s="51">
        <f t="shared" si="24"/>
        <v>1.4616084101516824E-2</v>
      </c>
      <c r="AM29" s="18">
        <f t="shared" si="25"/>
        <v>216.48603783005294</v>
      </c>
      <c r="AN29" s="52">
        <f t="shared" si="17"/>
        <v>1.0243514117092352E-3</v>
      </c>
      <c r="AO29" s="18">
        <f t="shared" si="18"/>
        <v>152.62521855458576</v>
      </c>
      <c r="AQ29">
        <f t="shared" si="19"/>
        <v>6.6444398951381896</v>
      </c>
      <c r="AR29">
        <f t="shared" si="20"/>
        <v>4410013.2583192913</v>
      </c>
      <c r="AS29">
        <f t="shared" si="21"/>
        <v>15.299388253840117</v>
      </c>
      <c r="AU29">
        <f t="shared" si="22"/>
        <v>13.622504247904548</v>
      </c>
    </row>
    <row r="30" spans="1:47">
      <c r="A30">
        <v>667</v>
      </c>
      <c r="C30" s="20">
        <v>0.11457316011168907</v>
      </c>
      <c r="E30" s="19">
        <v>1312.8</v>
      </c>
      <c r="G30" s="56">
        <v>3.07</v>
      </c>
      <c r="H30" s="56">
        <v>9.1999999999999993</v>
      </c>
      <c r="I30" s="56">
        <v>14.1</v>
      </c>
      <c r="J30" s="56">
        <v>54.3</v>
      </c>
      <c r="K30" s="56">
        <v>1.1299999999999999</v>
      </c>
      <c r="L30" s="56">
        <v>9.6</v>
      </c>
      <c r="M30" s="56">
        <v>0.6</v>
      </c>
      <c r="N30" s="56"/>
      <c r="O30" s="56">
        <v>6.22</v>
      </c>
      <c r="P30" s="40">
        <f t="shared" si="0"/>
        <v>0</v>
      </c>
      <c r="Q30" s="41">
        <v>1573</v>
      </c>
      <c r="R30" s="53">
        <f t="shared" si="1"/>
        <v>0.33448696084059537</v>
      </c>
      <c r="S30" s="53">
        <f t="shared" si="2"/>
        <v>-7.0104971459616934</v>
      </c>
      <c r="U30" s="44">
        <f t="shared" si="4"/>
        <v>5.5131635287776676E-2</v>
      </c>
      <c r="V30" s="45">
        <f t="shared" si="5"/>
        <v>0.12698469470318424</v>
      </c>
      <c r="W30" s="45">
        <f t="shared" si="6"/>
        <v>0.15392294240515608</v>
      </c>
      <c r="X30" s="45">
        <f t="shared" si="7"/>
        <v>0.50298378059413296</v>
      </c>
      <c r="Y30" s="45">
        <f t="shared" si="8"/>
        <v>1.3351855132900855E-2</v>
      </c>
      <c r="Z30" s="45">
        <f t="shared" si="9"/>
        <v>9.5268056014992025E-2</v>
      </c>
      <c r="AA30" s="45">
        <f t="shared" si="10"/>
        <v>4.1791556487177353E-3</v>
      </c>
      <c r="AB30" s="45">
        <f t="shared" si="11"/>
        <v>0</v>
      </c>
      <c r="AC30" s="45">
        <f t="shared" si="12"/>
        <v>4.8177880213139471E-2</v>
      </c>
      <c r="AD30" s="46">
        <f t="shared" si="13"/>
        <v>4.2657988229637664E-2</v>
      </c>
      <c r="AE30" s="46">
        <f t="shared" si="3"/>
        <v>0.88542683988831095</v>
      </c>
      <c r="AG30" s="47">
        <f t="shared" si="14"/>
        <v>-2.5274423369610197</v>
      </c>
      <c r="AH30" s="48">
        <f t="shared" si="15"/>
        <v>11.845115062142941</v>
      </c>
      <c r="AI30" s="49">
        <f t="shared" si="16"/>
        <v>-15.239258716049363</v>
      </c>
      <c r="AJ30" s="50">
        <f t="shared" si="23"/>
        <v>-2.6727163303840769</v>
      </c>
      <c r="AK30" s="51">
        <f t="shared" si="24"/>
        <v>6.4602628866242129E-2</v>
      </c>
      <c r="AM30" s="18">
        <f t="shared" si="25"/>
        <v>23.078139846304069</v>
      </c>
      <c r="AN30" s="52">
        <f t="shared" si="17"/>
        <v>6.0838801507266888E-4</v>
      </c>
      <c r="AO30" s="18">
        <f t="shared" si="18"/>
        <v>74.257884077032443</v>
      </c>
      <c r="AQ30">
        <f t="shared" si="19"/>
        <v>7.3904151480445659</v>
      </c>
      <c r="AR30">
        <f t="shared" si="20"/>
        <v>24570565.274424631</v>
      </c>
      <c r="AS30">
        <f t="shared" si="21"/>
        <v>17.017059750924801</v>
      </c>
      <c r="AU30">
        <f t="shared" si="22"/>
        <v>16.016789225192959</v>
      </c>
    </row>
    <row r="31" spans="1:47">
      <c r="A31">
        <v>682</v>
      </c>
      <c r="C31" s="20">
        <v>8.1659991311341468E-2</v>
      </c>
      <c r="E31" s="19">
        <v>878.4</v>
      </c>
      <c r="G31" s="56">
        <v>4.7300000000000004</v>
      </c>
      <c r="H31" s="56">
        <v>3.3</v>
      </c>
      <c r="I31" s="56">
        <v>17</v>
      </c>
      <c r="J31" s="56">
        <v>62.2</v>
      </c>
      <c r="K31" s="56">
        <v>1.38</v>
      </c>
      <c r="L31" s="56">
        <v>6.5</v>
      </c>
      <c r="M31" s="56">
        <v>0.63</v>
      </c>
      <c r="N31" s="56"/>
      <c r="O31" s="56">
        <v>3.53</v>
      </c>
      <c r="P31" s="40">
        <f t="shared" si="0"/>
        <v>0</v>
      </c>
      <c r="Q31" s="41">
        <v>1573</v>
      </c>
      <c r="R31" s="53">
        <f t="shared" si="1"/>
        <v>-0.29676484318176011</v>
      </c>
      <c r="S31" s="53">
        <f t="shared" si="2"/>
        <v>-7.6417489499840467</v>
      </c>
      <c r="U31" s="44">
        <f t="shared" si="4"/>
        <v>8.4538615580871376E-2</v>
      </c>
      <c r="V31" s="45">
        <f t="shared" si="5"/>
        <v>4.5332428309302383E-2</v>
      </c>
      <c r="W31" s="45">
        <f t="shared" si="6"/>
        <v>0.18469904811350993</v>
      </c>
      <c r="X31" s="45">
        <f t="shared" si="7"/>
        <v>0.57342421360717366</v>
      </c>
      <c r="Y31" s="45">
        <f t="shared" si="8"/>
        <v>1.6228326854628317E-2</v>
      </c>
      <c r="Z31" s="45">
        <f t="shared" si="9"/>
        <v>6.4197914296146033E-2</v>
      </c>
      <c r="AA31" s="45">
        <f t="shared" si="10"/>
        <v>4.3672629079590979E-3</v>
      </c>
      <c r="AB31" s="45">
        <f t="shared" si="11"/>
        <v>0</v>
      </c>
      <c r="AC31" s="45">
        <f t="shared" si="12"/>
        <v>2.7212190330409246E-2</v>
      </c>
      <c r="AD31" s="46">
        <f t="shared" si="13"/>
        <v>2.4990043104465457E-2</v>
      </c>
      <c r="AE31" s="46">
        <f t="shared" si="3"/>
        <v>0.9183400086886585</v>
      </c>
      <c r="AG31" s="47">
        <f t="shared" si="14"/>
        <v>-3.5186963397855155</v>
      </c>
      <c r="AH31" s="48">
        <f t="shared" si="15"/>
        <v>10.973448766033972</v>
      </c>
      <c r="AI31" s="49">
        <f t="shared" si="16"/>
        <v>-15.239258716049363</v>
      </c>
      <c r="AJ31" s="50">
        <f t="shared" si="23"/>
        <v>-5.4601506114034848</v>
      </c>
      <c r="AK31" s="51">
        <f t="shared" si="24"/>
        <v>4.2349044696394778E-3</v>
      </c>
      <c r="AM31" s="18">
        <f t="shared" si="25"/>
        <v>19.87239952151684</v>
      </c>
      <c r="AN31" s="52">
        <f t="shared" si="17"/>
        <v>6.3801031262362309E-5</v>
      </c>
      <c r="AO31" s="18">
        <f t="shared" si="18"/>
        <v>16.107031969755045</v>
      </c>
      <c r="AQ31">
        <f t="shared" si="19"/>
        <v>7.0494749940082659</v>
      </c>
      <c r="AR31">
        <f t="shared" si="20"/>
        <v>11206628.982756637</v>
      </c>
      <c r="AS31">
        <f t="shared" si="21"/>
        <v>16.232016034637724</v>
      </c>
      <c r="AU31">
        <f t="shared" si="22"/>
        <v>14.962073006901104</v>
      </c>
    </row>
    <row r="32" spans="1:47">
      <c r="A32">
        <v>684</v>
      </c>
      <c r="C32" s="20">
        <v>9.4801350740539261E-2</v>
      </c>
      <c r="E32" s="19">
        <v>1056.5</v>
      </c>
      <c r="G32" s="56">
        <v>2.09</v>
      </c>
      <c r="H32" s="56">
        <v>13.5</v>
      </c>
      <c r="I32" s="56">
        <v>11.5</v>
      </c>
      <c r="J32" s="56">
        <v>45.7</v>
      </c>
      <c r="K32" s="56"/>
      <c r="L32" s="56">
        <v>9.6999999999999993</v>
      </c>
      <c r="M32" s="56">
        <v>2.4500000000000002</v>
      </c>
      <c r="N32" s="56">
        <v>0.2</v>
      </c>
      <c r="O32" s="56">
        <v>11.7</v>
      </c>
      <c r="P32" s="40">
        <f t="shared" si="0"/>
        <v>0</v>
      </c>
      <c r="Q32" s="41">
        <v>1573</v>
      </c>
      <c r="R32" s="53">
        <f t="shared" si="1"/>
        <v>0.26869783828303961</v>
      </c>
      <c r="S32" s="53">
        <f t="shared" si="2"/>
        <v>-7.0762862685192491</v>
      </c>
      <c r="U32" s="44">
        <f t="shared" si="4"/>
        <v>3.8367148336239013E-2</v>
      </c>
      <c r="V32" s="45">
        <f t="shared" si="5"/>
        <v>0.19047941840503999</v>
      </c>
      <c r="W32" s="45">
        <f t="shared" si="6"/>
        <v>0.12833136702272344</v>
      </c>
      <c r="X32" s="45">
        <f t="shared" si="7"/>
        <v>0.43273406798240432</v>
      </c>
      <c r="Y32" s="45">
        <f t="shared" si="8"/>
        <v>0</v>
      </c>
      <c r="Z32" s="45">
        <f t="shared" si="9"/>
        <v>9.8400779912142411E-2</v>
      </c>
      <c r="AA32" s="45">
        <f t="shared" si="10"/>
        <v>1.744432287370646E-2</v>
      </c>
      <c r="AB32" s="45">
        <f t="shared" si="11"/>
        <v>1.6038864664121404E-3</v>
      </c>
      <c r="AC32" s="45">
        <f t="shared" si="12"/>
        <v>9.2639009001332193E-2</v>
      </c>
      <c r="AD32" s="46">
        <f t="shared" si="13"/>
        <v>8.3856705816740928E-2</v>
      </c>
      <c r="AE32" s="46">
        <f t="shared" si="3"/>
        <v>0.9051986492594607</v>
      </c>
      <c r="AG32" s="47">
        <f t="shared" si="14"/>
        <v>-1.2437396277441044</v>
      </c>
      <c r="AH32" s="48">
        <f t="shared" si="15"/>
        <v>12.201778073421337</v>
      </c>
      <c r="AI32" s="49">
        <f t="shared" si="16"/>
        <v>-15.239258716049363</v>
      </c>
      <c r="AJ32" s="50">
        <f t="shared" si="23"/>
        <v>-3.9027261340869615</v>
      </c>
      <c r="AK32" s="51">
        <f t="shared" si="24"/>
        <v>1.9787360846131863E-2</v>
      </c>
      <c r="AM32" s="18">
        <f t="shared" si="25"/>
        <v>1.0824101224616096</v>
      </c>
      <c r="AN32" s="52">
        <f t="shared" si="17"/>
        <v>1.0497659655762819E-4</v>
      </c>
      <c r="AO32" s="18">
        <f t="shared" si="18"/>
        <v>13.821302420715822</v>
      </c>
      <c r="AQ32">
        <f t="shared" si="19"/>
        <v>7.5597832288998514</v>
      </c>
      <c r="AR32">
        <f t="shared" si="20"/>
        <v>36289687.542338155</v>
      </c>
      <c r="AS32">
        <f t="shared" si="21"/>
        <v>17.407044169131193</v>
      </c>
      <c r="AU32">
        <f t="shared" si="22"/>
        <v>16.448351468839817</v>
      </c>
    </row>
    <row r="33" spans="1:47">
      <c r="A33">
        <v>758</v>
      </c>
      <c r="C33" s="20">
        <v>0.12150741558887421</v>
      </c>
      <c r="E33" s="19">
        <v>1227.5999999999999</v>
      </c>
      <c r="G33" s="56">
        <v>6.28</v>
      </c>
      <c r="H33" s="56">
        <v>2.1</v>
      </c>
      <c r="I33" s="56">
        <v>20.6</v>
      </c>
      <c r="J33" s="56">
        <v>57.7</v>
      </c>
      <c r="K33" s="56">
        <v>2.44</v>
      </c>
      <c r="L33" s="56">
        <v>4.8</v>
      </c>
      <c r="M33" s="56">
        <v>1.66</v>
      </c>
      <c r="N33" s="56">
        <v>0.15</v>
      </c>
      <c r="O33" s="56">
        <v>4.92</v>
      </c>
      <c r="P33" s="40">
        <f t="shared" si="0"/>
        <v>0</v>
      </c>
      <c r="Q33" s="41">
        <v>1573</v>
      </c>
      <c r="R33" s="53">
        <f t="shared" si="1"/>
        <v>0.26664466856213215</v>
      </c>
      <c r="S33" s="53">
        <f t="shared" si="2"/>
        <v>-7.0783394382401568</v>
      </c>
      <c r="U33" s="44">
        <f t="shared" si="4"/>
        <v>0.10965938882614878</v>
      </c>
      <c r="V33" s="45">
        <f t="shared" si="5"/>
        <v>2.8184252751147415E-2</v>
      </c>
      <c r="W33" s="45">
        <f t="shared" si="6"/>
        <v>0.21866291973585381</v>
      </c>
      <c r="X33" s="45">
        <f t="shared" si="7"/>
        <v>0.51970110798653713</v>
      </c>
      <c r="Y33" s="45">
        <f t="shared" si="8"/>
        <v>2.8033458023052099E-2</v>
      </c>
      <c r="Z33" s="45">
        <f t="shared" si="9"/>
        <v>4.6317060155951238E-2</v>
      </c>
      <c r="AA33" s="45">
        <f t="shared" si="10"/>
        <v>1.1242659620582856E-2</v>
      </c>
      <c r="AB33" s="45">
        <f t="shared" si="11"/>
        <v>1.1442155049803291E-3</v>
      </c>
      <c r="AC33" s="45">
        <f t="shared" si="12"/>
        <v>3.705493739574655E-2</v>
      </c>
      <c r="AD33" s="46">
        <f t="shared" si="13"/>
        <v>3.2552487717981859E-2</v>
      </c>
      <c r="AE33" s="46">
        <f t="shared" si="3"/>
        <v>0.87849258441112577</v>
      </c>
      <c r="AG33" s="47">
        <f t="shared" si="14"/>
        <v>-3.0943149224034343</v>
      </c>
      <c r="AH33" s="48">
        <f t="shared" si="15"/>
        <v>11.580641156097521</v>
      </c>
      <c r="AI33" s="49">
        <f t="shared" si="16"/>
        <v>-15.239258716049363</v>
      </c>
      <c r="AJ33" s="50">
        <f t="shared" si="23"/>
        <v>-2.6827429527369517</v>
      </c>
      <c r="AK33" s="51">
        <f t="shared" si="24"/>
        <v>6.399936743949397E-2</v>
      </c>
      <c r="AM33" s="18">
        <f t="shared" si="25"/>
        <v>53.704960055301967</v>
      </c>
      <c r="AN33" s="52">
        <f t="shared" si="17"/>
        <v>7.3421628041968725E-4</v>
      </c>
      <c r="AO33" s="18">
        <f t="shared" si="18"/>
        <v>96.896273833096402</v>
      </c>
      <c r="AQ33">
        <f t="shared" si="19"/>
        <v>7.2879882426954463</v>
      </c>
      <c r="AR33">
        <f t="shared" si="20"/>
        <v>19408333.342646211</v>
      </c>
      <c r="AS33">
        <f t="shared" si="21"/>
        <v>16.781213085546408</v>
      </c>
      <c r="AU33">
        <f t="shared" si="22"/>
        <v>15.696775798877997</v>
      </c>
    </row>
    <row r="34" spans="1:47">
      <c r="A34">
        <v>884</v>
      </c>
      <c r="C34" s="20">
        <v>0.10444613061431011</v>
      </c>
      <c r="E34" s="19">
        <v>1194.6666666666667</v>
      </c>
      <c r="G34" s="56">
        <v>0.57999999999999996</v>
      </c>
      <c r="H34" s="56">
        <v>14.1</v>
      </c>
      <c r="I34" s="56">
        <v>10.8</v>
      </c>
      <c r="J34" s="56">
        <v>42</v>
      </c>
      <c r="K34" s="56"/>
      <c r="L34" s="56">
        <v>18.2</v>
      </c>
      <c r="M34" s="56"/>
      <c r="N34" s="56"/>
      <c r="O34" s="56">
        <v>11.86</v>
      </c>
      <c r="P34" s="40">
        <f t="shared" si="0"/>
        <v>0</v>
      </c>
      <c r="Q34" s="41">
        <v>1573</v>
      </c>
      <c r="R34" s="53">
        <f t="shared" si="1"/>
        <v>-0.13869487216269261</v>
      </c>
      <c r="S34" s="53">
        <f t="shared" si="2"/>
        <v>-7.4836789789649796</v>
      </c>
      <c r="U34" s="44">
        <f t="shared" si="4"/>
        <v>1.0580208574820291E-2</v>
      </c>
      <c r="V34" s="45">
        <f t="shared" si="5"/>
        <v>0.19769077375157787</v>
      </c>
      <c r="W34" s="45">
        <f t="shared" si="6"/>
        <v>0.11975998594187558</v>
      </c>
      <c r="X34" s="45">
        <f t="shared" si="7"/>
        <v>0.39519112094261089</v>
      </c>
      <c r="Y34" s="45">
        <f t="shared" si="8"/>
        <v>0</v>
      </c>
      <c r="Z34" s="45">
        <f t="shared" si="9"/>
        <v>0.18346414235676223</v>
      </c>
      <c r="AA34" s="45">
        <f t="shared" si="10"/>
        <v>0</v>
      </c>
      <c r="AB34" s="45">
        <f t="shared" si="11"/>
        <v>0</v>
      </c>
      <c r="AC34" s="45">
        <f t="shared" si="12"/>
        <v>9.3313768432353186E-2</v>
      </c>
      <c r="AD34" s="46">
        <f t="shared" si="13"/>
        <v>8.3567506386554136E-2</v>
      </c>
      <c r="AE34" s="46">
        <f t="shared" si="3"/>
        <v>0.89555386938568993</v>
      </c>
      <c r="AG34" s="47">
        <f t="shared" si="14"/>
        <v>-0.79026634747925684</v>
      </c>
      <c r="AH34" s="48">
        <f t="shared" si="15"/>
        <v>13.396085129863668</v>
      </c>
      <c r="AI34" s="49">
        <f t="shared" si="16"/>
        <v>-15.239258716049363</v>
      </c>
      <c r="AJ34" s="50">
        <f t="shared" si="23"/>
        <v>-5.0380051220430389</v>
      </c>
      <c r="AK34" s="51">
        <f t="shared" si="24"/>
        <v>6.4448697668290089E-3</v>
      </c>
      <c r="AM34" s="18">
        <f t="shared" si="25"/>
        <v>0.22470621364171964</v>
      </c>
      <c r="AN34" s="52">
        <f t="shared" si="17"/>
        <v>1.1711567913168857E-5</v>
      </c>
      <c r="AO34" s="18">
        <f t="shared" si="18"/>
        <v>2.4647216375012806</v>
      </c>
      <c r="AQ34">
        <f t="shared" si="19"/>
        <v>8.0724657917979652</v>
      </c>
      <c r="AR34">
        <f t="shared" si="20"/>
        <v>118158723.84474</v>
      </c>
      <c r="AS34">
        <f t="shared" si="21"/>
        <v>18.587539395898371</v>
      </c>
      <c r="AU34">
        <f t="shared" si="22"/>
        <v>17.893463007135036</v>
      </c>
    </row>
    <row r="35" spans="1:47">
      <c r="A35">
        <v>3073</v>
      </c>
      <c r="C35" s="20">
        <v>8.6422792346659422E-2</v>
      </c>
      <c r="E35" s="19">
        <v>905.75</v>
      </c>
      <c r="G35" s="56">
        <v>2.4700000000000002</v>
      </c>
      <c r="H35" s="56">
        <v>0.3</v>
      </c>
      <c r="I35" s="56">
        <v>16.399999999999999</v>
      </c>
      <c r="J35" s="56">
        <v>70.2</v>
      </c>
      <c r="K35" s="56">
        <v>6.93</v>
      </c>
      <c r="L35" s="56">
        <v>1.1000000000000001</v>
      </c>
      <c r="M35" s="56">
        <v>0.32</v>
      </c>
      <c r="N35" s="56"/>
      <c r="O35" s="56">
        <v>1.0900000000000001</v>
      </c>
      <c r="P35" s="40">
        <f t="shared" si="0"/>
        <v>0</v>
      </c>
      <c r="Q35" s="41">
        <v>1573</v>
      </c>
      <c r="R35" s="53">
        <f t="shared" si="1"/>
        <v>-0.35990439138653557</v>
      </c>
      <c r="S35" s="53">
        <f t="shared" si="2"/>
        <v>-7.7048884981888239</v>
      </c>
      <c r="U35" s="44">
        <f t="shared" si="4"/>
        <v>4.5203563926068405E-2</v>
      </c>
      <c r="V35" s="45">
        <f t="shared" si="5"/>
        <v>4.219859884292642E-3</v>
      </c>
      <c r="W35" s="45">
        <f t="shared" si="6"/>
        <v>0.18244892825740425</v>
      </c>
      <c r="X35" s="45">
        <f t="shared" si="7"/>
        <v>0.66268095248194014</v>
      </c>
      <c r="Y35" s="45">
        <f t="shared" si="8"/>
        <v>8.3446788478791764E-2</v>
      </c>
      <c r="Z35" s="45">
        <f t="shared" si="9"/>
        <v>1.1124537897536096E-2</v>
      </c>
      <c r="AA35" s="45">
        <f t="shared" si="10"/>
        <v>2.27143596875667E-3</v>
      </c>
      <c r="AB35" s="45">
        <f t="shared" si="11"/>
        <v>0</v>
      </c>
      <c r="AC35" s="45">
        <f t="shared" si="12"/>
        <v>8.6039331052099512E-3</v>
      </c>
      <c r="AD35" s="46">
        <f t="shared" si="13"/>
        <v>7.8603571810938432E-3</v>
      </c>
      <c r="AE35" s="46">
        <f t="shared" si="3"/>
        <v>0.91357720765334061</v>
      </c>
      <c r="AG35" s="47">
        <f t="shared" si="14"/>
        <v>-4.5624169634424394</v>
      </c>
      <c r="AH35" s="48">
        <f t="shared" si="15"/>
        <v>9.8862149252975549</v>
      </c>
      <c r="AI35" s="49">
        <f t="shared" si="16"/>
        <v>-15.239258716049363</v>
      </c>
      <c r="AJ35" s="50">
        <f t="shared" si="23"/>
        <v>-5.7944321934323781</v>
      </c>
      <c r="AK35" s="51">
        <f t="shared" si="24"/>
        <v>3.0352180040431609E-3</v>
      </c>
      <c r="AM35" s="18">
        <f t="shared" si="25"/>
        <v>147.69059632111382</v>
      </c>
      <c r="AN35" s="52">
        <f t="shared" si="17"/>
        <v>1.3985230974550235E-4</v>
      </c>
      <c r="AO35" s="18">
        <f t="shared" si="18"/>
        <v>37.968832179175685</v>
      </c>
      <c r="AQ35">
        <f t="shared" si="19"/>
        <v>6.5070333288698823</v>
      </c>
      <c r="AR35">
        <f t="shared" si="20"/>
        <v>3213907.1726372158</v>
      </c>
      <c r="AS35">
        <f t="shared" si="21"/>
        <v>14.982997942671213</v>
      </c>
      <c r="AU35">
        <f t="shared" si="22"/>
        <v>13.646520059610044</v>
      </c>
    </row>
    <row r="36" spans="1:47">
      <c r="A36">
        <v>3079</v>
      </c>
      <c r="C36" s="20">
        <v>9.0006754130687053E-2</v>
      </c>
      <c r="E36" s="19">
        <v>933.2</v>
      </c>
      <c r="G36" s="56">
        <v>0.9</v>
      </c>
      <c r="H36" s="56">
        <v>11.9</v>
      </c>
      <c r="I36" s="56">
        <v>16.899999999999999</v>
      </c>
      <c r="J36" s="56">
        <v>47.6</v>
      </c>
      <c r="K36" s="56"/>
      <c r="L36" s="56">
        <v>21.9</v>
      </c>
      <c r="M36" s="56"/>
      <c r="N36" s="56"/>
      <c r="O36" s="56"/>
      <c r="P36" s="40">
        <f t="shared" si="0"/>
        <v>0</v>
      </c>
      <c r="Q36" s="41">
        <v>1573</v>
      </c>
      <c r="R36" s="53">
        <f t="shared" si="1"/>
        <v>-0.74457869344856431</v>
      </c>
      <c r="S36" s="53">
        <f t="shared" si="2"/>
        <v>-8.0895628002508513</v>
      </c>
      <c r="U36" s="44">
        <f t="shared" si="4"/>
        <v>1.5796597038753496E-2</v>
      </c>
      <c r="V36" s="45">
        <f t="shared" si="5"/>
        <v>0.16053474571617482</v>
      </c>
      <c r="W36" s="45">
        <f t="shared" si="6"/>
        <v>0.18031401341928002</v>
      </c>
      <c r="X36" s="45">
        <f t="shared" si="7"/>
        <v>0.43094280607697533</v>
      </c>
      <c r="Y36" s="45">
        <f t="shared" si="8"/>
        <v>0</v>
      </c>
      <c r="Z36" s="45">
        <f t="shared" si="9"/>
        <v>0.21241183774881636</v>
      </c>
      <c r="AA36" s="45">
        <f t="shared" si="10"/>
        <v>0</v>
      </c>
      <c r="AB36" s="45">
        <f t="shared" si="11"/>
        <v>0</v>
      </c>
      <c r="AC36" s="45">
        <f t="shared" si="12"/>
        <v>0</v>
      </c>
      <c r="AD36" s="46">
        <f t="shared" si="13"/>
        <v>0</v>
      </c>
      <c r="AE36" s="46">
        <f t="shared" si="3"/>
        <v>0.90999324586931296</v>
      </c>
      <c r="AG36" s="47">
        <f t="shared" si="14"/>
        <v>-3.1025140001774116</v>
      </c>
      <c r="AH36" s="48">
        <f t="shared" si="15"/>
        <v>13.044374886305395</v>
      </c>
      <c r="AI36" s="49">
        <f t="shared" si="16"/>
        <v>-15.239258716049363</v>
      </c>
      <c r="AJ36" s="50">
        <f t="shared" si="23"/>
        <v>-5.8676658228613903</v>
      </c>
      <c r="AK36" s="51">
        <f t="shared" si="24"/>
        <v>2.8214868038556329E-3</v>
      </c>
      <c r="AM36" s="18">
        <f t="shared" si="25"/>
        <v>3.4893288758921197</v>
      </c>
      <c r="AN36" s="52">
        <f t="shared" si="17"/>
        <v>5.6931512324270453E-6</v>
      </c>
      <c r="AO36" s="18">
        <f t="shared" si="18"/>
        <v>2.4068413699887143</v>
      </c>
      <c r="AQ36">
        <f t="shared" si="19"/>
        <v>8.1126770754707973</v>
      </c>
      <c r="AR36">
        <f t="shared" si="20"/>
        <v>129621509.73048897</v>
      </c>
      <c r="AS36">
        <f t="shared" si="21"/>
        <v>18.68012929825359</v>
      </c>
      <c r="AU36">
        <f t="shared" si="22"/>
        <v>17.467893612429528</v>
      </c>
    </row>
    <row r="37" spans="1:47">
      <c r="C37" s="20"/>
      <c r="E37" s="19"/>
      <c r="G37" s="56">
        <v>0.79</v>
      </c>
      <c r="H37" s="56">
        <v>14.1</v>
      </c>
      <c r="I37" s="56">
        <v>20.100000000000001</v>
      </c>
      <c r="J37" s="56">
        <v>45</v>
      </c>
      <c r="K37" s="56"/>
      <c r="L37" s="56">
        <v>19.2</v>
      </c>
      <c r="M37" s="56"/>
      <c r="N37" s="56"/>
      <c r="O37" s="56"/>
      <c r="P37" s="40">
        <f t="shared" si="0"/>
        <v>0</v>
      </c>
      <c r="Q37" s="41">
        <v>1573</v>
      </c>
      <c r="R37" s="53" t="e">
        <f t="shared" si="1"/>
        <v>#NUM!</v>
      </c>
      <c r="S37" s="53" t="e">
        <f t="shared" si="2"/>
        <v>#NUM!</v>
      </c>
      <c r="U37" s="44">
        <f t="shared" si="4"/>
        <v>1.3699268841857765E-2</v>
      </c>
      <c r="V37" s="45">
        <f t="shared" si="5"/>
        <v>0.18792755468496727</v>
      </c>
      <c r="W37" s="45">
        <f t="shared" si="6"/>
        <v>0.21187909039346181</v>
      </c>
      <c r="X37" s="45">
        <f t="shared" si="7"/>
        <v>0.40250795065256334</v>
      </c>
      <c r="Y37" s="45">
        <f t="shared" si="8"/>
        <v>0</v>
      </c>
      <c r="Z37" s="45">
        <f t="shared" si="9"/>
        <v>0.18398613542714981</v>
      </c>
      <c r="AA37" s="45">
        <f t="shared" si="10"/>
        <v>0</v>
      </c>
      <c r="AB37" s="45">
        <f t="shared" si="11"/>
        <v>0</v>
      </c>
      <c r="AC37" s="45">
        <f t="shared" si="12"/>
        <v>0</v>
      </c>
      <c r="AD37" s="46">
        <f t="shared" si="13"/>
        <v>0</v>
      </c>
      <c r="AE37" s="46">
        <f t="shared" si="3"/>
        <v>1</v>
      </c>
      <c r="AG37" s="47">
        <f t="shared" si="14"/>
        <v>-3.1591581695861226</v>
      </c>
      <c r="AH37" s="48">
        <f t="shared" si="15"/>
        <v>12.754316345549302</v>
      </c>
      <c r="AI37" s="49">
        <f t="shared" si="16"/>
        <v>-15.239258716049363</v>
      </c>
      <c r="AJ37" s="50" t="e">
        <f t="shared" si="23"/>
        <v>#NUM!</v>
      </c>
      <c r="AK37" s="51" t="e">
        <f t="shared" si="24"/>
        <v>#NUM!</v>
      </c>
      <c r="AM37" s="18" t="e">
        <f t="shared" si="25"/>
        <v>#NUM!</v>
      </c>
      <c r="AN37" s="52" t="e">
        <f t="shared" si="17"/>
        <v>#NUM!</v>
      </c>
      <c r="AO37" s="18" t="e">
        <f t="shared" si="18"/>
        <v>#NUM!</v>
      </c>
      <c r="AQ37">
        <f t="shared" si="19"/>
        <v>8.2586895033076768</v>
      </c>
      <c r="AR37">
        <f t="shared" si="20"/>
        <v>181421813.27140772</v>
      </c>
      <c r="AS37">
        <f t="shared" si="21"/>
        <v>19.016335337982657</v>
      </c>
      <c r="AU37">
        <f t="shared" si="22"/>
        <v>17.116922778114656</v>
      </c>
    </row>
    <row r="38" spans="1:47">
      <c r="A38">
        <v>3831</v>
      </c>
      <c r="C38" s="20">
        <v>0.11783145858317434</v>
      </c>
      <c r="E38" s="19">
        <v>1136.5</v>
      </c>
      <c r="G38" s="56">
        <v>0.78</v>
      </c>
      <c r="H38" s="56">
        <v>14.4</v>
      </c>
      <c r="I38" s="56">
        <v>15.3</v>
      </c>
      <c r="J38" s="56">
        <v>49.1</v>
      </c>
      <c r="K38" s="56"/>
      <c r="L38" s="56">
        <v>19.100000000000001</v>
      </c>
      <c r="M38" s="56"/>
      <c r="N38" s="56"/>
      <c r="O38" s="56"/>
      <c r="P38" s="40">
        <f t="shared" si="0"/>
        <v>0</v>
      </c>
      <c r="Q38" s="41">
        <v>1573</v>
      </c>
      <c r="R38" s="53">
        <f t="shared" si="1"/>
        <v>5.6706943525770992E-2</v>
      </c>
      <c r="S38" s="53">
        <f t="shared" si="2"/>
        <v>-7.2882771632765166</v>
      </c>
      <c r="U38" s="44">
        <f t="shared" si="4"/>
        <v>1.3677105308698864E-2</v>
      </c>
      <c r="V38" s="45">
        <f t="shared" si="5"/>
        <v>0.19407211241601546</v>
      </c>
      <c r="W38" s="45">
        <f t="shared" si="6"/>
        <v>0.16308452914676544</v>
      </c>
      <c r="X38" s="45">
        <f t="shared" si="7"/>
        <v>0.44409177787872511</v>
      </c>
      <c r="Y38" s="45">
        <f t="shared" si="8"/>
        <v>0</v>
      </c>
      <c r="Z38" s="45">
        <f t="shared" si="9"/>
        <v>0.18507447524979506</v>
      </c>
      <c r="AA38" s="45">
        <f t="shared" si="10"/>
        <v>0</v>
      </c>
      <c r="AB38" s="45">
        <f t="shared" si="11"/>
        <v>0</v>
      </c>
      <c r="AC38" s="45">
        <f t="shared" si="12"/>
        <v>0</v>
      </c>
      <c r="AD38" s="46">
        <f t="shared" si="13"/>
        <v>0</v>
      </c>
      <c r="AE38" s="46">
        <f t="shared" si="3"/>
        <v>0.88216854141682566</v>
      </c>
      <c r="AG38" s="47">
        <f t="shared" si="14"/>
        <v>-3.2113315418985238</v>
      </c>
      <c r="AH38" s="48">
        <f t="shared" si="15"/>
        <v>12.717988512387816</v>
      </c>
      <c r="AI38" s="49">
        <f t="shared" si="16"/>
        <v>-15.239258716049363</v>
      </c>
      <c r="AJ38" s="50">
        <f t="shared" si="23"/>
        <v>-2.3951779292031752</v>
      </c>
      <c r="AK38" s="51">
        <f t="shared" si="24"/>
        <v>8.3541143351437031E-2</v>
      </c>
      <c r="AM38" s="18">
        <f t="shared" si="25"/>
        <v>34.388623984311572</v>
      </c>
      <c r="AN38" s="52">
        <f t="shared" si="17"/>
        <v>2.8452315968960785E-4</v>
      </c>
      <c r="AO38" s="18">
        <f t="shared" si="18"/>
        <v>47.815593609619604</v>
      </c>
      <c r="AQ38">
        <f t="shared" si="19"/>
        <v>7.9438443633929392</v>
      </c>
      <c r="AR38">
        <f t="shared" si="20"/>
        <v>87870756.101874039</v>
      </c>
      <c r="AS38">
        <f t="shared" si="21"/>
        <v>18.29137761221336</v>
      </c>
      <c r="AU38">
        <f t="shared" si="22"/>
        <v>17.072966099989259</v>
      </c>
    </row>
    <row r="39" spans="1:47">
      <c r="A39">
        <v>4088</v>
      </c>
      <c r="C39" s="20">
        <v>0.10202792002168841</v>
      </c>
      <c r="E39" s="19">
        <v>957.4</v>
      </c>
      <c r="G39" s="57">
        <v>4.03</v>
      </c>
      <c r="H39" s="57">
        <v>4.3</v>
      </c>
      <c r="I39" s="57">
        <v>16.399999999999999</v>
      </c>
      <c r="J39" s="57">
        <v>48.3</v>
      </c>
      <c r="K39" s="57">
        <v>0.93</v>
      </c>
      <c r="L39" s="57">
        <v>9.5</v>
      </c>
      <c r="M39" s="57">
        <v>3.46</v>
      </c>
      <c r="N39" s="57">
        <v>0.24</v>
      </c>
      <c r="O39" s="57">
        <v>10.63</v>
      </c>
      <c r="P39" s="40">
        <f t="shared" si="0"/>
        <v>0</v>
      </c>
      <c r="Q39" s="41">
        <v>1623</v>
      </c>
      <c r="R39" s="53">
        <f t="shared" si="1"/>
        <v>-3.2709576697064757E-2</v>
      </c>
      <c r="S39" s="53">
        <f t="shared" si="2"/>
        <v>-6.8870903530371752</v>
      </c>
      <c r="U39" s="44">
        <f t="shared" si="4"/>
        <v>7.4475995826234556E-2</v>
      </c>
      <c r="V39" s="45">
        <f t="shared" si="5"/>
        <v>6.1077433730014334E-2</v>
      </c>
      <c r="W39" s="45">
        <f t="shared" si="6"/>
        <v>0.18423700538790641</v>
      </c>
      <c r="X39" s="45">
        <f t="shared" si="7"/>
        <v>0.46041562715649981</v>
      </c>
      <c r="Y39" s="45">
        <f t="shared" si="8"/>
        <v>1.1308236700906461E-2</v>
      </c>
      <c r="Z39" s="45">
        <f t="shared" si="9"/>
        <v>9.7017135885382563E-2</v>
      </c>
      <c r="AA39" s="45">
        <f t="shared" si="10"/>
        <v>2.4800598896469003E-2</v>
      </c>
      <c r="AB39" s="45">
        <f t="shared" si="11"/>
        <v>1.9375499462978957E-3</v>
      </c>
      <c r="AC39" s="45">
        <f t="shared" si="12"/>
        <v>8.4730416470288922E-2</v>
      </c>
      <c r="AD39" s="46">
        <f t="shared" si="13"/>
        <v>7.6085548315253937E-2</v>
      </c>
      <c r="AE39" s="46">
        <f t="shared" si="3"/>
        <v>0.89797207997831163</v>
      </c>
      <c r="AG39" s="47">
        <f t="shared" si="14"/>
        <v>-1.2597447299544875</v>
      </c>
      <c r="AH39" s="48">
        <f t="shared" si="15"/>
        <v>11.416087323782079</v>
      </c>
      <c r="AI39" s="49">
        <f t="shared" si="16"/>
        <v>-14.164278044873843</v>
      </c>
      <c r="AJ39" s="50">
        <f t="shared" si="23"/>
        <v>-4.8761130634025918</v>
      </c>
      <c r="AK39" s="51">
        <f t="shared" si="24"/>
        <v>7.5688758099389242E-3</v>
      </c>
      <c r="AM39" s="18">
        <f t="shared" si="25"/>
        <v>1.454446044351585</v>
      </c>
      <c r="AN39" s="52">
        <f t="shared" si="17"/>
        <v>7.983274691528852E-5</v>
      </c>
      <c r="AO39" s="18">
        <f t="shared" si="18"/>
        <v>10.57540131579924</v>
      </c>
      <c r="AQ39">
        <f t="shared" si="19"/>
        <v>6.8715917511670295</v>
      </c>
      <c r="AR39">
        <f t="shared" si="20"/>
        <v>7440322.3417743202</v>
      </c>
      <c r="AS39">
        <f t="shared" si="21"/>
        <v>15.822424731378053</v>
      </c>
      <c r="AU39">
        <f t="shared" si="22"/>
        <v>15.346496093702456</v>
      </c>
    </row>
    <row r="40" spans="1:47">
      <c r="A40">
        <v>4522</v>
      </c>
      <c r="C40" s="20">
        <v>7.5337379926279743E-2</v>
      </c>
      <c r="E40" s="19">
        <v>928.27642357642378</v>
      </c>
      <c r="G40" s="57">
        <v>1.68</v>
      </c>
      <c r="H40" s="57">
        <v>7</v>
      </c>
      <c r="I40" s="57">
        <v>11.1</v>
      </c>
      <c r="J40" s="57">
        <v>42.7</v>
      </c>
      <c r="K40" s="57">
        <v>0.11</v>
      </c>
      <c r="L40" s="57">
        <v>9.3000000000000007</v>
      </c>
      <c r="M40" s="57">
        <v>8.39</v>
      </c>
      <c r="N40" s="57">
        <v>0.51</v>
      </c>
      <c r="O40" s="57">
        <v>16.89</v>
      </c>
      <c r="P40" s="40">
        <f t="shared" si="0"/>
        <v>0</v>
      </c>
      <c r="Q40" s="41">
        <v>1623</v>
      </c>
      <c r="R40" s="53">
        <f t="shared" si="1"/>
        <v>-0.14831894143122237</v>
      </c>
      <c r="S40" s="53">
        <f t="shared" si="2"/>
        <v>-7.0026997177713337</v>
      </c>
      <c r="U40" s="44">
        <f t="shared" si="4"/>
        <v>3.2428451910634114E-2</v>
      </c>
      <c r="V40" s="45">
        <f t="shared" si="5"/>
        <v>0.10385227809922198</v>
      </c>
      <c r="W40" s="45">
        <f t="shared" si="6"/>
        <v>0.13024517953220591</v>
      </c>
      <c r="X40" s="45">
        <f t="shared" si="7"/>
        <v>0.42514439918541691</v>
      </c>
      <c r="Y40" s="45">
        <f t="shared" si="8"/>
        <v>1.3970446582519543E-3</v>
      </c>
      <c r="Z40" s="45">
        <f t="shared" si="9"/>
        <v>9.9200407154406645E-2</v>
      </c>
      <c r="AA40" s="45">
        <f t="shared" si="10"/>
        <v>6.2813601155622539E-2</v>
      </c>
      <c r="AB40" s="45">
        <f t="shared" si="11"/>
        <v>4.300485651878694E-3</v>
      </c>
      <c r="AC40" s="45">
        <f t="shared" si="12"/>
        <v>0.14061815265236119</v>
      </c>
      <c r="AD40" s="46">
        <f t="shared" si="13"/>
        <v>0.13002434946145866</v>
      </c>
      <c r="AE40" s="46">
        <f t="shared" si="3"/>
        <v>0.92466262007372024</v>
      </c>
      <c r="AG40" s="47">
        <f t="shared" si="14"/>
        <v>-0.26299233679125411</v>
      </c>
      <c r="AH40" s="48">
        <f t="shared" si="15"/>
        <v>10.970644183876278</v>
      </c>
      <c r="AI40" s="49">
        <f t="shared" si="16"/>
        <v>-14.164278044873843</v>
      </c>
      <c r="AJ40" s="50">
        <f t="shared" si="23"/>
        <v>-6.8507093961663976</v>
      </c>
      <c r="AK40" s="51">
        <f t="shared" si="24"/>
        <v>1.0575847160423368E-3</v>
      </c>
      <c r="AM40" s="18">
        <f t="shared" si="25"/>
        <v>0.14459992634209878</v>
      </c>
      <c r="AN40" s="52">
        <f t="shared" si="17"/>
        <v>1.6885046237873063E-5</v>
      </c>
      <c r="AO40" s="18">
        <f t="shared" si="18"/>
        <v>2.555187185059983</v>
      </c>
      <c r="AQ40">
        <f t="shared" si="19"/>
        <v>6.5946822948397479</v>
      </c>
      <c r="AR40">
        <f t="shared" si="20"/>
        <v>3932622.8186716461</v>
      </c>
      <c r="AS40">
        <f t="shared" si="21"/>
        <v>15.184817145129768</v>
      </c>
      <c r="AU40">
        <f t="shared" si="22"/>
        <v>14.810974452171255</v>
      </c>
    </row>
    <row r="41" spans="1:47">
      <c r="A41">
        <v>4700</v>
      </c>
      <c r="C41" s="20">
        <v>9.9614404630342393E-2</v>
      </c>
      <c r="E41" s="19">
        <v>958.6</v>
      </c>
      <c r="G41" s="57">
        <v>2.2599999999999998</v>
      </c>
      <c r="H41" s="57">
        <v>8.6</v>
      </c>
      <c r="I41" s="57">
        <v>14.7</v>
      </c>
      <c r="J41" s="57">
        <v>49.6</v>
      </c>
      <c r="K41" s="57">
        <v>0.2</v>
      </c>
      <c r="L41" s="57">
        <v>12.4</v>
      </c>
      <c r="M41" s="57">
        <v>0.94</v>
      </c>
      <c r="N41" s="57">
        <v>0.19</v>
      </c>
      <c r="O41" s="57">
        <v>9.2100000000000009</v>
      </c>
      <c r="P41" s="40">
        <f t="shared" si="0"/>
        <v>0</v>
      </c>
      <c r="Q41" s="41">
        <v>1623</v>
      </c>
      <c r="R41" s="53">
        <f t="shared" si="1"/>
        <v>4.9538032130099552E-2</v>
      </c>
      <c r="S41" s="53">
        <f t="shared" si="2"/>
        <v>-6.8048427442100117</v>
      </c>
      <c r="U41" s="44">
        <f t="shared" si="4"/>
        <v>4.1245353114593965E-2</v>
      </c>
      <c r="V41" s="45">
        <f t="shared" si="5"/>
        <v>0.12063298962265259</v>
      </c>
      <c r="W41" s="45">
        <f t="shared" si="6"/>
        <v>0.16308186402625902</v>
      </c>
      <c r="X41" s="45">
        <f t="shared" si="7"/>
        <v>0.46691724642847038</v>
      </c>
      <c r="Y41" s="45">
        <f t="shared" si="8"/>
        <v>2.4015810702539635E-3</v>
      </c>
      <c r="Z41" s="45">
        <f t="shared" si="9"/>
        <v>0.12505522541646977</v>
      </c>
      <c r="AA41" s="45">
        <f t="shared" si="10"/>
        <v>6.6537922593506863E-3</v>
      </c>
      <c r="AB41" s="45">
        <f t="shared" si="11"/>
        <v>1.5147835493165155E-3</v>
      </c>
      <c r="AC41" s="45">
        <f t="shared" si="12"/>
        <v>7.2497164512633078E-2</v>
      </c>
      <c r="AD41" s="46">
        <f t="shared" si="13"/>
        <v>6.5275402632319138E-2</v>
      </c>
      <c r="AE41" s="46">
        <f t="shared" si="3"/>
        <v>0.90038559536965757</v>
      </c>
      <c r="AG41" s="47">
        <f t="shared" si="14"/>
        <v>-1.4180362384912495</v>
      </c>
      <c r="AH41" s="48">
        <f t="shared" si="15"/>
        <v>11.404603069984507</v>
      </c>
      <c r="AI41" s="49">
        <f t="shared" si="16"/>
        <v>-14.164278044873843</v>
      </c>
      <c r="AJ41" s="50">
        <f t="shared" si="23"/>
        <v>-4.3505415726237366</v>
      </c>
      <c r="AK41" s="51">
        <f t="shared" si="24"/>
        <v>1.2735538287792836E-2</v>
      </c>
      <c r="AM41" s="18">
        <f t="shared" si="25"/>
        <v>2.3932592181416106</v>
      </c>
      <c r="AN41" s="52">
        <f t="shared" si="17"/>
        <v>1.3605000087207579E-4</v>
      </c>
      <c r="AO41" s="18">
        <f t="shared" si="18"/>
        <v>16.394211311303156</v>
      </c>
      <c r="AQ41">
        <f t="shared" si="19"/>
        <v>7.0095062472858896</v>
      </c>
      <c r="AR41">
        <f t="shared" si="20"/>
        <v>10221302.637434756</v>
      </c>
      <c r="AS41">
        <f t="shared" si="21"/>
        <v>16.139984594249125</v>
      </c>
      <c r="AU41">
        <f t="shared" si="22"/>
        <v>15.332689468581375</v>
      </c>
    </row>
    <row r="42" spans="1:47">
      <c r="A42">
        <v>4701</v>
      </c>
      <c r="C42" s="20">
        <v>8.9608030919767587E-2</v>
      </c>
      <c r="E42" s="19">
        <v>924.4</v>
      </c>
      <c r="G42" s="57">
        <v>2.17</v>
      </c>
      <c r="H42" s="57">
        <v>8.1999999999999993</v>
      </c>
      <c r="I42" s="57">
        <v>14.6</v>
      </c>
      <c r="J42" s="57">
        <v>42.1</v>
      </c>
      <c r="K42" s="57">
        <v>0.14000000000000001</v>
      </c>
      <c r="L42" s="57">
        <v>14.3</v>
      </c>
      <c r="M42" s="57">
        <v>2.9</v>
      </c>
      <c r="N42" s="57">
        <v>2.75</v>
      </c>
      <c r="O42" s="57">
        <v>10.67</v>
      </c>
      <c r="P42" s="40">
        <f t="shared" si="0"/>
        <v>0</v>
      </c>
      <c r="Q42" s="41">
        <v>1623</v>
      </c>
      <c r="R42" s="53">
        <f t="shared" si="1"/>
        <v>-0.33955001989706912</v>
      </c>
      <c r="S42" s="53">
        <f t="shared" si="2"/>
        <v>-7.193930796237181</v>
      </c>
      <c r="U42" s="44">
        <f t="shared" si="4"/>
        <v>4.0195639158778391E-2</v>
      </c>
      <c r="V42" s="45">
        <f t="shared" si="5"/>
        <v>0.1167438765423895</v>
      </c>
      <c r="W42" s="45">
        <f t="shared" si="6"/>
        <v>0.16439696890210778</v>
      </c>
      <c r="X42" s="45">
        <f t="shared" si="7"/>
        <v>0.40224712903560095</v>
      </c>
      <c r="Y42" s="45">
        <f t="shared" si="8"/>
        <v>1.7062706082193579E-3</v>
      </c>
      <c r="Z42" s="45">
        <f t="shared" si="9"/>
        <v>0.14637564229085798</v>
      </c>
      <c r="AA42" s="45">
        <f t="shared" si="10"/>
        <v>2.083492780052584E-2</v>
      </c>
      <c r="AB42" s="45">
        <f t="shared" si="11"/>
        <v>2.2252678373032776E-2</v>
      </c>
      <c r="AC42" s="45">
        <f t="shared" si="12"/>
        <v>8.5246867288487502E-2</v>
      </c>
      <c r="AD42" s="46">
        <f t="shared" si="13"/>
        <v>7.7608063368687391E-2</v>
      </c>
      <c r="AE42" s="46">
        <f t="shared" si="3"/>
        <v>0.91039196908023245</v>
      </c>
      <c r="AG42" s="47">
        <f t="shared" si="14"/>
        <v>-0.49908109960432445</v>
      </c>
      <c r="AH42" s="48">
        <f t="shared" si="15"/>
        <v>12.069915218810472</v>
      </c>
      <c r="AI42" s="49">
        <f t="shared" si="16"/>
        <v>-14.164278044873843</v>
      </c>
      <c r="AJ42" s="50">
        <f t="shared" si="23"/>
        <v>-6.3960012596044002</v>
      </c>
      <c r="AK42" s="51">
        <f t="shared" si="24"/>
        <v>1.6654364056615245E-3</v>
      </c>
      <c r="AM42" s="18">
        <f t="shared" si="25"/>
        <v>0.14785554857057148</v>
      </c>
      <c r="AN42" s="52">
        <f t="shared" si="17"/>
        <v>8.820443332074873E-6</v>
      </c>
      <c r="AO42" s="18">
        <f t="shared" si="18"/>
        <v>1.6635138453287868</v>
      </c>
      <c r="AQ42">
        <f t="shared" si="19"/>
        <v>7.2435455923852547</v>
      </c>
      <c r="AR42">
        <f t="shared" si="20"/>
        <v>17520463.549880452</v>
      </c>
      <c r="AS42">
        <f t="shared" si="21"/>
        <v>16.678880101449014</v>
      </c>
      <c r="AU42">
        <f t="shared" si="22"/>
        <v>16.132542518614365</v>
      </c>
    </row>
    <row r="43" spans="1:47">
      <c r="A43">
        <v>4709</v>
      </c>
      <c r="C43" s="20">
        <v>8.2849006739947939E-2</v>
      </c>
      <c r="E43" s="19">
        <v>928.4</v>
      </c>
      <c r="G43" s="57">
        <v>1.99</v>
      </c>
      <c r="H43" s="57">
        <v>1.4</v>
      </c>
      <c r="I43" s="57">
        <v>15.9</v>
      </c>
      <c r="J43" s="57">
        <v>65.599999999999994</v>
      </c>
      <c r="K43" s="57">
        <v>5.0599999999999996</v>
      </c>
      <c r="L43" s="57">
        <v>3.4</v>
      </c>
      <c r="M43" s="57">
        <v>0.92</v>
      </c>
      <c r="N43" s="57"/>
      <c r="O43" s="57">
        <v>4.03</v>
      </c>
      <c r="P43" s="40">
        <f t="shared" si="0"/>
        <v>0</v>
      </c>
      <c r="Q43" s="41">
        <v>1623</v>
      </c>
      <c r="R43" s="53">
        <f t="shared" si="1"/>
        <v>-0.28158393886665067</v>
      </c>
      <c r="S43" s="53">
        <f t="shared" si="2"/>
        <v>-7.1359647152067627</v>
      </c>
      <c r="U43" s="44">
        <f t="shared" si="4"/>
        <v>3.6939498617918121E-2</v>
      </c>
      <c r="V43" s="45">
        <f t="shared" si="5"/>
        <v>1.9974090280731476E-2</v>
      </c>
      <c r="W43" s="45">
        <f t="shared" si="6"/>
        <v>0.17941419029722558</v>
      </c>
      <c r="X43" s="45">
        <f t="shared" si="7"/>
        <v>0.62810667918742291</v>
      </c>
      <c r="Y43" s="45">
        <f t="shared" si="8"/>
        <v>6.1800089775593141E-2</v>
      </c>
      <c r="Z43" s="45">
        <f t="shared" si="9"/>
        <v>3.4876300290464096E-2</v>
      </c>
      <c r="AA43" s="45">
        <f t="shared" si="10"/>
        <v>6.6236983238831208E-3</v>
      </c>
      <c r="AB43" s="45">
        <f t="shared" si="11"/>
        <v>0</v>
      </c>
      <c r="AC43" s="45">
        <f t="shared" si="12"/>
        <v>3.2265453226761567E-2</v>
      </c>
      <c r="AD43" s="46">
        <f t="shared" si="13"/>
        <v>2.9592292474910124E-2</v>
      </c>
      <c r="AE43" s="46">
        <f t="shared" si="3"/>
        <v>0.91715099326005212</v>
      </c>
      <c r="AG43" s="47">
        <f t="shared" si="14"/>
        <v>-3.3517841288729309</v>
      </c>
      <c r="AH43" s="48">
        <f t="shared" si="15"/>
        <v>9.4364186875994491</v>
      </c>
      <c r="AI43" s="49">
        <f t="shared" si="16"/>
        <v>-14.164278044873843</v>
      </c>
      <c r="AJ43" s="50">
        <f t="shared" si="23"/>
        <v>-5.9098510933869619</v>
      </c>
      <c r="AK43" s="51">
        <f t="shared" si="24"/>
        <v>2.705252536930991E-3</v>
      </c>
      <c r="AM43" s="18">
        <f t="shared" si="25"/>
        <v>51.106402989903955</v>
      </c>
      <c r="AN43" s="52">
        <f t="shared" si="17"/>
        <v>2.0033571474300832E-4</v>
      </c>
      <c r="AO43" s="18">
        <f t="shared" si="18"/>
        <v>35.343645699551047</v>
      </c>
      <c r="AQ43">
        <f t="shared" si="19"/>
        <v>6.0884740948877276</v>
      </c>
      <c r="AR43">
        <f t="shared" si="20"/>
        <v>1225953.7739169744</v>
      </c>
      <c r="AS43">
        <f t="shared" si="21"/>
        <v>14.019229689968897</v>
      </c>
      <c r="AU43">
        <f t="shared" si="22"/>
        <v>12.966494466647337</v>
      </c>
    </row>
    <row r="44" spans="1:47">
      <c r="A44">
        <v>4971</v>
      </c>
      <c r="C44" s="20">
        <v>6.4347913686712679E-2</v>
      </c>
      <c r="E44" s="19" t="s">
        <v>96</v>
      </c>
      <c r="G44" s="57">
        <v>2.88</v>
      </c>
      <c r="H44" s="57">
        <v>9</v>
      </c>
      <c r="I44" s="57">
        <v>14.4</v>
      </c>
      <c r="J44" s="57">
        <v>54.3</v>
      </c>
      <c r="K44" s="57">
        <v>1.1000000000000001</v>
      </c>
      <c r="L44" s="57">
        <v>9.6</v>
      </c>
      <c r="M44" s="57">
        <v>0.57999999999999996</v>
      </c>
      <c r="N44" s="57"/>
      <c r="O44" s="57">
        <v>6.43</v>
      </c>
      <c r="P44" s="40">
        <f t="shared" si="0"/>
        <v>0</v>
      </c>
      <c r="Q44" s="41">
        <v>1623</v>
      </c>
      <c r="R44" s="53">
        <f t="shared" si="1"/>
        <v>-0.73369940224462593</v>
      </c>
      <c r="S44" s="53">
        <f t="shared" si="2"/>
        <v>-7.5880801785847378</v>
      </c>
      <c r="U44" s="44">
        <f t="shared" si="4"/>
        <v>5.1811017376482443E-2</v>
      </c>
      <c r="V44" s="45">
        <f t="shared" si="5"/>
        <v>0.12444378011045937</v>
      </c>
      <c r="W44" s="45">
        <f t="shared" si="6"/>
        <v>0.15747581683966172</v>
      </c>
      <c r="X44" s="45">
        <f t="shared" si="7"/>
        <v>0.50387303137135131</v>
      </c>
      <c r="Y44" s="45">
        <f t="shared" si="8"/>
        <v>1.3020359838308784E-2</v>
      </c>
      <c r="Z44" s="45">
        <f t="shared" si="9"/>
        <v>9.5436485288706061E-2</v>
      </c>
      <c r="AA44" s="45">
        <f t="shared" si="10"/>
        <v>4.0469927188863273E-3</v>
      </c>
      <c r="AB44" s="45">
        <f t="shared" si="11"/>
        <v>0</v>
      </c>
      <c r="AC44" s="45">
        <f t="shared" si="12"/>
        <v>4.9892516456143864E-2</v>
      </c>
      <c r="AD44" s="46">
        <f t="shared" si="13"/>
        <v>4.6682037113611026E-2</v>
      </c>
      <c r="AE44" s="46">
        <f t="shared" si="3"/>
        <v>0.93565208631328733</v>
      </c>
      <c r="AG44" s="47">
        <f t="shared" si="14"/>
        <v>-2.1384807213565491</v>
      </c>
      <c r="AH44" s="48">
        <f t="shared" si="15"/>
        <v>11.158818150675991</v>
      </c>
      <c r="AI44" s="49">
        <f t="shared" si="16"/>
        <v>-14.164278044873843</v>
      </c>
      <c r="AJ44" s="50">
        <f t="shared" si="23"/>
        <v>-7.4828236903992504</v>
      </c>
      <c r="AK44" s="51">
        <f t="shared" si="24"/>
        <v>5.6234995927340048E-4</v>
      </c>
      <c r="AM44" s="18" t="e">
        <f t="shared" si="25"/>
        <v>#VALUE!</v>
      </c>
      <c r="AN44" s="52" t="e">
        <f t="shared" si="17"/>
        <v>#VALUE!</v>
      </c>
      <c r="AO44" s="18" t="e">
        <f t="shared" si="18"/>
        <v>#VALUE!</v>
      </c>
      <c r="AQ44">
        <f t="shared" si="19"/>
        <v>6.7783271598760226</v>
      </c>
      <c r="AR44">
        <f t="shared" si="20"/>
        <v>6002430.7717038626</v>
      </c>
      <c r="AS44">
        <f t="shared" si="21"/>
        <v>15.607675073767199</v>
      </c>
      <c r="AU44">
        <f t="shared" si="22"/>
        <v>15.037201376701578</v>
      </c>
    </row>
    <row r="45" spans="1:47">
      <c r="A45">
        <v>4974</v>
      </c>
      <c r="C45" s="20">
        <v>6.7086421019254674E-2</v>
      </c>
      <c r="E45" s="19" t="s">
        <v>96</v>
      </c>
      <c r="G45" s="57">
        <v>5.19</v>
      </c>
      <c r="H45" s="57">
        <v>3.2</v>
      </c>
      <c r="I45" s="57">
        <v>17</v>
      </c>
      <c r="J45" s="57">
        <v>62.4</v>
      </c>
      <c r="K45" s="57">
        <v>1.55</v>
      </c>
      <c r="L45" s="57">
        <v>6.5</v>
      </c>
      <c r="M45" s="57">
        <v>0.61</v>
      </c>
      <c r="N45" s="57"/>
      <c r="O45" s="57">
        <v>3.49</v>
      </c>
      <c r="P45" s="40">
        <f t="shared" si="0"/>
        <v>0</v>
      </c>
      <c r="Q45" s="41">
        <v>1623</v>
      </c>
      <c r="R45" s="53">
        <f t="shared" si="1"/>
        <v>-0.74446548458906947</v>
      </c>
      <c r="S45" s="53">
        <f t="shared" si="2"/>
        <v>-7.5988462609291805</v>
      </c>
      <c r="U45" s="44">
        <f t="shared" si="4"/>
        <v>9.181955278400597E-2</v>
      </c>
      <c r="V45" s="45">
        <f t="shared" si="5"/>
        <v>4.3512981936819052E-2</v>
      </c>
      <c r="W45" s="45">
        <f t="shared" si="6"/>
        <v>0.18282622069177404</v>
      </c>
      <c r="X45" s="45">
        <f t="shared" si="7"/>
        <v>0.56943486880833238</v>
      </c>
      <c r="Y45" s="45">
        <f t="shared" si="8"/>
        <v>1.8042644102464457E-2</v>
      </c>
      <c r="Z45" s="45">
        <f t="shared" si="9"/>
        <v>6.354695471871398E-2</v>
      </c>
      <c r="AA45" s="45">
        <f t="shared" si="10"/>
        <v>4.1857419169761094E-3</v>
      </c>
      <c r="AB45" s="45">
        <f t="shared" si="11"/>
        <v>0</v>
      </c>
      <c r="AC45" s="45">
        <f t="shared" si="12"/>
        <v>2.6631035040914144E-2</v>
      </c>
      <c r="AD45" s="46">
        <f t="shared" si="13"/>
        <v>2.4844454211980855E-2</v>
      </c>
      <c r="AE45" s="46">
        <f t="shared" si="3"/>
        <v>0.93291357898074534</v>
      </c>
      <c r="AG45" s="47">
        <f t="shared" si="14"/>
        <v>-3.1002762181284207</v>
      </c>
      <c r="AH45" s="48">
        <f t="shared" si="15"/>
        <v>10.593429319471497</v>
      </c>
      <c r="AI45" s="49">
        <f t="shared" si="16"/>
        <v>-14.164278044873843</v>
      </c>
      <c r="AJ45" s="50">
        <f t="shared" si="23"/>
        <v>-7.1359966662643863</v>
      </c>
      <c r="AK45" s="51">
        <f t="shared" si="24"/>
        <v>7.9529910466280551E-4</v>
      </c>
      <c r="AM45" s="18" t="e">
        <f t="shared" si="25"/>
        <v>#VALUE!</v>
      </c>
      <c r="AN45" s="52" t="e">
        <f t="shared" si="17"/>
        <v>#VALUE!</v>
      </c>
      <c r="AO45" s="18" t="e">
        <f t="shared" si="18"/>
        <v>#VALUE!</v>
      </c>
      <c r="AQ45">
        <f t="shared" si="19"/>
        <v>6.4566886778185459</v>
      </c>
      <c r="AR45">
        <f t="shared" si="20"/>
        <v>2862125.5316466969</v>
      </c>
      <c r="AS45">
        <f t="shared" si="21"/>
        <v>14.867075099648419</v>
      </c>
      <c r="AU45">
        <f t="shared" si="22"/>
        <v>14.357478359631287</v>
      </c>
    </row>
    <row r="46" spans="1:47">
      <c r="A46">
        <v>5374</v>
      </c>
      <c r="C46" s="20">
        <v>0.10929674770723634</v>
      </c>
      <c r="E46" s="19">
        <v>1169.5999999999999</v>
      </c>
      <c r="G46" s="57">
        <v>2.4900000000000002</v>
      </c>
      <c r="H46" s="57">
        <v>13.5</v>
      </c>
      <c r="I46" s="57">
        <v>11.4</v>
      </c>
      <c r="J46" s="57">
        <v>45.6</v>
      </c>
      <c r="K46" s="57">
        <v>0.13</v>
      </c>
      <c r="L46" s="57">
        <v>9.6999999999999993</v>
      </c>
      <c r="M46" s="57">
        <v>2.44</v>
      </c>
      <c r="N46" s="57">
        <v>0.2</v>
      </c>
      <c r="O46" s="57">
        <v>11.76</v>
      </c>
      <c r="P46" s="40">
        <f t="shared" si="0"/>
        <v>0</v>
      </c>
      <c r="Q46" s="41">
        <v>1623</v>
      </c>
      <c r="R46" s="53">
        <f t="shared" si="1"/>
        <v>0.47153344589731405</v>
      </c>
      <c r="S46" s="53">
        <f t="shared" si="2"/>
        <v>-6.3828473304427966</v>
      </c>
      <c r="U46" s="44">
        <f t="shared" si="4"/>
        <v>4.5380938691821762E-2</v>
      </c>
      <c r="V46" s="45">
        <f t="shared" si="5"/>
        <v>0.18910758525972945</v>
      </c>
      <c r="W46" s="45">
        <f t="shared" si="6"/>
        <v>0.12629923622838898</v>
      </c>
      <c r="X46" s="45">
        <f t="shared" si="7"/>
        <v>0.42867743428250799</v>
      </c>
      <c r="Y46" s="45">
        <f t="shared" si="8"/>
        <v>1.5588996129549391E-3</v>
      </c>
      <c r="Z46" s="45">
        <f t="shared" si="9"/>
        <v>9.7692097302030489E-2</v>
      </c>
      <c r="AA46" s="45">
        <f t="shared" si="10"/>
        <v>1.7248000300301665E-2</v>
      </c>
      <c r="AB46" s="45">
        <f t="shared" si="11"/>
        <v>1.5923352729322209E-3</v>
      </c>
      <c r="AC46" s="45">
        <f t="shared" si="12"/>
        <v>9.2443473049332356E-2</v>
      </c>
      <c r="AD46" s="46">
        <f t="shared" si="13"/>
        <v>8.2339702098278775E-2</v>
      </c>
      <c r="AE46" s="46">
        <f t="shared" si="3"/>
        <v>0.8907032522927637</v>
      </c>
      <c r="AG46" s="47">
        <f t="shared" si="14"/>
        <v>-0.85868728632593117</v>
      </c>
      <c r="AH46" s="48">
        <f t="shared" si="15"/>
        <v>11.759156129688609</v>
      </c>
      <c r="AI46" s="49">
        <f t="shared" si="16"/>
        <v>-14.164278044873843</v>
      </c>
      <c r="AJ46" s="50">
        <f t="shared" si="23"/>
        <v>-2.6119767669804652</v>
      </c>
      <c r="AK46" s="51">
        <f t="shared" si="24"/>
        <v>6.8371582293723421E-2</v>
      </c>
      <c r="AM46" s="18">
        <f t="shared" si="25"/>
        <v>2.7387925886952771</v>
      </c>
      <c r="AN46" s="52">
        <f t="shared" si="17"/>
        <v>6.2513867995230314E-4</v>
      </c>
      <c r="AO46" s="18">
        <f t="shared" si="18"/>
        <v>46.341559440272434</v>
      </c>
      <c r="AQ46">
        <f t="shared" si="19"/>
        <v>6.9512152413632489</v>
      </c>
      <c r="AR46">
        <f t="shared" si="20"/>
        <v>8937483.2598245889</v>
      </c>
      <c r="AS46">
        <f t="shared" si="21"/>
        <v>16.005764592956027</v>
      </c>
      <c r="AU46">
        <f t="shared" si="22"/>
        <v>15.758941035914528</v>
      </c>
    </row>
    <row r="47" spans="1:47">
      <c r="A47">
        <v>5697</v>
      </c>
      <c r="C47" s="20">
        <v>7.9680781680134094E-2</v>
      </c>
      <c r="E47" s="19" t="s">
        <v>96</v>
      </c>
      <c r="G47" s="57">
        <v>6.23</v>
      </c>
      <c r="H47" s="57">
        <v>2.1</v>
      </c>
      <c r="I47" s="57">
        <v>20.6</v>
      </c>
      <c r="J47" s="57">
        <v>58.1</v>
      </c>
      <c r="K47" s="57">
        <v>2.08</v>
      </c>
      <c r="L47" s="57">
        <v>4.8</v>
      </c>
      <c r="M47" s="57">
        <v>1.65</v>
      </c>
      <c r="N47" s="57">
        <v>0.15</v>
      </c>
      <c r="O47" s="57">
        <v>5.01</v>
      </c>
      <c r="P47" s="40">
        <f t="shared" si="0"/>
        <v>0</v>
      </c>
      <c r="Q47" s="41">
        <v>1623</v>
      </c>
      <c r="R47" s="53">
        <f t="shared" si="1"/>
        <v>-0.48028471489835428</v>
      </c>
      <c r="S47" s="53">
        <f t="shared" si="2"/>
        <v>-7.3346654912384661</v>
      </c>
      <c r="U47" s="44">
        <f t="shared" si="4"/>
        <v>0.10887299794110815</v>
      </c>
      <c r="V47" s="45">
        <f t="shared" si="5"/>
        <v>2.8206713200532883E-2</v>
      </c>
      <c r="W47" s="45">
        <f t="shared" si="6"/>
        <v>0.2188371754624317</v>
      </c>
      <c r="X47" s="45">
        <f t="shared" si="7"/>
        <v>0.52372091726795011</v>
      </c>
      <c r="Y47" s="45">
        <f t="shared" si="8"/>
        <v>2.3916418224553739E-2</v>
      </c>
      <c r="Z47" s="45">
        <f t="shared" si="9"/>
        <v>4.6353970908721655E-2</v>
      </c>
      <c r="AA47" s="45">
        <f t="shared" si="10"/>
        <v>1.118383822519251E-2</v>
      </c>
      <c r="AB47" s="45">
        <f t="shared" si="11"/>
        <v>1.1451273473010249E-3</v>
      </c>
      <c r="AC47" s="45">
        <f t="shared" si="12"/>
        <v>3.7762841422208197E-2</v>
      </c>
      <c r="AD47" s="46">
        <f t="shared" si="13"/>
        <v>3.47538686992237E-2</v>
      </c>
      <c r="AE47" s="46">
        <f t="shared" si="3"/>
        <v>0.92031921831986585</v>
      </c>
      <c r="AG47" s="47">
        <f t="shared" si="14"/>
        <v>-2.7217722217217655</v>
      </c>
      <c r="AH47" s="48">
        <f t="shared" si="15"/>
        <v>10.867277750299525</v>
      </c>
      <c r="AI47" s="49">
        <f t="shared" si="16"/>
        <v>-14.164278044873843</v>
      </c>
      <c r="AJ47" s="50">
        <f t="shared" si="23"/>
        <v>-6.0240548275519501</v>
      </c>
      <c r="AK47" s="51">
        <f t="shared" si="24"/>
        <v>2.4139961718736558E-3</v>
      </c>
      <c r="AM47" s="18" t="e">
        <f t="shared" si="25"/>
        <v>#VALUE!</v>
      </c>
      <c r="AN47" s="52" t="e">
        <f t="shared" si="17"/>
        <v>#VALUE!</v>
      </c>
      <c r="AO47" s="18" t="e">
        <f t="shared" si="18"/>
        <v>#VALUE!</v>
      </c>
      <c r="AQ47">
        <f t="shared" si="19"/>
        <v>6.6556604491220863</v>
      </c>
      <c r="AR47">
        <f t="shared" si="20"/>
        <v>4525436.2267829869</v>
      </c>
      <c r="AS47">
        <f t="shared" si="21"/>
        <v>15.325224534178572</v>
      </c>
      <c r="AU47">
        <f t="shared" si="22"/>
        <v>14.686705028693432</v>
      </c>
    </row>
    <row r="48" spans="1:47">
      <c r="A48">
        <v>5781</v>
      </c>
      <c r="C48" s="20">
        <v>9.9614404630342393E-2</v>
      </c>
      <c r="E48" s="19">
        <v>1179.8</v>
      </c>
      <c r="G48" s="57">
        <v>0.64</v>
      </c>
      <c r="H48" s="57">
        <v>15</v>
      </c>
      <c r="I48" s="57">
        <v>10.6</v>
      </c>
      <c r="J48" s="57">
        <v>40.5</v>
      </c>
      <c r="K48" s="57"/>
      <c r="L48" s="57">
        <v>17.399999999999999</v>
      </c>
      <c r="M48" s="57"/>
      <c r="N48" s="57"/>
      <c r="O48" s="57">
        <v>13.39</v>
      </c>
      <c r="P48" s="40">
        <f t="shared" si="0"/>
        <v>0</v>
      </c>
      <c r="Q48" s="41">
        <v>1623</v>
      </c>
      <c r="R48" s="53">
        <f t="shared" si="1"/>
        <v>-0.15925647958544809</v>
      </c>
      <c r="S48" s="53">
        <f t="shared" si="2"/>
        <v>-7.0136372559255591</v>
      </c>
      <c r="U48" s="44">
        <f t="shared" si="4"/>
        <v>1.1658916145119207E-2</v>
      </c>
      <c r="V48" s="45">
        <f t="shared" si="5"/>
        <v>0.21002476942501638</v>
      </c>
      <c r="W48" s="45">
        <f t="shared" si="6"/>
        <v>0.11738316497201072</v>
      </c>
      <c r="X48" s="45">
        <f t="shared" si="7"/>
        <v>0.38056152627638123</v>
      </c>
      <c r="Y48" s="45">
        <f t="shared" si="8"/>
        <v>0</v>
      </c>
      <c r="Z48" s="45">
        <f t="shared" si="9"/>
        <v>0.17516245534470978</v>
      </c>
      <c r="AA48" s="45">
        <f t="shared" si="10"/>
        <v>0</v>
      </c>
      <c r="AB48" s="45">
        <f t="shared" si="11"/>
        <v>0</v>
      </c>
      <c r="AC48" s="45">
        <f t="shared" si="12"/>
        <v>0.10520916783676279</v>
      </c>
      <c r="AD48" s="46">
        <f t="shared" si="13"/>
        <v>9.4728819221049892E-2</v>
      </c>
      <c r="AE48" s="46">
        <f t="shared" si="3"/>
        <v>0.90038559536965757</v>
      </c>
      <c r="AG48" s="47">
        <f t="shared" si="14"/>
        <v>-0.20590790821949256</v>
      </c>
      <c r="AH48" s="48">
        <f t="shared" si="15"/>
        <v>12.832749251652306</v>
      </c>
      <c r="AI48" s="49">
        <f t="shared" si="16"/>
        <v>-14.164278044873843</v>
      </c>
      <c r="AJ48" s="50">
        <f t="shared" si="23"/>
        <v>-5.0960579815780775</v>
      </c>
      <c r="AK48" s="51">
        <f t="shared" si="24"/>
        <v>6.0835908750840328E-3</v>
      </c>
      <c r="AM48" s="18">
        <f t="shared" si="25"/>
        <v>0.20115395955247145</v>
      </c>
      <c r="AN48" s="52">
        <f t="shared" si="17"/>
        <v>1.9176802874914312E-5</v>
      </c>
      <c r="AO48" s="18">
        <f t="shared" si="18"/>
        <v>2.9387689293389307</v>
      </c>
      <c r="AQ48">
        <f t="shared" si="19"/>
        <v>7.4778281850074482</v>
      </c>
      <c r="AR48">
        <f t="shared" si="20"/>
        <v>30048872.780234989</v>
      </c>
      <c r="AS48">
        <f t="shared" si="21"/>
        <v>17.218335706768872</v>
      </c>
      <c r="AU48">
        <f t="shared" si="22"/>
        <v>17.049638544764214</v>
      </c>
    </row>
    <row r="49" spans="1:47">
      <c r="A49">
        <v>6820</v>
      </c>
      <c r="C49" s="20">
        <v>8.7218345817454662E-2</v>
      </c>
      <c r="E49" s="19">
        <v>969.28648952821823</v>
      </c>
      <c r="G49" s="57">
        <v>1.51</v>
      </c>
      <c r="H49" s="57">
        <v>0.3</v>
      </c>
      <c r="I49" s="57">
        <v>14.4</v>
      </c>
      <c r="J49" s="57">
        <v>72.8</v>
      </c>
      <c r="K49" s="57">
        <v>7.48</v>
      </c>
      <c r="L49" s="57">
        <v>1</v>
      </c>
      <c r="M49" s="57">
        <v>0.31</v>
      </c>
      <c r="N49" s="57"/>
      <c r="O49" s="57">
        <v>1.1499999999999999</v>
      </c>
      <c r="P49" s="40">
        <f t="shared" si="0"/>
        <v>0</v>
      </c>
      <c r="Q49" s="41">
        <v>1623</v>
      </c>
      <c r="R49" s="53">
        <f t="shared" si="1"/>
        <v>-0.30566371132397352</v>
      </c>
      <c r="S49" s="53">
        <f t="shared" si="2"/>
        <v>-7.1600444876640843</v>
      </c>
      <c r="U49" s="44">
        <f t="shared" si="4"/>
        <v>2.7892885070204137E-2</v>
      </c>
      <c r="V49" s="45">
        <f t="shared" si="5"/>
        <v>4.259305563730025E-3</v>
      </c>
      <c r="W49" s="45">
        <f t="shared" si="6"/>
        <v>0.16169654012986548</v>
      </c>
      <c r="X49" s="45">
        <f t="shared" si="7"/>
        <v>0.69364861207248607</v>
      </c>
      <c r="Y49" s="45">
        <f t="shared" si="8"/>
        <v>9.0911486090967275E-2</v>
      </c>
      <c r="Z49" s="45">
        <f t="shared" si="9"/>
        <v>1.0207750851735297E-2</v>
      </c>
      <c r="AA49" s="45">
        <f t="shared" si="10"/>
        <v>2.2210226158604226E-3</v>
      </c>
      <c r="AB49" s="45">
        <f t="shared" si="11"/>
        <v>0</v>
      </c>
      <c r="AC49" s="45">
        <f t="shared" si="12"/>
        <v>9.1623976051511853E-3</v>
      </c>
      <c r="AD49" s="46">
        <f t="shared" si="13"/>
        <v>8.3632684423080913E-3</v>
      </c>
      <c r="AE49" s="46">
        <f t="shared" si="3"/>
        <v>0.91278165418254531</v>
      </c>
      <c r="AG49" s="47">
        <f t="shared" si="14"/>
        <v>-4.2422076615314355</v>
      </c>
      <c r="AH49" s="48">
        <f t="shared" si="15"/>
        <v>8.9990441309487217</v>
      </c>
      <c r="AI49" s="49">
        <f t="shared" si="16"/>
        <v>-14.164278044873843</v>
      </c>
      <c r="AJ49" s="50">
        <f t="shared" si="23"/>
        <v>-5.567693567585021</v>
      </c>
      <c r="AK49" s="51">
        <f t="shared" si="24"/>
        <v>3.8047477970599708E-3</v>
      </c>
      <c r="AM49" s="18">
        <f t="shared" si="25"/>
        <v>312.0926372844803</v>
      </c>
      <c r="AN49" s="52">
        <f t="shared" si="17"/>
        <v>4.5555710573808044E-4</v>
      </c>
      <c r="AO49" s="18">
        <f t="shared" si="18"/>
        <v>82.629604969902331</v>
      </c>
      <c r="AQ49">
        <f t="shared" si="19"/>
        <v>5.7219619042559398</v>
      </c>
      <c r="AR49">
        <f t="shared" si="20"/>
        <v>527183.61553713947</v>
      </c>
      <c r="AS49">
        <f t="shared" si="21"/>
        <v>13.17530418341955</v>
      </c>
      <c r="AU49">
        <f t="shared" si="22"/>
        <v>12.440673055207238</v>
      </c>
    </row>
    <row r="50" spans="1:47">
      <c r="A50">
        <v>6821</v>
      </c>
      <c r="C50" s="20">
        <v>9.4801350740539261E-2</v>
      </c>
      <c r="E50" s="19">
        <v>1170.1778180227664</v>
      </c>
      <c r="G50" s="57">
        <v>0.74</v>
      </c>
      <c r="H50" s="57">
        <v>11.9</v>
      </c>
      <c r="I50" s="57">
        <v>16.5</v>
      </c>
      <c r="J50" s="57">
        <v>48</v>
      </c>
      <c r="K50" s="57"/>
      <c r="L50" s="57">
        <v>21.7</v>
      </c>
      <c r="M50" s="57"/>
      <c r="N50" s="57"/>
      <c r="O50" s="57"/>
      <c r="P50" s="40">
        <f t="shared" si="0"/>
        <v>0</v>
      </c>
      <c r="Q50" s="41">
        <v>1623</v>
      </c>
      <c r="R50" s="53">
        <f t="shared" si="1"/>
        <v>-0.61567774466829794</v>
      </c>
      <c r="S50" s="53">
        <f t="shared" si="2"/>
        <v>-7.4700585210084096</v>
      </c>
      <c r="U50" s="44">
        <f t="shared" si="4"/>
        <v>1.3058759082858633E-2</v>
      </c>
      <c r="V50" s="45">
        <f t="shared" si="5"/>
        <v>0.16140545344459492</v>
      </c>
      <c r="W50" s="45">
        <f t="shared" si="6"/>
        <v>0.17700106495481854</v>
      </c>
      <c r="X50" s="45">
        <f t="shared" si="7"/>
        <v>0.43692116167033762</v>
      </c>
      <c r="Y50" s="45">
        <f t="shared" si="8"/>
        <v>0</v>
      </c>
      <c r="Z50" s="45">
        <f t="shared" si="9"/>
        <v>0.21161356084739036</v>
      </c>
      <c r="AA50" s="45">
        <f t="shared" si="10"/>
        <v>0</v>
      </c>
      <c r="AB50" s="45">
        <f t="shared" si="11"/>
        <v>0</v>
      </c>
      <c r="AC50" s="45">
        <f t="shared" si="12"/>
        <v>0</v>
      </c>
      <c r="AD50" s="46">
        <f t="shared" si="13"/>
        <v>0</v>
      </c>
      <c r="AE50" s="46">
        <f t="shared" si="3"/>
        <v>0.9051986492594607</v>
      </c>
      <c r="AG50" s="47">
        <f t="shared" si="14"/>
        <v>-2.7640786960846526</v>
      </c>
      <c r="AH50" s="48">
        <f t="shared" si="15"/>
        <v>12.304962861695948</v>
      </c>
      <c r="AI50" s="49">
        <f t="shared" si="16"/>
        <v>-14.164278044873843</v>
      </c>
      <c r="AJ50" s="50">
        <f t="shared" si="23"/>
        <v>-5.1675711858797833</v>
      </c>
      <c r="AK50" s="51">
        <f t="shared" si="24"/>
        <v>5.6661046732601195E-3</v>
      </c>
      <c r="AM50" s="18">
        <f t="shared" si="25"/>
        <v>11.54404312236249</v>
      </c>
      <c r="AN50" s="52">
        <f t="shared" si="17"/>
        <v>3.0030252490709542E-5</v>
      </c>
      <c r="AO50" s="18">
        <f t="shared" si="18"/>
        <v>7.7832118532767867</v>
      </c>
      <c r="AQ50">
        <f t="shared" si="19"/>
        <v>7.4353005629127491</v>
      </c>
      <c r="AR50">
        <f t="shared" si="20"/>
        <v>27245862.647402085</v>
      </c>
      <c r="AS50">
        <f t="shared" si="21"/>
        <v>17.120412238093135</v>
      </c>
      <c r="AU50">
        <f t="shared" si="22"/>
        <v>16.415122018172237</v>
      </c>
    </row>
    <row r="51" spans="1:47">
      <c r="A51">
        <v>6822</v>
      </c>
      <c r="C51" s="20">
        <v>9.6403640705559776E-2</v>
      </c>
      <c r="E51" s="19">
        <v>664.74410826531539</v>
      </c>
      <c r="G51" s="57">
        <v>0.71</v>
      </c>
      <c r="H51" s="57">
        <v>16</v>
      </c>
      <c r="I51" s="57">
        <v>19</v>
      </c>
      <c r="J51" s="57">
        <v>44.9</v>
      </c>
      <c r="K51" s="57"/>
      <c r="L51" s="57">
        <v>18.5</v>
      </c>
      <c r="M51" s="57"/>
      <c r="N51" s="57"/>
      <c r="O51" s="57"/>
      <c r="P51" s="40">
        <f t="shared" si="0"/>
        <v>0</v>
      </c>
      <c r="Q51" s="41">
        <v>1623</v>
      </c>
      <c r="R51" s="53">
        <f t="shared" si="1"/>
        <v>-0.23940085018767521</v>
      </c>
      <c r="S51" s="53">
        <f t="shared" si="2"/>
        <v>-7.093781626527786</v>
      </c>
      <c r="U51" s="44">
        <f t="shared" si="4"/>
        <v>1.2253934123799081E-2</v>
      </c>
      <c r="V51" s="45">
        <f t="shared" si="5"/>
        <v>0.21224537139309946</v>
      </c>
      <c r="W51" s="45">
        <f t="shared" si="6"/>
        <v>0.19933912087684588</v>
      </c>
      <c r="X51" s="45">
        <f t="shared" si="7"/>
        <v>0.3997193622234757</v>
      </c>
      <c r="Y51" s="45">
        <f t="shared" si="8"/>
        <v>0</v>
      </c>
      <c r="Z51" s="45">
        <f t="shared" si="9"/>
        <v>0.17644221138277991</v>
      </c>
      <c r="AA51" s="45">
        <f t="shared" si="10"/>
        <v>0</v>
      </c>
      <c r="AB51" s="45">
        <f t="shared" si="11"/>
        <v>0</v>
      </c>
      <c r="AC51" s="45">
        <f t="shared" si="12"/>
        <v>0</v>
      </c>
      <c r="AD51" s="46">
        <f t="shared" si="13"/>
        <v>0</v>
      </c>
      <c r="AE51" s="46">
        <f t="shared" si="3"/>
        <v>0.90359635929444027</v>
      </c>
      <c r="AG51" s="47">
        <f t="shared" si="14"/>
        <v>-2.7650643119061691</v>
      </c>
      <c r="AH51" s="48">
        <f t="shared" si="15"/>
        <v>12.156625071777892</v>
      </c>
      <c r="AI51" s="49">
        <f t="shared" si="16"/>
        <v>-14.164278044873843</v>
      </c>
      <c r="AJ51" s="50">
        <f t="shared" si="23"/>
        <v>-3.5821042238379697</v>
      </c>
      <c r="AK51" s="51">
        <f t="shared" si="24"/>
        <v>2.7064254067753257E-2</v>
      </c>
      <c r="AM51" s="18">
        <f t="shared" si="25"/>
        <v>8.499630224285573</v>
      </c>
      <c r="AN51" s="52">
        <f t="shared" si="17"/>
        <v>9.4513831919155141E-5</v>
      </c>
      <c r="AO51" s="18">
        <f t="shared" si="18"/>
        <v>15.883887123932066</v>
      </c>
      <c r="AQ51">
        <f t="shared" si="19"/>
        <v>7.5810918171061541</v>
      </c>
      <c r="AR51">
        <f t="shared" si="20"/>
        <v>38114639.558945909</v>
      </c>
      <c r="AS51">
        <f t="shared" si="21"/>
        <v>17.456109006687775</v>
      </c>
      <c r="AU51">
        <f t="shared" si="22"/>
        <v>16.236787030737425</v>
      </c>
    </row>
    <row r="52" spans="1:47">
      <c r="A52">
        <v>6823</v>
      </c>
      <c r="C52" s="20">
        <v>0.11660858391936807</v>
      </c>
      <c r="E52" s="19">
        <v>1150.7649644530363</v>
      </c>
      <c r="G52" s="57">
        <v>0.95</v>
      </c>
      <c r="H52" s="57">
        <v>14.3</v>
      </c>
      <c r="I52" s="57">
        <v>15.3</v>
      </c>
      <c r="J52" s="57">
        <v>49.4</v>
      </c>
      <c r="K52" s="57"/>
      <c r="L52" s="57">
        <v>19.2</v>
      </c>
      <c r="M52" s="57"/>
      <c r="N52" s="57"/>
      <c r="O52" s="57"/>
      <c r="P52" s="40">
        <f t="shared" si="0"/>
        <v>0</v>
      </c>
      <c r="Q52" s="41">
        <v>1623</v>
      </c>
      <c r="R52" s="53">
        <f t="shared" si="1"/>
        <v>1.3176245478421889E-2</v>
      </c>
      <c r="S52" s="53">
        <f t="shared" si="2"/>
        <v>-6.84120453086169</v>
      </c>
      <c r="U52" s="44">
        <f t="shared" si="4"/>
        <v>1.6569934517591877E-2</v>
      </c>
      <c r="V52" s="45">
        <f t="shared" si="5"/>
        <v>0.19170536943954847</v>
      </c>
      <c r="W52" s="45">
        <f t="shared" si="6"/>
        <v>0.16222222836019567</v>
      </c>
      <c r="X52" s="45">
        <f t="shared" si="7"/>
        <v>0.44444271099215976</v>
      </c>
      <c r="Y52" s="45">
        <f t="shared" si="8"/>
        <v>0</v>
      </c>
      <c r="Z52" s="45">
        <f t="shared" si="9"/>
        <v>0.18505975669050431</v>
      </c>
      <c r="AA52" s="45">
        <f t="shared" si="10"/>
        <v>0</v>
      </c>
      <c r="AB52" s="45">
        <f t="shared" si="11"/>
        <v>0</v>
      </c>
      <c r="AC52" s="45">
        <f t="shared" si="12"/>
        <v>0</v>
      </c>
      <c r="AD52" s="46">
        <f t="shared" si="13"/>
        <v>0</v>
      </c>
      <c r="AE52" s="46">
        <f t="shared" si="3"/>
        <v>0.88339141608063199</v>
      </c>
      <c r="AG52" s="47">
        <f t="shared" si="14"/>
        <v>-2.8359190022306526</v>
      </c>
      <c r="AH52" s="48">
        <f t="shared" si="15"/>
        <v>12.127658932485762</v>
      </c>
      <c r="AI52" s="49">
        <f t="shared" si="16"/>
        <v>-14.164278044873843</v>
      </c>
      <c r="AJ52" s="50">
        <f t="shared" si="23"/>
        <v>-2.3770551621806462</v>
      </c>
      <c r="AK52" s="51">
        <f t="shared" si="24"/>
        <v>8.4939172217133541E-2</v>
      </c>
      <c r="AM52" s="18">
        <f t="shared" si="25"/>
        <v>46.442608850290092</v>
      </c>
      <c r="AN52" s="52">
        <f t="shared" si="17"/>
        <v>5.2859043790406198E-4</v>
      </c>
      <c r="AO52" s="18">
        <f t="shared" si="18"/>
        <v>66.41897598373339</v>
      </c>
      <c r="AQ52">
        <f t="shared" si="19"/>
        <v>7.3054556888107935</v>
      </c>
      <c r="AR52">
        <f t="shared" si="20"/>
        <v>20204852.707896687</v>
      </c>
      <c r="AS52">
        <f t="shared" si="21"/>
        <v>16.821433366584284</v>
      </c>
      <c r="AU52">
        <f t="shared" si="22"/>
        <v>16.201963294388438</v>
      </c>
    </row>
    <row r="53" spans="1:47">
      <c r="A53">
        <v>6825</v>
      </c>
      <c r="C53" s="20">
        <v>9.6804534555297153E-2</v>
      </c>
      <c r="E53" s="19">
        <v>978.6010547214039</v>
      </c>
      <c r="G53" s="58">
        <v>3.79</v>
      </c>
      <c r="H53" s="58">
        <v>4.5</v>
      </c>
      <c r="I53" s="58">
        <v>17</v>
      </c>
      <c r="J53" s="58">
        <v>49</v>
      </c>
      <c r="K53" s="58">
        <v>0.24</v>
      </c>
      <c r="L53" s="58">
        <v>9.6</v>
      </c>
      <c r="M53" s="58">
        <v>3.58</v>
      </c>
      <c r="N53" s="58">
        <v>0.23</v>
      </c>
      <c r="O53" s="58">
        <v>10.65</v>
      </c>
      <c r="P53" s="40">
        <f t="shared" si="0"/>
        <v>0</v>
      </c>
      <c r="Q53" s="41">
        <v>1673</v>
      </c>
      <c r="R53" s="53">
        <f t="shared" si="1"/>
        <v>2.4050855109129743E-2</v>
      </c>
      <c r="S53" s="53">
        <f t="shared" si="2"/>
        <v>-6.369051356486807</v>
      </c>
      <c r="U53" s="44">
        <f t="shared" si="4"/>
        <v>6.9665298327256958E-2</v>
      </c>
      <c r="V53" s="45">
        <f t="shared" si="5"/>
        <v>6.3575657132305799E-2</v>
      </c>
      <c r="W53" s="45">
        <f t="shared" si="6"/>
        <v>0.18995378764991799</v>
      </c>
      <c r="X53" s="45">
        <f t="shared" si="7"/>
        <v>0.4645848286845462</v>
      </c>
      <c r="Y53" s="45">
        <f t="shared" si="8"/>
        <v>2.9026134415564837E-3</v>
      </c>
      <c r="Z53" s="45">
        <f t="shared" si="9"/>
        <v>9.7512905204928946E-2</v>
      </c>
      <c r="AA53" s="45">
        <f t="shared" si="10"/>
        <v>2.5523199483123232E-2</v>
      </c>
      <c r="AB53" s="45">
        <f t="shared" si="11"/>
        <v>1.8468665663695489E-3</v>
      </c>
      <c r="AC53" s="45">
        <f t="shared" si="12"/>
        <v>8.4434843509995111E-2</v>
      </c>
      <c r="AD53" s="46">
        <f t="shared" si="13"/>
        <v>7.6261167783760686E-2</v>
      </c>
      <c r="AE53" s="46">
        <f t="shared" si="3"/>
        <v>0.90319546544470286</v>
      </c>
      <c r="AG53" s="47">
        <f t="shared" si="14"/>
        <v>-0.98774328314107018</v>
      </c>
      <c r="AH53" s="48">
        <f t="shared" si="15"/>
        <v>10.540833190824053</v>
      </c>
      <c r="AI53" s="49">
        <f t="shared" si="16"/>
        <v>-13.154147383103403</v>
      </c>
      <c r="AJ53" s="50">
        <f t="shared" si="23"/>
        <v>-4.6478415628515286</v>
      </c>
      <c r="AK53" s="51">
        <f t="shared" si="24"/>
        <v>9.4913140750375602E-3</v>
      </c>
      <c r="AM53" s="18">
        <f t="shared" si="25"/>
        <v>2.8961396130988533</v>
      </c>
      <c r="AN53" s="52">
        <f t="shared" si="17"/>
        <v>2.4553100125333967E-4</v>
      </c>
      <c r="AO53" s="18">
        <f t="shared" si="18"/>
        <v>22.102410620001798</v>
      </c>
      <c r="AQ53">
        <f t="shared" si="19"/>
        <v>6.2769887075208199</v>
      </c>
      <c r="AR53">
        <f t="shared" si="20"/>
        <v>1892294.4147660721</v>
      </c>
      <c r="AS53">
        <f t="shared" si="21"/>
        <v>14.453300626829403</v>
      </c>
      <c r="AU53">
        <f t="shared" si="22"/>
        <v>14.160195663034742</v>
      </c>
    </row>
    <row r="54" spans="1:47"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AE54"/>
      <c r="AG54"/>
      <c r="AH54"/>
      <c r="AI54"/>
      <c r="AJ54"/>
      <c r="AK54"/>
    </row>
    <row r="55" spans="1:47">
      <c r="B55"/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AE55"/>
      <c r="AG55"/>
      <c r="AH55"/>
      <c r="AI55"/>
      <c r="AJ55"/>
      <c r="AK55"/>
    </row>
    <row r="56" spans="1:47">
      <c r="B56"/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AE56"/>
      <c r="AG56"/>
      <c r="AH56"/>
      <c r="AI56"/>
      <c r="AJ56"/>
      <c r="AK56"/>
    </row>
    <row r="57" spans="1:47">
      <c r="B57"/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AE57"/>
      <c r="AG57"/>
      <c r="AH57"/>
      <c r="AI57"/>
      <c r="AJ57"/>
      <c r="AK57"/>
    </row>
    <row r="58" spans="1:47">
      <c r="B58"/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AE58"/>
      <c r="AG58"/>
      <c r="AH58"/>
      <c r="AI58"/>
      <c r="AJ58"/>
      <c r="AK58"/>
    </row>
    <row r="59" spans="1:47">
      <c r="B59"/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AE59"/>
      <c r="AG59"/>
      <c r="AH59"/>
      <c r="AI59"/>
      <c r="AJ59"/>
      <c r="AK59"/>
    </row>
    <row r="60" spans="1:47">
      <c r="B60"/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AE60"/>
      <c r="AG60"/>
      <c r="AH60"/>
      <c r="AI60"/>
      <c r="AJ60"/>
      <c r="AK60"/>
    </row>
    <row r="61" spans="1:47">
      <c r="B61"/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AE61"/>
      <c r="AG61"/>
      <c r="AH61"/>
      <c r="AI61"/>
      <c r="AJ61"/>
      <c r="AK61"/>
    </row>
    <row r="62" spans="1:47">
      <c r="B62"/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AE62"/>
      <c r="AG62"/>
      <c r="AH62"/>
      <c r="AI62"/>
      <c r="AJ62"/>
      <c r="AK62"/>
    </row>
    <row r="63" spans="1:47">
      <c r="B63"/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AE63"/>
      <c r="AG63"/>
      <c r="AH63"/>
      <c r="AI63"/>
      <c r="AJ63"/>
      <c r="AK63"/>
    </row>
    <row r="64" spans="1:47">
      <c r="B64"/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AE64"/>
      <c r="AG64"/>
      <c r="AH64"/>
      <c r="AI64"/>
      <c r="AJ64"/>
      <c r="AK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</sheetData>
  <mergeCells count="4">
    <mergeCell ref="A10:D10"/>
    <mergeCell ref="E10:E11"/>
    <mergeCell ref="G10:O10"/>
    <mergeCell ref="P10:S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3282-C125-4741-AB3E-9C31F2D96569}">
  <dimension ref="A1:U43"/>
  <sheetViews>
    <sheetView tabSelected="1" topLeftCell="D29" workbookViewId="0">
      <selection activeCell="I48" sqref="I48"/>
    </sheetView>
  </sheetViews>
  <sheetFormatPr defaultColWidth="10.6640625" defaultRowHeight="15.5"/>
  <cols>
    <col min="13" max="13" width="18.6640625" customWidth="1"/>
    <col min="14" max="14" width="16.5" bestFit="1" customWidth="1"/>
    <col min="15" max="15" width="14.9140625" customWidth="1"/>
    <col min="16" max="16" width="14.08203125" customWidth="1"/>
  </cols>
  <sheetData>
    <row r="1" spans="1:20" ht="18.5">
      <c r="A1" s="1" t="s">
        <v>0</v>
      </c>
    </row>
    <row r="5" spans="1:20" ht="18.5">
      <c r="J5" s="75" t="s">
        <v>1</v>
      </c>
      <c r="K5" s="76"/>
      <c r="L5" s="76"/>
      <c r="M5" s="76"/>
      <c r="N5" s="76"/>
      <c r="O5" s="76"/>
      <c r="P5" s="76"/>
      <c r="Q5" s="76"/>
      <c r="R5" s="77"/>
    </row>
    <row r="6" spans="1:20" ht="16" thickBot="1">
      <c r="H6" s="2" t="s">
        <v>2</v>
      </c>
      <c r="I6" s="2" t="s">
        <v>3</v>
      </c>
      <c r="J6" s="3" t="s">
        <v>4</v>
      </c>
      <c r="K6" s="3" t="s">
        <v>5</v>
      </c>
      <c r="L6" s="3" t="s">
        <v>6</v>
      </c>
      <c r="M6" s="3" t="s">
        <v>7</v>
      </c>
      <c r="N6" s="3" t="s">
        <v>8</v>
      </c>
      <c r="O6" s="3" t="s">
        <v>9</v>
      </c>
      <c r="P6" s="3" t="s">
        <v>10</v>
      </c>
      <c r="Q6" s="3" t="s">
        <v>11</v>
      </c>
      <c r="R6" s="3" t="s">
        <v>12</v>
      </c>
      <c r="S6" s="4" t="s">
        <v>13</v>
      </c>
    </row>
    <row r="7" spans="1:20">
      <c r="H7" s="5">
        <v>1473</v>
      </c>
      <c r="I7">
        <f>1/H7</f>
        <v>6.7888662593346908E-4</v>
      </c>
      <c r="J7" s="5">
        <v>49.1</v>
      </c>
      <c r="K7" s="5">
        <v>16.600000000000001</v>
      </c>
      <c r="L7" s="5">
        <v>4.3</v>
      </c>
      <c r="M7" s="5">
        <v>9.8000000000000007</v>
      </c>
      <c r="N7" s="5">
        <v>7.63</v>
      </c>
      <c r="O7" s="5">
        <v>2.97</v>
      </c>
      <c r="P7" s="5">
        <v>1.3</v>
      </c>
      <c r="Q7" s="5">
        <v>4.28</v>
      </c>
      <c r="R7" s="5">
        <v>0.23</v>
      </c>
      <c r="S7">
        <v>99.620000000000019</v>
      </c>
      <c r="T7">
        <f>H7-273.15</f>
        <v>1199.8499999999999</v>
      </c>
    </row>
    <row r="9" spans="1:20">
      <c r="C9" t="s">
        <v>14</v>
      </c>
    </row>
    <row r="10" spans="1:20" ht="16" thickBot="1">
      <c r="C10" t="s">
        <v>15</v>
      </c>
      <c r="H10" t="s">
        <v>16</v>
      </c>
      <c r="I10" s="4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4" t="s">
        <v>9</v>
      </c>
      <c r="O10" s="4" t="s">
        <v>10</v>
      </c>
      <c r="P10" s="4" t="s">
        <v>11</v>
      </c>
      <c r="Q10" s="4" t="s">
        <v>12</v>
      </c>
      <c r="R10" s="6" t="s">
        <v>17</v>
      </c>
    </row>
    <row r="11" spans="1:20">
      <c r="I11">
        <f>J7/60.06</f>
        <v>0.81751581751581748</v>
      </c>
      <c r="J11" s="7">
        <f>K7*2/101.96</f>
        <v>0.32561788936837982</v>
      </c>
      <c r="K11" s="7">
        <f>L7/40.32</f>
        <v>0.10664682539682539</v>
      </c>
      <c r="L11" s="8">
        <f>M7/56.06</f>
        <v>0.17481270067784518</v>
      </c>
      <c r="M11" s="7">
        <f>N7/71.85</f>
        <v>0.10619345859429367</v>
      </c>
      <c r="N11" s="9">
        <f>O7/79.9</f>
        <v>3.7171464330413018E-2</v>
      </c>
      <c r="O11" s="9">
        <f>P7/47.1</f>
        <v>2.7600849256900213E-2</v>
      </c>
      <c r="P11" s="9">
        <f>Q7/30.99</f>
        <v>0.13810906744111004</v>
      </c>
      <c r="Q11" s="9">
        <f>R7/70.94</f>
        <v>3.2421764871722585E-3</v>
      </c>
      <c r="R11" s="10">
        <f>SUM(I11:Q11)</f>
        <v>1.7369102490687571</v>
      </c>
      <c r="S11" t="s">
        <v>18</v>
      </c>
    </row>
    <row r="12" spans="1:20">
      <c r="C12" s="11" t="s">
        <v>19</v>
      </c>
      <c r="D12" s="12"/>
      <c r="E12" s="12"/>
    </row>
    <row r="15" spans="1:20" ht="16" thickBot="1">
      <c r="G15" t="s">
        <v>20</v>
      </c>
      <c r="I15" s="4" t="s">
        <v>21</v>
      </c>
      <c r="J15" s="4" t="s">
        <v>22</v>
      </c>
      <c r="K15" s="4" t="s">
        <v>23</v>
      </c>
      <c r="L15" s="4" t="s">
        <v>24</v>
      </c>
      <c r="M15" s="4" t="s">
        <v>25</v>
      </c>
      <c r="N15" s="4" t="s">
        <v>26</v>
      </c>
      <c r="O15" s="4" t="s">
        <v>27</v>
      </c>
      <c r="P15" s="4" t="s">
        <v>28</v>
      </c>
      <c r="Q15" s="4" t="s">
        <v>29</v>
      </c>
    </row>
    <row r="16" spans="1:20">
      <c r="I16" s="10">
        <f>I11/$R11</f>
        <v>0.47067245872613617</v>
      </c>
      <c r="J16" s="10">
        <f>J11/$R11</f>
        <v>0.18746961136475507</v>
      </c>
      <c r="K16" s="10">
        <f>K11/$R11</f>
        <v>6.1400308653831705E-2</v>
      </c>
      <c r="L16" s="10">
        <f t="shared" ref="L16:Q16" si="0">L11/$R11</f>
        <v>0.10064578798563188</v>
      </c>
      <c r="M16" s="10">
        <f t="shared" si="0"/>
        <v>6.1139289523583155E-2</v>
      </c>
      <c r="N16" s="10">
        <f t="shared" si="0"/>
        <v>2.140091254015138E-2</v>
      </c>
      <c r="O16" s="10">
        <f>O11/$R11</f>
        <v>1.5890774593389834E-2</v>
      </c>
      <c r="P16" s="10">
        <f t="shared" si="0"/>
        <v>7.9514222174206811E-2</v>
      </c>
      <c r="Q16" s="10">
        <f t="shared" si="0"/>
        <v>1.8666344383139824E-3</v>
      </c>
    </row>
    <row r="17" spans="9:21">
      <c r="I17" t="s">
        <v>30</v>
      </c>
    </row>
    <row r="21" spans="9:21" ht="16" thickBot="1">
      <c r="I21" s="4" t="s">
        <v>31</v>
      </c>
      <c r="J21" s="4" t="s">
        <v>32</v>
      </c>
      <c r="K21" s="4" t="s">
        <v>33</v>
      </c>
      <c r="L21" s="4" t="s">
        <v>34</v>
      </c>
      <c r="M21" s="4" t="s">
        <v>35</v>
      </c>
      <c r="N21" s="4" t="s">
        <v>36</v>
      </c>
      <c r="O21" s="4" t="s">
        <v>37</v>
      </c>
      <c r="P21" s="4" t="s">
        <v>38</v>
      </c>
      <c r="Q21" s="4" t="s">
        <v>39</v>
      </c>
    </row>
    <row r="22" spans="9:21">
      <c r="I22" s="13">
        <f>I16*1000/$H7</f>
        <v>0.31953323742439654</v>
      </c>
      <c r="J22" s="13">
        <f t="shared" ref="J22:Q22" si="1">J16*1000/$H7</f>
        <v>0.12727061192447731</v>
      </c>
      <c r="K22" s="13">
        <f t="shared" si="1"/>
        <v>4.1683848373273394E-2</v>
      </c>
      <c r="L22" s="13">
        <f t="shared" si="1"/>
        <v>6.832707941998091E-2</v>
      </c>
      <c r="M22" s="13">
        <f t="shared" si="1"/>
        <v>4.1506645976634865E-2</v>
      </c>
      <c r="N22" s="13">
        <f t="shared" si="1"/>
        <v>1.452879330628064E-2</v>
      </c>
      <c r="O22" s="13">
        <f t="shared" si="1"/>
        <v>1.0788034347175719E-2</v>
      </c>
      <c r="P22" s="13">
        <f t="shared" si="1"/>
        <v>5.3981142005571491E-2</v>
      </c>
      <c r="Q22" s="13">
        <f t="shared" si="1"/>
        <v>1.2672331556781958E-3</v>
      </c>
    </row>
    <row r="24" spans="9:21">
      <c r="U24" s="14" t="s">
        <v>40</v>
      </c>
    </row>
    <row r="26" spans="9:21" ht="46.5">
      <c r="L26" s="6" t="s">
        <v>41</v>
      </c>
      <c r="M26" s="6" t="s">
        <v>42</v>
      </c>
      <c r="N26" t="s">
        <v>43</v>
      </c>
      <c r="O26" t="s">
        <v>44</v>
      </c>
      <c r="P26" s="62" t="s">
        <v>103</v>
      </c>
      <c r="Q26" s="62" t="s">
        <v>106</v>
      </c>
    </row>
    <row r="27" spans="9:21">
      <c r="L27" s="13">
        <f>-12.659+(3692*L16-7592*I16-13736*N16+3762*J16+34483)/H7</f>
        <v>8.8566392979611788</v>
      </c>
      <c r="M27">
        <v>0.154</v>
      </c>
      <c r="N27" s="16">
        <f>10^L27</f>
        <v>718851689.78671241</v>
      </c>
      <c r="O27">
        <f>LN(N27)</f>
        <v>20.393165621510661</v>
      </c>
      <c r="P27" s="15">
        <f>-8.02 +(21100+44000*P16+18700*K16+4300*J16+44200*O16+35600*L16+12600*Q16+16500*M16)/(H7)</f>
        <v>13.616531593169316</v>
      </c>
      <c r="Q27">
        <f>-8.02 +(21100+44000*P16+18700*K16+4300*J16+44200*O16+35600*L16+12600*Q16+16500*M16)/(H7-273.15)</f>
        <v>18.542162800965457</v>
      </c>
    </row>
    <row r="31" spans="9:21">
      <c r="I31" t="s">
        <v>104</v>
      </c>
    </row>
    <row r="37" spans="9:14">
      <c r="I37" t="s">
        <v>105</v>
      </c>
    </row>
    <row r="43" spans="9:14">
      <c r="I43" t="s">
        <v>107</v>
      </c>
      <c r="N43" t="s">
        <v>108</v>
      </c>
    </row>
  </sheetData>
  <mergeCells count="1">
    <mergeCell ref="J5:R5"/>
  </mergeCells>
  <pageMargins left="0.75" right="0.75" top="1" bottom="1" header="0.5" footer="0.5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ONeill_Supplement</vt:lpstr>
      <vt:lpstr>BoullWood_Supp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2022-11-19T18:05:17Z</dcterms:created>
  <dcterms:modified xsi:type="dcterms:W3CDTF">2022-11-24T18:44:59Z</dcterms:modified>
</cp:coreProperties>
</file>