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SulfSat\PySCSS_Structure\Benchmarking\"/>
    </mc:Choice>
  </mc:AlternateContent>
  <xr:revisionPtr revIDLastSave="0" documentId="13_ncr:1_{D7994C5B-6F8A-403A-A971-CBD49C57C658}" xr6:coauthVersionLast="47" xr6:coauthVersionMax="47" xr10:uidLastSave="{00000000-0000-0000-0000-000000000000}"/>
  <bookViews>
    <workbookView xWindow="28680" yWindow="-120" windowWidth="21840" windowHeight="13290" tabRatio="500" activeTab="1" xr2:uid="{00000000-000D-0000-FFFF-FFFF00000000}"/>
  </bookViews>
  <sheets>
    <sheet name="D's " sheetId="2" r:id="rId1"/>
    <sheet name="PySCSS_testi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2" i="2" l="1"/>
  <c r="AS12" i="2"/>
  <c r="AO12" i="2" s="1"/>
  <c r="AN12" i="2"/>
  <c r="AS10" i="2"/>
  <c r="AM10" i="2" s="1"/>
  <c r="AQ10" i="2" s="1"/>
  <c r="AO10" i="2"/>
  <c r="AS11" i="2"/>
  <c r="AO11" i="2" s="1"/>
  <c r="G11" i="2"/>
  <c r="H11" i="2"/>
  <c r="AL18" i="2" s="1"/>
  <c r="AS13" i="2"/>
  <c r="AL13" i="2" s="1"/>
  <c r="AQ13" i="2" s="1"/>
  <c r="AP13" i="2"/>
  <c r="AL17" i="2" l="1"/>
  <c r="AQ12" i="2"/>
  <c r="AM19" i="2"/>
  <c r="AL11" i="2"/>
  <c r="AQ11" i="2" s="1"/>
  <c r="AL19" i="2" s="1"/>
  <c r="AF12" i="2" l="1"/>
  <c r="AH12" i="2"/>
  <c r="AI6" i="2" l="1"/>
  <c r="AF6" i="2" s="1"/>
  <c r="AI12" i="2"/>
  <c r="AH6" i="2"/>
  <c r="AG6" i="2"/>
  <c r="AG9" i="2" l="1"/>
  <c r="AG8" i="2"/>
  <c r="I11" i="2" s="1"/>
  <c r="AM20" i="2" l="1"/>
  <c r="F11" i="2" s="1"/>
  <c r="AL21" i="2" l="1"/>
  <c r="AH7" i="2"/>
  <c r="AI7" i="2"/>
  <c r="AF7" i="2" s="1"/>
  <c r="AG7" i="2"/>
  <c r="J11" i="2"/>
  <c r="K11" i="2" s="1"/>
  <c r="AM21" i="2"/>
  <c r="Q7" i="2" l="1"/>
  <c r="G7" i="2"/>
  <c r="G15" i="2" s="1"/>
  <c r="T7" i="2"/>
  <c r="J7" i="2"/>
  <c r="J9" i="2"/>
  <c r="J8" i="2"/>
  <c r="L7" i="2"/>
  <c r="H7" i="2"/>
  <c r="I7" i="2"/>
  <c r="F7" i="2"/>
  <c r="F15" i="2" s="1"/>
  <c r="S7" i="2"/>
  <c r="K7" i="2"/>
  <c r="R7" i="2"/>
  <c r="P7" i="2"/>
  <c r="N7" i="2"/>
  <c r="O7" i="2"/>
  <c r="U7" i="2"/>
  <c r="M7" i="2"/>
</calcChain>
</file>

<file path=xl/sharedStrings.xml><?xml version="1.0" encoding="utf-8"?>
<sst xmlns="http://schemas.openxmlformats.org/spreadsheetml/2006/main" count="108" uniqueCount="71">
  <si>
    <t>Sulphide composition</t>
  </si>
  <si>
    <t>DNi</t>
  </si>
  <si>
    <t>DCu</t>
  </si>
  <si>
    <t>DAg</t>
  </si>
  <si>
    <t>DPb</t>
  </si>
  <si>
    <t>DZn</t>
  </si>
  <si>
    <t>DCd</t>
  </si>
  <si>
    <t>DTl</t>
  </si>
  <si>
    <t>DMn</t>
  </si>
  <si>
    <t>DIn</t>
  </si>
  <si>
    <t>DTi</t>
  </si>
  <si>
    <t>DGa</t>
  </si>
  <si>
    <t>DSb</t>
  </si>
  <si>
    <t>DCo</t>
  </si>
  <si>
    <t>DV</t>
  </si>
  <si>
    <t>DGe</t>
  </si>
  <si>
    <t>DCr</t>
  </si>
  <si>
    <t>FeOcorr</t>
  </si>
  <si>
    <t>epsFeO</t>
  </si>
  <si>
    <t>epsNi</t>
  </si>
  <si>
    <t>epsCu</t>
  </si>
  <si>
    <t>B</t>
  </si>
  <si>
    <t>A</t>
  </si>
  <si>
    <t>Ni/Ni+Fe+Cu</t>
  </si>
  <si>
    <t>Cu/Cu+Fe+Cu</t>
  </si>
  <si>
    <t>Fe/Fe+Cu+Ni</t>
  </si>
  <si>
    <t>Fe</t>
  </si>
  <si>
    <t>Ni</t>
  </si>
  <si>
    <t>Cu</t>
  </si>
  <si>
    <t>S</t>
  </si>
  <si>
    <t>O</t>
  </si>
  <si>
    <t>Total</t>
  </si>
  <si>
    <t>1 mole</t>
  </si>
  <si>
    <t>Pb</t>
  </si>
  <si>
    <t>Ag</t>
  </si>
  <si>
    <t>Stoichimetric</t>
  </si>
  <si>
    <t>Zn</t>
  </si>
  <si>
    <t>NiS</t>
  </si>
  <si>
    <t>Cd</t>
  </si>
  <si>
    <t>FeS</t>
  </si>
  <si>
    <t>Tl</t>
  </si>
  <si>
    <t>Temperature, K</t>
  </si>
  <si>
    <t>Mn</t>
  </si>
  <si>
    <t>CuS0.5</t>
  </si>
  <si>
    <t>In</t>
  </si>
  <si>
    <t>FeO</t>
  </si>
  <si>
    <t>Ti</t>
  </si>
  <si>
    <t>Ga</t>
  </si>
  <si>
    <t>Sb</t>
  </si>
  <si>
    <t>Co</t>
  </si>
  <si>
    <t>V</t>
  </si>
  <si>
    <t>Ge</t>
  </si>
  <si>
    <t>Cr</t>
  </si>
  <si>
    <t>FeS corr</t>
  </si>
  <si>
    <t>Silicate magma</t>
  </si>
  <si>
    <t>Partition coefficients</t>
  </si>
  <si>
    <t>Input parameters</t>
  </si>
  <si>
    <t>FeO content of silicate liquid (wt%)</t>
  </si>
  <si>
    <t>Equation parameters</t>
  </si>
  <si>
    <t xml:space="preserve">Orange cells require data input </t>
  </si>
  <si>
    <t>Blue cells contain calculated partition coefficients, sulphide composition and Ni and Cu concentrations of the silicate liquid</t>
  </si>
  <si>
    <t>Sulphide composition (wt%)</t>
  </si>
  <si>
    <t>Green cells are equation parameters which should not be changed unless there are updates to partitioning data</t>
  </si>
  <si>
    <t>Cu_Sulf</t>
  </si>
  <si>
    <t>Ni_Sulf</t>
  </si>
  <si>
    <t>FeOt_Liq</t>
  </si>
  <si>
    <t>T_K</t>
  </si>
  <si>
    <t>Dni</t>
  </si>
  <si>
    <t>Fe_Sulf</t>
  </si>
  <si>
    <t>O_Sulf</t>
  </si>
  <si>
    <t>S_Sulf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</si>
</sst>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"/>
      <name val="Verdana"/>
      <family val="2"/>
    </font>
    <font>
      <b/>
      <sz val="14"/>
      <color rgb="FF000000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8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8"/>
      <color rgb="FF008000"/>
      <name val="Arial"/>
      <family val="2"/>
    </font>
    <font>
      <sz val="12"/>
      <color rgb="FF000000"/>
      <name val="Arial"/>
      <family val="2"/>
    </font>
    <font>
      <sz val="12"/>
      <color rgb="FF008000"/>
      <name val="Calibri"/>
      <family val="2"/>
      <scheme val="minor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D7FFCE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 applyFill="1"/>
    <xf numFmtId="0" fontId="0" fillId="0" borderId="0" xfId="0" applyFill="1"/>
    <xf numFmtId="0" fontId="7" fillId="3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2" fontId="0" fillId="0" borderId="0" xfId="0" applyNumberFormat="1" applyFill="1" applyBorder="1"/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0" fillId="0" borderId="0" xfId="0" applyFont="1"/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3" fillId="0" borderId="0" xfId="0" applyFont="1"/>
    <xf numFmtId="2" fontId="4" fillId="3" borderId="2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1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5" fillId="0" borderId="0" xfId="0" applyFont="1"/>
    <xf numFmtId="0" fontId="4" fillId="3" borderId="2" xfId="0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4" borderId="3" xfId="0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/>
    <xf numFmtId="0" fontId="4" fillId="4" borderId="8" xfId="0" applyFont="1" applyFill="1" applyBorder="1"/>
    <xf numFmtId="0" fontId="18" fillId="0" borderId="0" xfId="0" applyFont="1"/>
    <xf numFmtId="2" fontId="17" fillId="5" borderId="1" xfId="2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66" fontId="11" fillId="5" borderId="7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2" fontId="17" fillId="5" borderId="9" xfId="2" applyNumberFormat="1" applyFont="1" applyFill="1" applyBorder="1" applyAlignment="1">
      <alignment horizontal="center"/>
    </xf>
    <xf numFmtId="2" fontId="11" fillId="5" borderId="9" xfId="0" applyNumberFormat="1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2" fontId="19" fillId="6" borderId="11" xfId="0" applyNumberFormat="1" applyFont="1" applyFill="1" applyBorder="1" applyAlignment="1">
      <alignment horizontal="left"/>
    </xf>
    <xf numFmtId="0" fontId="5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12" xfId="0" applyFill="1" applyBorder="1"/>
    <xf numFmtId="0" fontId="0" fillId="6" borderId="13" xfId="0" applyFill="1" applyBorder="1"/>
    <xf numFmtId="2" fontId="7" fillId="2" borderId="2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left"/>
    </xf>
    <xf numFmtId="0" fontId="0" fillId="7" borderId="12" xfId="0" applyFill="1" applyBorder="1"/>
    <xf numFmtId="0" fontId="0" fillId="7" borderId="13" xfId="0" applyFill="1" applyBorder="1"/>
    <xf numFmtId="0" fontId="4" fillId="8" borderId="6" xfId="0" applyFont="1" applyFill="1" applyBorder="1"/>
    <xf numFmtId="2" fontId="17" fillId="8" borderId="1" xfId="1" applyNumberFormat="1" applyFont="1" applyFill="1" applyBorder="1" applyAlignment="1">
      <alignment horizontal="center"/>
    </xf>
    <xf numFmtId="2" fontId="17" fillId="8" borderId="1" xfId="2" applyNumberFormat="1" applyFont="1" applyFill="1" applyBorder="1" applyAlignment="1">
      <alignment horizontal="center"/>
    </xf>
    <xf numFmtId="2" fontId="12" fillId="8" borderId="1" xfId="2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66" fontId="11" fillId="8" borderId="7" xfId="0" applyNumberFormat="1" applyFont="1" applyFill="1" applyBorder="1" applyAlignment="1">
      <alignment horizontal="center"/>
    </xf>
    <xf numFmtId="2" fontId="17" fillId="8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166" fontId="4" fillId="6" borderId="1" xfId="0" applyNumberFormat="1" applyFont="1" applyFill="1" applyBorder="1" applyAlignment="1">
      <alignment horizontal="center"/>
    </xf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1" xr:uid="{00000000-0005-0000-0000-000015000000}"/>
    <cellStyle name="Normal 2 2" xfId="2" xr:uid="{00000000-0005-0000-0000-000016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16</xdr:row>
      <xdr:rowOff>177800</xdr:rowOff>
    </xdr:from>
    <xdr:to>
      <xdr:col>13</xdr:col>
      <xdr:colOff>419100</xdr:colOff>
      <xdr:row>20</xdr:row>
      <xdr:rowOff>20320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oneCellAnchor>
    <xdr:from>
      <xdr:col>0</xdr:col>
      <xdr:colOff>254000</xdr:colOff>
      <xdr:row>0</xdr:row>
      <xdr:rowOff>165100</xdr:rowOff>
    </xdr:from>
    <xdr:ext cx="12077700" cy="5232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54000" y="165100"/>
          <a:ext cx="12077700" cy="523220"/>
        </a:xfrm>
        <a:prstGeom prst="rect">
          <a:avLst/>
        </a:prstGeom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latin typeface="Arial"/>
              <a:cs typeface="Arial"/>
            </a:rPr>
            <a:t>For this calculation</a:t>
          </a:r>
          <a:r>
            <a:rPr lang="en-US" sz="1400" baseline="0">
              <a:latin typeface="Arial"/>
              <a:cs typeface="Arial"/>
            </a:rPr>
            <a:t> you need to know the FeO content of the silicate melt</a:t>
          </a:r>
          <a:r>
            <a:rPr lang="ru-RU" sz="1400" baseline="0">
              <a:latin typeface="Arial"/>
              <a:cs typeface="Arial"/>
            </a:rPr>
            <a:t> </a:t>
          </a:r>
          <a:r>
            <a:rPr lang="en-US" sz="1400" baseline="0">
              <a:latin typeface="Arial"/>
              <a:cs typeface="Arial"/>
            </a:rPr>
            <a:t>and to guess the Ni and Cu contents of the sulphide</a:t>
          </a:r>
          <a:r>
            <a:rPr lang="ru-RU" sz="1400" baseline="0">
              <a:latin typeface="Arial"/>
              <a:cs typeface="Arial"/>
            </a:rPr>
            <a:t> </a:t>
          </a:r>
          <a:r>
            <a:rPr lang="en-US" sz="1400" baseline="0">
              <a:latin typeface="Arial"/>
              <a:cs typeface="Arial"/>
            </a:rPr>
            <a:t>-</a:t>
          </a:r>
          <a:r>
            <a:rPr lang="ru-RU" sz="1400" baseline="0">
              <a:latin typeface="Arial"/>
              <a:cs typeface="Arial"/>
            </a:rPr>
            <a:t> </a:t>
          </a:r>
          <a:r>
            <a:rPr lang="en-US" sz="1400" baseline="0">
              <a:latin typeface="Arial"/>
              <a:cs typeface="Arial"/>
            </a:rPr>
            <a:t>these are in the orange</a:t>
          </a:r>
          <a:r>
            <a:rPr lang="ru-RU" sz="1400" baseline="0">
              <a:latin typeface="Arial"/>
              <a:cs typeface="Arial"/>
            </a:rPr>
            <a:t> </a:t>
          </a:r>
          <a:r>
            <a:rPr lang="en-US" sz="1400" baseline="0">
              <a:latin typeface="Arial"/>
              <a:cs typeface="Arial"/>
            </a:rPr>
            <a:t>boxes. You then adjust Ni and Cu in the orange boxes until you get your</a:t>
          </a:r>
          <a:r>
            <a:rPr lang="ru-RU" sz="1400" baseline="0">
              <a:latin typeface="Arial"/>
              <a:cs typeface="Arial"/>
            </a:rPr>
            <a:t> </a:t>
          </a:r>
          <a:r>
            <a:rPr lang="en-US" sz="1400" baseline="0">
              <a:latin typeface="Arial"/>
              <a:cs typeface="Arial"/>
            </a:rPr>
            <a:t>measured Ni and Cu contents of the silicate melt</a:t>
          </a:r>
          <a:endParaRPr lang="en-US" sz="1400">
            <a:latin typeface="Arial"/>
            <a:cs typeface="Arial"/>
          </a:endParaRPr>
        </a:p>
      </xdr:txBody>
    </xdr:sp>
    <xdr:clientData/>
  </xdr:oneCellAnchor>
  <xdr:oneCellAnchor>
    <xdr:from>
      <xdr:col>30</xdr:col>
      <xdr:colOff>520700</xdr:colOff>
      <xdr:row>0</xdr:row>
      <xdr:rowOff>177800</xdr:rowOff>
    </xdr:from>
    <xdr:ext cx="4385974" cy="5232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374600" y="177800"/>
          <a:ext cx="4385974" cy="523220"/>
        </a:xfrm>
        <a:prstGeom prst="rect">
          <a:avLst/>
        </a:prstGeom>
        <a:effectLst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>
              <a:latin typeface="Arial"/>
              <a:cs typeface="Arial"/>
            </a:rPr>
            <a:t>Here we are using an empirical approach to estimate</a:t>
          </a:r>
        </a:p>
        <a:p>
          <a:r>
            <a:rPr lang="en-US" sz="1400" b="0">
              <a:latin typeface="Arial"/>
              <a:cs typeface="Arial"/>
            </a:rPr>
            <a:t>the oxygen content of the sulphide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17</xdr:row>
          <xdr:rowOff>60960</xdr:rowOff>
        </xdr:from>
        <xdr:to>
          <xdr:col>13</xdr:col>
          <xdr:colOff>434340</xdr:colOff>
          <xdr:row>20</xdr:row>
          <xdr:rowOff>91440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J52"/>
  <sheetViews>
    <sheetView zoomScale="130" zoomScaleNormal="130" workbookViewId="0">
      <selection activeCell="F11" sqref="F11:K11"/>
    </sheetView>
  </sheetViews>
  <sheetFormatPr defaultColWidth="11.19921875" defaultRowHeight="15.6" x14ac:dyDescent="0.3"/>
  <cols>
    <col min="3" max="3" width="11.296875" customWidth="1"/>
    <col min="13" max="13" width="11.296875" customWidth="1"/>
    <col min="22" max="22" width="11" bestFit="1" customWidth="1"/>
    <col min="33" max="33" width="12" customWidth="1"/>
    <col min="34" max="34" width="12.19921875" customWidth="1"/>
    <col min="35" max="35" width="11.69921875" customWidth="1"/>
    <col min="37" max="62" width="10.796875" customWidth="1"/>
  </cols>
  <sheetData>
    <row r="5" spans="1:62" ht="27" customHeight="1" thickBot="1" x14ac:dyDescent="0.35">
      <c r="A5" s="36" t="s">
        <v>56</v>
      </c>
      <c r="F5" s="1" t="s">
        <v>55</v>
      </c>
      <c r="L5">
        <v>0.5</v>
      </c>
      <c r="N5">
        <v>1.5</v>
      </c>
      <c r="O5">
        <v>2</v>
      </c>
      <c r="P5">
        <v>-1.5</v>
      </c>
      <c r="Q5">
        <v>-1.5</v>
      </c>
      <c r="S5">
        <v>-1.5</v>
      </c>
      <c r="T5">
        <v>-2</v>
      </c>
      <c r="W5" s="37" t="s">
        <v>58</v>
      </c>
      <c r="AF5" s="2" t="s">
        <v>17</v>
      </c>
      <c r="AG5" s="2" t="s">
        <v>23</v>
      </c>
      <c r="AH5" s="2" t="s">
        <v>24</v>
      </c>
      <c r="AI5" s="2" t="s">
        <v>25</v>
      </c>
      <c r="AJ5" s="2"/>
      <c r="AL5" s="2" t="s">
        <v>26</v>
      </c>
      <c r="AM5" s="2" t="s">
        <v>27</v>
      </c>
      <c r="AN5" s="2" t="s">
        <v>28</v>
      </c>
      <c r="AO5" s="2" t="s">
        <v>29</v>
      </c>
      <c r="AP5" s="2" t="s">
        <v>30</v>
      </c>
      <c r="AQ5" s="2" t="s">
        <v>31</v>
      </c>
      <c r="AS5" t="s">
        <v>32</v>
      </c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</row>
    <row r="6" spans="1:62" ht="17.399999999999999" x14ac:dyDescent="0.3">
      <c r="A6" s="33"/>
      <c r="F6" s="27" t="s">
        <v>67</v>
      </c>
      <c r="G6" s="27" t="s">
        <v>2</v>
      </c>
      <c r="H6" s="27" t="s">
        <v>3</v>
      </c>
      <c r="I6" s="27" t="s">
        <v>4</v>
      </c>
      <c r="J6" s="27" t="s">
        <v>5</v>
      </c>
      <c r="K6" s="27" t="s">
        <v>6</v>
      </c>
      <c r="L6" s="27" t="s">
        <v>7</v>
      </c>
      <c r="M6" s="27" t="s">
        <v>8</v>
      </c>
      <c r="N6" s="27" t="s">
        <v>9</v>
      </c>
      <c r="O6" s="27" t="s">
        <v>10</v>
      </c>
      <c r="P6" s="27" t="s">
        <v>11</v>
      </c>
      <c r="Q6" s="27" t="s">
        <v>12</v>
      </c>
      <c r="R6" s="27" t="s">
        <v>13</v>
      </c>
      <c r="S6" s="27" t="s">
        <v>14</v>
      </c>
      <c r="T6" s="27" t="s">
        <v>15</v>
      </c>
      <c r="U6" s="27" t="s">
        <v>16</v>
      </c>
      <c r="W6" s="38"/>
      <c r="X6" s="39" t="s">
        <v>18</v>
      </c>
      <c r="Y6" s="39" t="s">
        <v>19</v>
      </c>
      <c r="Z6" s="39" t="s">
        <v>20</v>
      </c>
      <c r="AA6" s="39" t="s">
        <v>21</v>
      </c>
      <c r="AB6" s="40" t="s">
        <v>22</v>
      </c>
      <c r="AF6">
        <f>A12/AI6</f>
        <v>16.424670786844814</v>
      </c>
      <c r="AG6">
        <f>A9/$AM$6/(A9/$AM$6+B9/$AN$6+AF12/$AL$6)</f>
        <v>1.5439101901330417E-2</v>
      </c>
      <c r="AH6">
        <f>B9/$AN$6/(A9/$AM$6+B9/$AN$6+AF12/$AL$6)</f>
        <v>7.1300584107225201E-2</v>
      </c>
      <c r="AI6">
        <f>AF12/$AL$6/(A9/$AM$6+B9/$AN$6+AF12/$AL$6)</f>
        <v>0.91326031399144436</v>
      </c>
      <c r="AL6">
        <v>55.844999999999999</v>
      </c>
      <c r="AM6">
        <v>58.693399999999997</v>
      </c>
      <c r="AN6">
        <v>63.545999999999999</v>
      </c>
      <c r="AO6">
        <v>32.06</v>
      </c>
      <c r="AP6">
        <v>16</v>
      </c>
      <c r="AU6" s="19"/>
      <c r="AV6" s="19"/>
      <c r="AW6" s="19"/>
      <c r="AX6" s="19"/>
      <c r="AY6" s="20"/>
      <c r="AZ6" s="19"/>
      <c r="BA6" s="20"/>
      <c r="BB6" s="20"/>
      <c r="BC6" s="20"/>
      <c r="BD6" s="21"/>
      <c r="BE6" s="20"/>
      <c r="BF6" s="19"/>
      <c r="BG6" s="19"/>
      <c r="BH6" s="20"/>
      <c r="BI6" s="20"/>
      <c r="BJ6" s="20"/>
    </row>
    <row r="7" spans="1:62" ht="21" x14ac:dyDescent="0.4">
      <c r="A7" s="25" t="s">
        <v>61</v>
      </c>
      <c r="F7" s="3">
        <f>10^($AA$8/$A$15+$AB$8-LOG(AF7)+(1673*$X$8*LOG(1-0.049*I11)/$A$15)+(1673*$Y$8*LOG(1-AG7)/$A$15)+(1673*$Z$8*LOG(1-AH7)/$A$15))</f>
        <v>728.88011299649133</v>
      </c>
      <c r="G7" s="3">
        <f>10^($AA$7/$A$15+$AB$7-0.5*LOG(AF7)+(1673*$X$7*LOG(1-0.049*I11)/$A$15)+(1673*$Z$7*LOG(1-AH7)/$A$15)+(1673*$Y$7*LOG(1-AG7)/$A$15))</f>
        <v>533.1139041464711</v>
      </c>
      <c r="H7" s="35">
        <f>10^($AA$10/$A$15+$AB$10-0.5*LOG(AF7)+(1673*$X$10*LOG(1-0.049*I11)/$A$15)+(1673*$Z$10*LOG(1-AH7)/$A$15)+(1673*$Y$10*LOG(1-AG7)/$A$15))</f>
        <v>647.39042319406303</v>
      </c>
      <c r="I7" s="70">
        <f>10^($AA$9/$A$15+$AB$9-LOG(AF7)+(1673*$X$9*LOG(1-0.049*I11)/$A$15)+(1673*$Y$9*LOG(1-AG7)/$A$15)+(1673*$Z$9*LOG(1-AH7)/$A$15))</f>
        <v>26.300145878152811</v>
      </c>
      <c r="J7" s="35">
        <f>10^($AA$11/$A$15+$AB$11-LOG(AF7)+(1673*$X$11*LOG(1-0.049*I11)/$A$15)+(1673*$Y$11*LOG(1-AG7)/$A$15)+(1673*$Z$11*LOG(1-AH7)/$A$15))</f>
        <v>1.357768629646807</v>
      </c>
      <c r="K7" s="35">
        <f>10^($AA$12/$A$15+$AB$12-LOG(AF7)+(1673*$X$12*LOG(1-0.049*I11)/$A$15)+(1673*$Y$12*LOG(1-AG7)/$A$15)+(1673*$Z$12*LOG(1-AH7)/$A$15))</f>
        <v>48.406509711685104</v>
      </c>
      <c r="L7" s="35">
        <f>10^($AA$13/$A$15+$AB$13-0.5*LOG(AF7)+(1673*$X$13*LOG(1-0.049*I11)/$A$15)+(1673*$Y$13*LOG(1-AG7)/$A$15)+(1673*$Z$13*LOG(1-AH7)/$A$15))</f>
        <v>8.7535035562903332</v>
      </c>
      <c r="M7" s="35">
        <f>10^($AA$14/$A$15+$AB$14-LOG(AF7)+(1673*$X$14*LOG(1-0.049*I11)/$A$15)+(1673*$Y$14*LOG(1-AG7)/$A$15)+(1673*$Z$14*LOG(1-AH7)/$A$15))</f>
        <v>0.384026397138366</v>
      </c>
      <c r="N7" s="35">
        <f>10^($AA$15/$A$15+$AB$15-1.5*LOG(AF7)+(1673*$X$15*LOG(1-0.049*I11)/$A$15)+(1673*$Y$15*LOG(1-AG7)/$A$15)+(1673*$Z$15*LOG(1-AH7)/$A$15))</f>
        <v>8.1655759943359563</v>
      </c>
      <c r="O7" s="5">
        <f>10^($AA$16/$A$15+$AB$16-2*LOG(AF7)+(1673*$X$16*LOG(1-0.049*I11)/$A$15)+(1673*$Y$16*LOG(1-AG7)/$A$15)+(1673*$Z$16*LOG(1-AH7)/$A$15))</f>
        <v>1.0824148441455661E-2</v>
      </c>
      <c r="P7" s="5">
        <f>10^($AA$17/$A$15+$AB$17-1.5*LOG(AF7)+(1673*$X$17*LOG(1-0.049*I11)/$A$15)+(1673*$Y$17*LOG(1-AG7)/$A$15)+(1673*$Z$17*LOG(1-AH7)/$A$15))</f>
        <v>2.5577812102685914E-2</v>
      </c>
      <c r="Q7" s="5">
        <f>10^($AA$18/$A$15+$AB$18-1.5*LOG(AF7)+(1673*$X$18*LOG(1-0.049*I11)/$A$15)+(1673*$Y$18*LOG(1-AG7)/$A$15)+(1673*$Z$18*LOG(1-AH7)/$A$15))</f>
        <v>9.0557908588707576</v>
      </c>
      <c r="R7" s="35">
        <f>10^($AA$19/$A$15+$AB$19-LOG(AF7)+(1673*$X$19*LOG(1-0.049*I11)/$A$15)+(1673*$Y$19*LOG(1-AG7)/$A$15)+(1673*$Z$19*LOG(1-AH7)/$A$15))</f>
        <v>35.641658970603586</v>
      </c>
      <c r="S7" s="35">
        <f>10^($AA$20/$A$15+$AB$20-1.5*LOG(AF7)+(1673*$X$20*LOG(1-0.049*I11)/$A$15)+(1673*$Y$20*LOG(1-AG7)/$A$15)+(1673*$Z$20*LOG(1-AH7)/$A$15))</f>
        <v>0.19862693565590703</v>
      </c>
      <c r="T7" s="35">
        <f>10^($AA$21/$A$15+$AB$21-2*LOG(AF7)+(1673*$X$21*LOG(1-0.049*I11)/$A$15)+(1673*$Y$21*LOG(1-AG7)/$A$15)+(1673*$Z$21*LOG(1-AH7)/$A$15))</f>
        <v>0.29741021180576421</v>
      </c>
      <c r="U7" s="4">
        <f>10^($AA$22/$A$15+$AB$22-LOG(AF7)+(1673*$X$22*LOG(1-0.049*I11)/$A$15)+(1673*$Y$22*LOG(1-AG7)/$A$15)+(1673*$Z$22*LOG(1-AH7)/$A$15))</f>
        <v>1.0064285873027785</v>
      </c>
      <c r="W7" s="62" t="s">
        <v>28</v>
      </c>
      <c r="X7" s="63">
        <v>2.2029999999999998</v>
      </c>
      <c r="Y7" s="64">
        <v>0</v>
      </c>
      <c r="Z7" s="65">
        <v>-1.0309999999999999</v>
      </c>
      <c r="AA7" s="66">
        <v>4200</v>
      </c>
      <c r="AB7" s="67">
        <v>0.69950000000000001</v>
      </c>
      <c r="AF7">
        <f>A12/AI7</f>
        <v>16.318806352847183</v>
      </c>
      <c r="AG7">
        <f>G11/$AM$6/(G11/$AM$6+H11/$AN$6+F11/$AL$6)</f>
        <v>1.4384568197765207E-2</v>
      </c>
      <c r="AH7">
        <f>H11/$AN$6/(G11/$AM$6+H11/$AN$6+F11/$AL$6)</f>
        <v>6.6430555429036628E-2</v>
      </c>
      <c r="AI7">
        <f>F11/$AL$6/(G11/$AM$6+H11/$AN$6+F11/$AL$6)</f>
        <v>0.91918487637319823</v>
      </c>
    </row>
    <row r="8" spans="1:62" ht="18" thickBot="1" x14ac:dyDescent="0.35">
      <c r="A8" s="30" t="s">
        <v>27</v>
      </c>
      <c r="B8" s="30" t="s">
        <v>28</v>
      </c>
      <c r="J8">
        <f>10^($AA$11/$A$15+$AB$11-LOG(AF7)+(1673*$X$11*LOG(1-0.049*I11)/$A$15))</f>
        <v>1.2694426823560931</v>
      </c>
      <c r="W8" s="62" t="s">
        <v>27</v>
      </c>
      <c r="X8" s="68">
        <v>0</v>
      </c>
      <c r="Y8" s="64">
        <v>-0.90400000000000003</v>
      </c>
      <c r="Z8" s="65">
        <v>0</v>
      </c>
      <c r="AA8" s="66">
        <v>3300</v>
      </c>
      <c r="AB8" s="67">
        <v>1.869</v>
      </c>
      <c r="AG8">
        <f>AG6*0.97</f>
        <v>1.4975928844290503E-2</v>
      </c>
    </row>
    <row r="9" spans="1:62" ht="21.6" thickBot="1" x14ac:dyDescent="0.35">
      <c r="A9" s="26">
        <v>1</v>
      </c>
      <c r="B9" s="26">
        <v>5</v>
      </c>
      <c r="F9" s="1" t="s">
        <v>0</v>
      </c>
      <c r="J9">
        <f>10^($AA$11/$A$15+$AB$11-LOG(AF7)+(1673*$X$11*LOG(1-0.049*I11)/$A$15)+(1673*$Y$11*LOG(1-AG7)/$A$15))</f>
        <v>1.2553461412105495</v>
      </c>
      <c r="W9" s="62" t="s">
        <v>33</v>
      </c>
      <c r="X9" s="63">
        <v>0.45400000000000001</v>
      </c>
      <c r="Y9" s="68">
        <v>0</v>
      </c>
      <c r="Z9" s="69">
        <v>0</v>
      </c>
      <c r="AA9" s="66">
        <v>1260</v>
      </c>
      <c r="AB9" s="67">
        <v>1.8340000000000001</v>
      </c>
      <c r="AG9">
        <f>AG6*0.92</f>
        <v>1.4203973749223985E-2</v>
      </c>
      <c r="AK9" t="s">
        <v>35</v>
      </c>
    </row>
    <row r="10" spans="1:62" ht="18" x14ac:dyDescent="0.35">
      <c r="A10" s="6"/>
      <c r="B10" s="6"/>
      <c r="C10" s="6"/>
      <c r="D10" s="6"/>
      <c r="F10" s="28" t="s">
        <v>26</v>
      </c>
      <c r="G10" s="28" t="s">
        <v>27</v>
      </c>
      <c r="H10" s="28" t="s">
        <v>28</v>
      </c>
      <c r="I10" s="28" t="s">
        <v>30</v>
      </c>
      <c r="J10" s="28" t="s">
        <v>29</v>
      </c>
      <c r="K10" s="28" t="s">
        <v>31</v>
      </c>
      <c r="L10" s="29"/>
      <c r="W10" s="62" t="s">
        <v>34</v>
      </c>
      <c r="X10" s="68">
        <v>1.901</v>
      </c>
      <c r="Y10" s="68">
        <v>0</v>
      </c>
      <c r="Z10" s="69">
        <v>0</v>
      </c>
      <c r="AA10" s="66">
        <v>4300</v>
      </c>
      <c r="AB10" s="67">
        <v>0.72399999999999998</v>
      </c>
      <c r="AK10" t="s">
        <v>37</v>
      </c>
      <c r="AM10">
        <f>AM6*100/AS10</f>
        <v>64.673499835818831</v>
      </c>
      <c r="AO10">
        <f>AO6*100/AS10</f>
        <v>35.326500164181176</v>
      </c>
      <c r="AQ10">
        <f t="shared" ref="AQ10:AQ11" si="0">SUM(AL10:AP10)</f>
        <v>100</v>
      </c>
      <c r="AS10">
        <f>AM6+AO6</f>
        <v>90.753399999999999</v>
      </c>
    </row>
    <row r="11" spans="1:62" ht="21.6" thickBot="1" x14ac:dyDescent="0.35">
      <c r="A11" s="1" t="s">
        <v>57</v>
      </c>
      <c r="E11" s="6"/>
      <c r="F11" s="5">
        <f>(100-G11-H11-I11-AL17-AL18-AM20)*AL11/AQ11+AM20</f>
        <v>60.799648392968621</v>
      </c>
      <c r="G11" s="5">
        <f>A9</f>
        <v>1</v>
      </c>
      <c r="H11" s="5">
        <f>B9</f>
        <v>5</v>
      </c>
      <c r="I11" s="5">
        <f>IF(A12&lt;13,(A12*0.24*((1-AG8)^2)),(A12*0.24*((1-AG9)^2)))</f>
        <v>3.4984576993385543</v>
      </c>
      <c r="J11" s="5">
        <f>(100-AL17-AL18-AM20-I11-H11-G11)*AO11/AQ11+AL17+AL18</f>
        <v>29.701893907692806</v>
      </c>
      <c r="K11" s="5">
        <f>SUM(F11:J11)</f>
        <v>99.999999999999986</v>
      </c>
      <c r="W11" s="62" t="s">
        <v>36</v>
      </c>
      <c r="X11" s="64">
        <v>-0.67300000000000004</v>
      </c>
      <c r="Y11" s="64">
        <v>0.69099999999999995</v>
      </c>
      <c r="Z11" s="65">
        <v>-1.0229999999999999</v>
      </c>
      <c r="AA11" s="66">
        <v>-990</v>
      </c>
      <c r="AB11" s="67">
        <v>1.915</v>
      </c>
      <c r="AF11" s="24" t="s">
        <v>26</v>
      </c>
      <c r="AG11" s="24" t="s">
        <v>30</v>
      </c>
      <c r="AH11" s="24" t="s">
        <v>29</v>
      </c>
      <c r="AI11" s="24" t="s">
        <v>31</v>
      </c>
      <c r="AK11" t="s">
        <v>39</v>
      </c>
      <c r="AL11">
        <f>AL6*100/AS11</f>
        <v>63.528809510266761</v>
      </c>
      <c r="AO11">
        <f>AO6*100/AS11</f>
        <v>36.471190489733232</v>
      </c>
      <c r="AQ11">
        <f t="shared" si="0"/>
        <v>100</v>
      </c>
      <c r="AS11">
        <f>AL6+AO6</f>
        <v>87.905000000000001</v>
      </c>
    </row>
    <row r="12" spans="1:62" ht="18" thickBot="1" x14ac:dyDescent="0.35">
      <c r="A12" s="34">
        <v>15</v>
      </c>
      <c r="W12" s="62" t="s">
        <v>38</v>
      </c>
      <c r="X12" s="64">
        <v>0</v>
      </c>
      <c r="Y12" s="64">
        <v>0.48</v>
      </c>
      <c r="Z12" s="65">
        <v>-1.06</v>
      </c>
      <c r="AA12" s="66">
        <v>1420</v>
      </c>
      <c r="AB12" s="67">
        <v>1.919</v>
      </c>
      <c r="AF12" s="23">
        <f>AL19*AL11/AO11</f>
        <v>56.281748241010426</v>
      </c>
      <c r="AG12" s="23">
        <f>0.24*A12</f>
        <v>3.5999999999999996</v>
      </c>
      <c r="AH12" s="23">
        <f>SUM(AL17+AL18+AL19)</f>
        <v>34.118251758989558</v>
      </c>
      <c r="AI12" s="23">
        <f>AF12+A9+B9+AG12+AH12</f>
        <v>99.999999999999986</v>
      </c>
      <c r="AK12" t="s">
        <v>43</v>
      </c>
      <c r="AN12">
        <f>AN6*100/AS12</f>
        <v>79.855735397607333</v>
      </c>
      <c r="AO12">
        <f>AO6*100*0.5/AS12</f>
        <v>20.144264602392681</v>
      </c>
      <c r="AQ12">
        <f>SUM(AL12:AP12)</f>
        <v>100.00000000000001</v>
      </c>
      <c r="AS12">
        <f>AN6+AO6*0.5</f>
        <v>79.575999999999993</v>
      </c>
    </row>
    <row r="13" spans="1:62" ht="21" x14ac:dyDescent="0.4">
      <c r="F13" s="31" t="s">
        <v>54</v>
      </c>
      <c r="G13" s="18"/>
      <c r="W13" s="62" t="s">
        <v>40</v>
      </c>
      <c r="X13" s="64">
        <v>0.99</v>
      </c>
      <c r="Y13" s="64">
        <v>0.95</v>
      </c>
      <c r="Z13" s="69">
        <v>0.98</v>
      </c>
      <c r="AA13" s="68">
        <v>0</v>
      </c>
      <c r="AB13" s="67">
        <v>1.6779999999999999</v>
      </c>
      <c r="AK13" t="s">
        <v>45</v>
      </c>
      <c r="AL13">
        <f>AL6*100/AS13</f>
        <v>77.729835061590933</v>
      </c>
      <c r="AP13">
        <f>AP6*100/AS13</f>
        <v>22.270164938409074</v>
      </c>
      <c r="AQ13">
        <f>SUM(AL13:AP13)</f>
        <v>100</v>
      </c>
      <c r="AS13">
        <f>AL6+AP6</f>
        <v>71.844999999999999</v>
      </c>
    </row>
    <row r="14" spans="1:62" ht="21.6" thickBot="1" x14ac:dyDescent="0.35">
      <c r="A14" s="32" t="s">
        <v>41</v>
      </c>
      <c r="F14" s="30" t="s">
        <v>27</v>
      </c>
      <c r="G14" s="30" t="s">
        <v>28</v>
      </c>
      <c r="W14" s="62" t="s">
        <v>42</v>
      </c>
      <c r="X14" s="64">
        <v>-1.9</v>
      </c>
      <c r="Y14" s="64">
        <v>0.76</v>
      </c>
      <c r="Z14" s="69">
        <v>-0.41</v>
      </c>
      <c r="AA14" s="66">
        <v>-1520</v>
      </c>
      <c r="AB14" s="67">
        <v>1.629</v>
      </c>
    </row>
    <row r="15" spans="1:62" ht="18" thickBot="1" x14ac:dyDescent="0.35">
      <c r="A15" s="9">
        <v>1500</v>
      </c>
      <c r="B15" s="7"/>
      <c r="C15" s="8"/>
      <c r="F15" s="58">
        <f>G11*10000/F7</f>
        <v>13.719677381358514</v>
      </c>
      <c r="G15" s="58">
        <f>H11*10000/G7</f>
        <v>93.788587412761757</v>
      </c>
      <c r="W15" s="62" t="s">
        <v>44</v>
      </c>
      <c r="X15" s="64">
        <v>-1.61</v>
      </c>
      <c r="Y15" s="64">
        <v>-0.54</v>
      </c>
      <c r="Z15" s="69">
        <v>-2.36</v>
      </c>
      <c r="AA15" s="68">
        <v>0</v>
      </c>
      <c r="AB15" s="67">
        <v>2.5019999999999998</v>
      </c>
    </row>
    <row r="16" spans="1:62" ht="17.399999999999999" x14ac:dyDescent="0.3">
      <c r="W16" s="62" t="s">
        <v>46</v>
      </c>
      <c r="X16" s="64">
        <v>-12.91</v>
      </c>
      <c r="Y16" s="64">
        <v>-2.2200000000000002</v>
      </c>
      <c r="Z16" s="69">
        <v>-2.04</v>
      </c>
      <c r="AA16" s="66">
        <v>-2740</v>
      </c>
      <c r="AB16" s="67">
        <v>1.0269999999999999</v>
      </c>
      <c r="AK16" s="11"/>
      <c r="AL16" s="11" t="s">
        <v>29</v>
      </c>
      <c r="AM16" s="11" t="s">
        <v>26</v>
      </c>
    </row>
    <row r="17" spans="1:39" ht="17.399999999999999" x14ac:dyDescent="0.3">
      <c r="B17" s="8"/>
      <c r="C17" s="8"/>
      <c r="O17" s="8"/>
      <c r="P17" s="8"/>
      <c r="W17" s="62" t="s">
        <v>47</v>
      </c>
      <c r="X17" s="64">
        <v>-5.09</v>
      </c>
      <c r="Y17" s="64">
        <v>0</v>
      </c>
      <c r="Z17" s="69">
        <v>-1.89</v>
      </c>
      <c r="AA17" s="66">
        <v>-5470</v>
      </c>
      <c r="AB17" s="67">
        <v>3.347</v>
      </c>
      <c r="AK17" s="12" t="s">
        <v>37</v>
      </c>
      <c r="AL17" s="13">
        <f>G11*AO10/AM10</f>
        <v>0.54622836639213257</v>
      </c>
      <c r="AM17" s="11"/>
    </row>
    <row r="18" spans="1:39" ht="17.399999999999999" x14ac:dyDescent="0.3">
      <c r="A18" s="8"/>
      <c r="B18" s="8"/>
      <c r="C18" s="8"/>
      <c r="O18" s="8"/>
      <c r="P18" s="8"/>
      <c r="Q18" s="43"/>
      <c r="W18" s="62" t="s">
        <v>48</v>
      </c>
      <c r="X18" s="64">
        <v>-1.52</v>
      </c>
      <c r="Y18" s="64">
        <v>-2.3199999999999998</v>
      </c>
      <c r="Z18" s="69">
        <v>-2.95</v>
      </c>
      <c r="AA18" s="66">
        <v>-2670</v>
      </c>
      <c r="AB18" s="67">
        <v>4.3029999999999999</v>
      </c>
      <c r="AK18" s="12" t="s">
        <v>43</v>
      </c>
      <c r="AL18" s="13">
        <f>H11*AO12/AN12</f>
        <v>1.2612910332672393</v>
      </c>
      <c r="AM18" s="11"/>
    </row>
    <row r="19" spans="1:39" ht="17.399999999999999" x14ac:dyDescent="0.3">
      <c r="B19" s="10"/>
      <c r="C19" s="10"/>
      <c r="D19" s="10"/>
      <c r="E19" s="10"/>
      <c r="F19" s="10"/>
      <c r="G19" s="8"/>
      <c r="I19" s="8"/>
      <c r="J19" s="8"/>
      <c r="K19" s="10"/>
      <c r="L19" s="10"/>
      <c r="M19" s="10"/>
      <c r="O19" s="8"/>
      <c r="P19" s="8"/>
      <c r="W19" s="62" t="s">
        <v>49</v>
      </c>
      <c r="X19" s="64">
        <v>0.6</v>
      </c>
      <c r="Y19" s="64">
        <v>-0.28000000000000003</v>
      </c>
      <c r="Z19" s="69">
        <v>0</v>
      </c>
      <c r="AA19" s="66">
        <v>1280</v>
      </c>
      <c r="AB19" s="67">
        <v>1.964</v>
      </c>
      <c r="AK19" s="14" t="s">
        <v>39</v>
      </c>
      <c r="AL19" s="13">
        <f>((100-A9-B9-AG12-B9*AO12/AN12-A9*AO10/AM10))*AO11/AQ11</f>
        <v>32.310732359330189</v>
      </c>
      <c r="AM19" s="13">
        <f>((100-A9-B9-AG12-B9*AO12/AN12-A9*AO10/AM10))*AL11/AQ11</f>
        <v>56.281748241010433</v>
      </c>
    </row>
    <row r="20" spans="1:39" ht="17.399999999999999" x14ac:dyDescent="0.3">
      <c r="B20" s="8"/>
      <c r="C20" s="8"/>
      <c r="D20" s="8"/>
      <c r="E20" s="8"/>
      <c r="F20" s="8"/>
      <c r="G20" s="8"/>
      <c r="I20" s="8"/>
      <c r="J20" s="8"/>
      <c r="K20" s="8"/>
      <c r="L20" s="8"/>
      <c r="M20" s="8"/>
      <c r="O20" s="8"/>
      <c r="P20" s="8"/>
      <c r="W20" s="62" t="s">
        <v>50</v>
      </c>
      <c r="X20" s="64">
        <v>-5.34</v>
      </c>
      <c r="Y20" s="64">
        <v>0</v>
      </c>
      <c r="Z20" s="69">
        <v>0</v>
      </c>
      <c r="AA20" s="66">
        <v>-2840</v>
      </c>
      <c r="AB20" s="67">
        <v>2.524</v>
      </c>
      <c r="AK20" s="14" t="s">
        <v>45</v>
      </c>
      <c r="AL20" s="11"/>
      <c r="AM20" s="13">
        <f>I11*AL13/AP13</f>
        <v>12.210710638722599</v>
      </c>
    </row>
    <row r="21" spans="1:39" ht="17.399999999999999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O21" s="8"/>
      <c r="P21" s="8"/>
      <c r="W21" s="41" t="s">
        <v>51</v>
      </c>
      <c r="X21" s="44">
        <v>-4.9400000000000004</v>
      </c>
      <c r="Y21" s="44">
        <v>-1.65</v>
      </c>
      <c r="Z21" s="47">
        <v>-4.07</v>
      </c>
      <c r="AA21" s="45">
        <v>-5000</v>
      </c>
      <c r="AB21" s="46">
        <v>4.6349999999999998</v>
      </c>
      <c r="AK21" s="12" t="s">
        <v>53</v>
      </c>
      <c r="AL21" s="13">
        <f>(100-G11-H11-I11-AL17-AL18-AM20)*AO11/AQ11</f>
        <v>27.894374508033437</v>
      </c>
      <c r="AM21" s="17">
        <f>(100-AL17-AL18-AM20-I11-H11-G11)*AL11/AQ11</f>
        <v>48.588937754246025</v>
      </c>
    </row>
    <row r="22" spans="1:39" ht="18" thickBot="1" x14ac:dyDescent="0.35">
      <c r="N22" s="10"/>
      <c r="O22" s="8"/>
      <c r="P22" s="8"/>
      <c r="W22" s="42" t="s">
        <v>52</v>
      </c>
      <c r="X22" s="48">
        <v>-0.76</v>
      </c>
      <c r="Y22" s="48">
        <v>0.44</v>
      </c>
      <c r="Z22" s="49">
        <v>0</v>
      </c>
      <c r="AA22" s="50">
        <v>-1810</v>
      </c>
      <c r="AB22" s="51">
        <v>2.3559999999999999</v>
      </c>
    </row>
    <row r="23" spans="1:39" x14ac:dyDescent="0.3">
      <c r="A23" s="8"/>
      <c r="B23" s="8"/>
      <c r="C23" s="8"/>
      <c r="D23" s="8"/>
      <c r="N23" s="8"/>
      <c r="O23" s="8"/>
      <c r="P23" s="8"/>
    </row>
    <row r="24" spans="1:39" ht="18" customHeight="1" x14ac:dyDescent="0.3">
      <c r="A24" s="53" t="s">
        <v>59</v>
      </c>
      <c r="B24" s="54"/>
      <c r="C24" s="55"/>
      <c r="D24" s="8"/>
      <c r="N24" s="8"/>
      <c r="O24" s="8"/>
      <c r="P24" s="8"/>
    </row>
    <row r="25" spans="1:39" ht="18" customHeight="1" x14ac:dyDescent="0.3">
      <c r="A25" s="59" t="s">
        <v>62</v>
      </c>
      <c r="B25" s="60"/>
      <c r="C25" s="60"/>
      <c r="D25" s="60"/>
      <c r="E25" s="60"/>
      <c r="F25" s="61"/>
      <c r="G25" s="60"/>
      <c r="H25" s="60"/>
      <c r="I25" s="60"/>
      <c r="J25" s="60"/>
      <c r="K25" s="61"/>
      <c r="N25" s="8"/>
      <c r="O25" s="8"/>
      <c r="P25" s="8"/>
    </row>
    <row r="26" spans="1:39" ht="18" customHeight="1" x14ac:dyDescent="0.3">
      <c r="A26" s="52" t="s">
        <v>60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7"/>
      <c r="O26" s="8"/>
      <c r="P26" s="8"/>
    </row>
    <row r="27" spans="1:39" x14ac:dyDescent="0.3">
      <c r="O27" s="8"/>
      <c r="P27" s="8"/>
    </row>
    <row r="28" spans="1:39" x14ac:dyDescent="0.3">
      <c r="N28" s="8"/>
      <c r="O28" s="8"/>
      <c r="P28" s="8"/>
    </row>
    <row r="29" spans="1:39" x14ac:dyDescent="0.3">
      <c r="D29" s="15"/>
      <c r="E29" s="15"/>
      <c r="F29" s="15"/>
      <c r="G29" s="15"/>
      <c r="H29" s="15"/>
      <c r="I29" s="15"/>
      <c r="J29" s="15"/>
      <c r="K29" s="15"/>
      <c r="L29" s="8"/>
      <c r="M29" s="8"/>
      <c r="N29" s="8"/>
      <c r="O29" s="8"/>
      <c r="P29" s="8"/>
    </row>
    <row r="30" spans="1:39" x14ac:dyDescent="0.3">
      <c r="D30" s="8"/>
      <c r="E30" s="15"/>
      <c r="F30" s="15"/>
      <c r="G30" s="15"/>
      <c r="H30" s="16"/>
      <c r="I30" s="15"/>
      <c r="J30" s="15"/>
      <c r="K30" s="15"/>
      <c r="L30" s="8"/>
      <c r="M30" s="8"/>
      <c r="N30" s="8"/>
      <c r="O30" s="8"/>
      <c r="P30" s="8"/>
    </row>
    <row r="31" spans="1:39" x14ac:dyDescent="0.3">
      <c r="D31" s="8"/>
      <c r="E31" s="16"/>
      <c r="F31" s="15"/>
      <c r="G31" s="15"/>
      <c r="H31" s="15"/>
      <c r="I31" s="15"/>
      <c r="J31" s="15"/>
      <c r="K31" s="15"/>
      <c r="L31" s="8"/>
      <c r="M31" s="8"/>
      <c r="N31" s="8"/>
      <c r="O31" s="8"/>
      <c r="P31" s="8"/>
    </row>
    <row r="32" spans="1:39" x14ac:dyDescent="0.3">
      <c r="F32" s="15"/>
      <c r="G32" s="15"/>
      <c r="H32" s="15"/>
      <c r="I32" s="15"/>
      <c r="J32" s="15"/>
      <c r="K32" s="15"/>
      <c r="L32" s="8"/>
      <c r="M32" s="8"/>
      <c r="N32" s="8"/>
      <c r="O32" s="8"/>
      <c r="P32" s="8"/>
    </row>
    <row r="33" spans="1:16" x14ac:dyDescent="0.3">
      <c r="F33" s="15"/>
      <c r="G33" s="15"/>
      <c r="H33" s="15"/>
      <c r="I33" s="15"/>
      <c r="J33" s="15"/>
      <c r="K33" s="15"/>
      <c r="L33" s="8"/>
      <c r="M33" s="8"/>
      <c r="N33" s="8"/>
      <c r="O33" s="8"/>
      <c r="P33" s="8"/>
    </row>
    <row r="34" spans="1:16" x14ac:dyDescent="0.3">
      <c r="F34" s="15"/>
      <c r="G34" s="15"/>
      <c r="H34" s="15"/>
      <c r="I34" s="15"/>
      <c r="J34" s="15"/>
      <c r="K34" s="15"/>
      <c r="L34" s="8"/>
      <c r="M34" s="8"/>
      <c r="N34" s="8"/>
      <c r="O34" s="8"/>
      <c r="P34" s="8"/>
    </row>
    <row r="35" spans="1:16" x14ac:dyDescent="0.3">
      <c r="F35" s="15"/>
      <c r="G35" s="15"/>
      <c r="H35" s="15"/>
      <c r="I35" s="15"/>
      <c r="J35" s="15"/>
      <c r="K35" s="15"/>
      <c r="L35" s="8"/>
      <c r="M35" s="8"/>
      <c r="N35" s="8"/>
      <c r="O35" s="8"/>
      <c r="P35" s="8"/>
    </row>
    <row r="36" spans="1:16" x14ac:dyDescent="0.3">
      <c r="F36" s="15"/>
      <c r="G36" s="16"/>
      <c r="H36" s="16"/>
      <c r="I36" s="16"/>
      <c r="J36" s="15"/>
      <c r="K36" s="15"/>
      <c r="L36" s="8"/>
      <c r="M36" s="8"/>
      <c r="N36" s="8"/>
      <c r="O36" s="8"/>
      <c r="P36" s="8"/>
    </row>
    <row r="37" spans="1:16" x14ac:dyDescent="0.3">
      <c r="F37" s="15"/>
      <c r="G37" s="15"/>
      <c r="I37" s="15"/>
      <c r="J37" s="15"/>
      <c r="K37" s="15"/>
      <c r="L37" s="8"/>
      <c r="M37" s="8"/>
      <c r="N37" s="8"/>
      <c r="O37" s="8"/>
      <c r="P37" s="8"/>
    </row>
    <row r="38" spans="1:16" x14ac:dyDescent="0.3">
      <c r="A38" s="8"/>
      <c r="B38" s="15"/>
      <c r="C38" s="15"/>
      <c r="D38" s="15"/>
      <c r="E38" s="15"/>
      <c r="F38" s="15"/>
      <c r="G38" s="15"/>
      <c r="H38" s="16"/>
      <c r="I38" s="16"/>
      <c r="J38" s="15"/>
      <c r="K38" s="15"/>
      <c r="L38" s="8"/>
      <c r="M38" s="8"/>
      <c r="N38" s="8"/>
      <c r="O38" s="8"/>
      <c r="P38" s="8"/>
    </row>
    <row r="39" spans="1:16" x14ac:dyDescent="0.3">
      <c r="A39" s="8"/>
      <c r="B39" s="15"/>
      <c r="C39" s="16"/>
      <c r="D39" s="15"/>
      <c r="E39" s="15"/>
      <c r="F39" s="15"/>
      <c r="G39" s="15"/>
      <c r="H39" s="15"/>
      <c r="I39" s="15"/>
      <c r="J39" s="15"/>
      <c r="K39" s="15"/>
      <c r="L39" s="8"/>
      <c r="M39" s="8"/>
      <c r="N39" s="8"/>
      <c r="O39" s="8"/>
      <c r="P39" s="8"/>
    </row>
    <row r="40" spans="1:16" x14ac:dyDescent="0.3">
      <c r="A40" s="8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8"/>
      <c r="M40" s="8"/>
      <c r="N40" s="8"/>
      <c r="O40" s="8"/>
      <c r="P40" s="8"/>
    </row>
    <row r="41" spans="1:16" x14ac:dyDescent="0.3">
      <c r="A41" s="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8"/>
      <c r="M41" s="8"/>
      <c r="N41" s="8"/>
      <c r="O41" s="8"/>
      <c r="P41" s="8"/>
    </row>
    <row r="42" spans="1:16" x14ac:dyDescent="0.3">
      <c r="A42" s="8"/>
      <c r="B42" s="15"/>
      <c r="C42" s="15"/>
      <c r="D42" s="15"/>
      <c r="E42" s="15"/>
      <c r="F42" s="15"/>
      <c r="G42" s="15"/>
      <c r="H42" s="15"/>
      <c r="J42" s="15"/>
      <c r="K42" s="15"/>
      <c r="L42" s="8"/>
      <c r="M42" s="8"/>
      <c r="N42" s="8"/>
      <c r="O42" s="8"/>
      <c r="P42" s="8"/>
    </row>
    <row r="43" spans="1:16" x14ac:dyDescent="0.3">
      <c r="A43" s="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8"/>
      <c r="M43" s="8"/>
      <c r="N43" s="8"/>
      <c r="O43" s="8"/>
      <c r="P43" s="8"/>
    </row>
    <row r="44" spans="1:16" x14ac:dyDescent="0.3">
      <c r="A44" s="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8"/>
      <c r="M44" s="8"/>
      <c r="N44" s="8"/>
      <c r="O44" s="8"/>
      <c r="P44" s="8"/>
    </row>
    <row r="45" spans="1:16" x14ac:dyDescent="0.3">
      <c r="A45" s="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8"/>
      <c r="M45" s="8"/>
      <c r="N45" s="8"/>
      <c r="O45" s="8"/>
      <c r="P45" s="8"/>
    </row>
    <row r="46" spans="1:16" x14ac:dyDescent="0.3">
      <c r="A46" s="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8"/>
      <c r="M46" s="8"/>
      <c r="N46" s="8"/>
      <c r="O46" s="8"/>
      <c r="P46" s="8"/>
    </row>
    <row r="47" spans="1:16" x14ac:dyDescent="0.3">
      <c r="A47" s="8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8"/>
      <c r="M47" s="8"/>
      <c r="N47" s="8"/>
      <c r="O47" s="8"/>
      <c r="P47" s="8"/>
    </row>
    <row r="48" spans="1:16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0</xdr:col>
                <xdr:colOff>190500</xdr:colOff>
                <xdr:row>17</xdr:row>
                <xdr:rowOff>60960</xdr:rowOff>
              </from>
              <to>
                <xdr:col>13</xdr:col>
                <xdr:colOff>434340</xdr:colOff>
                <xdr:row>20</xdr:row>
                <xdr:rowOff>91440</xdr:rowOff>
              </to>
            </anchor>
          </objectPr>
        </oleObject>
      </mc:Choice>
      <mc:Fallback>
        <oleObject progId="Equation.3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E12-2B2E-40C0-8F9C-B4CDFA36A8EE}">
  <dimension ref="A1:Z7"/>
  <sheetViews>
    <sheetView tabSelected="1" workbookViewId="0">
      <selection activeCell="F7" sqref="F7"/>
    </sheetView>
  </sheetViews>
  <sheetFormatPr defaultRowHeight="15.6" x14ac:dyDescent="0.3"/>
  <sheetData>
    <row r="1" spans="1:26" x14ac:dyDescent="0.3">
      <c r="A1" t="s">
        <v>64</v>
      </c>
      <c r="B1" t="s">
        <v>63</v>
      </c>
      <c r="C1" t="s">
        <v>65</v>
      </c>
      <c r="D1" t="s">
        <v>66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68</v>
      </c>
      <c r="X1" t="s">
        <v>69</v>
      </c>
      <c r="Y1" t="s">
        <v>70</v>
      </c>
    </row>
    <row r="2" spans="1:26" ht="16.2" thickBot="1" x14ac:dyDescent="0.35">
      <c r="A2">
        <v>25.8</v>
      </c>
      <c r="B2">
        <v>9.4</v>
      </c>
      <c r="C2">
        <v>8</v>
      </c>
      <c r="D2">
        <v>1473</v>
      </c>
      <c r="E2">
        <v>1287.5701487144067</v>
      </c>
      <c r="F2">
        <v>941.2686913822705</v>
      </c>
      <c r="G2">
        <v>1002.8767415645017</v>
      </c>
      <c r="H2">
        <v>29.231595463442787</v>
      </c>
      <c r="I2">
        <v>0.8800073878665885</v>
      </c>
      <c r="J2">
        <v>42.204348383003804</v>
      </c>
      <c r="K2">
        <v>5.73931055270769</v>
      </c>
      <c r="L2">
        <v>0.18303584334182715</v>
      </c>
      <c r="M2">
        <v>9.9502754837859904</v>
      </c>
      <c r="N2">
        <v>4.3455350526372559E-3</v>
      </c>
      <c r="O2">
        <v>1.0743237736121807E-2</v>
      </c>
      <c r="P2">
        <v>28.166553591697042</v>
      </c>
      <c r="Q2">
        <v>47.166978043728626</v>
      </c>
      <c r="R2">
        <v>7.4001592759177642E-2</v>
      </c>
      <c r="S2">
        <v>0.37184574651112917</v>
      </c>
      <c r="T2">
        <v>0.66150106144083176</v>
      </c>
    </row>
    <row r="3" spans="1:26" ht="18" thickBot="1" x14ac:dyDescent="0.35">
      <c r="A3">
        <v>12</v>
      </c>
      <c r="B3">
        <v>10</v>
      </c>
      <c r="C3" s="34">
        <v>11</v>
      </c>
      <c r="D3">
        <v>1100</v>
      </c>
      <c r="E3">
        <v>6044.9870796980131</v>
      </c>
      <c r="F3">
        <v>7618.3223263763521</v>
      </c>
      <c r="G3">
        <v>8256.8983468697443</v>
      </c>
      <c r="H3">
        <v>56.145335192413953</v>
      </c>
      <c r="I3">
        <v>0.72939800464070759</v>
      </c>
      <c r="J3">
        <v>111.58138530616449</v>
      </c>
      <c r="K3">
        <v>6.3391296963279098</v>
      </c>
      <c r="L3">
        <v>0.12643059666772952</v>
      </c>
      <c r="M3">
        <v>12.302432728745032</v>
      </c>
      <c r="N3">
        <v>2.4498214909305818E-3</v>
      </c>
      <c r="O3">
        <v>1.1452615003903408E-3</v>
      </c>
      <c r="P3">
        <v>5.5128755945253882</v>
      </c>
      <c r="Q3">
        <v>84.007099722505188</v>
      </c>
      <c r="R3">
        <v>2.8905254131085988E-2</v>
      </c>
      <c r="S3">
        <v>3.8242055218629729E-2</v>
      </c>
      <c r="T3">
        <v>0.3146164755082741</v>
      </c>
      <c r="U3">
        <v>44.923985029205198</v>
      </c>
      <c r="V3">
        <v>12</v>
      </c>
      <c r="W3">
        <v>10</v>
      </c>
      <c r="X3">
        <v>1.7849792966040865</v>
      </c>
      <c r="Y3">
        <v>31.291035674190692</v>
      </c>
    </row>
    <row r="4" spans="1:26" ht="18" thickBot="1" x14ac:dyDescent="0.35">
      <c r="A4" s="26">
        <v>1</v>
      </c>
      <c r="B4" s="26">
        <v>5</v>
      </c>
      <c r="C4" s="34">
        <v>11</v>
      </c>
      <c r="D4">
        <v>1100</v>
      </c>
      <c r="E4">
        <v>6300.7644638041811</v>
      </c>
      <c r="F4">
        <v>6769.2814022936527</v>
      </c>
      <c r="G4">
        <v>8422.8833185380008</v>
      </c>
      <c r="H4">
        <v>72.591310792928923</v>
      </c>
      <c r="I4">
        <v>1.0877134558508141</v>
      </c>
      <c r="J4">
        <v>149.80209649885839</v>
      </c>
      <c r="K4">
        <v>9.9313685813095489</v>
      </c>
      <c r="L4">
        <v>0.22318648864365373</v>
      </c>
      <c r="M4">
        <v>13.821243183606409</v>
      </c>
      <c r="N4">
        <v>4.3491326106350455E-3</v>
      </c>
      <c r="O4">
        <v>1.9699309390508739E-3</v>
      </c>
      <c r="P4">
        <v>3.5524784772922224</v>
      </c>
      <c r="Q4">
        <v>99.731562612062987</v>
      </c>
      <c r="R4">
        <v>6.2790080712019275E-2</v>
      </c>
      <c r="S4">
        <v>3.74207917852796E-2</v>
      </c>
      <c r="T4">
        <v>0.49580081448005192</v>
      </c>
      <c r="U4">
        <v>60.202677153731656</v>
      </c>
      <c r="V4">
        <v>1</v>
      </c>
      <c r="W4">
        <v>5</v>
      </c>
      <c r="X4">
        <v>2.5622824975374243</v>
      </c>
      <c r="Y4">
        <v>31.235040348730919</v>
      </c>
      <c r="Z4">
        <v>100</v>
      </c>
    </row>
    <row r="5" spans="1:26" ht="18" thickBot="1" x14ac:dyDescent="0.35">
      <c r="A5" s="26">
        <v>1</v>
      </c>
      <c r="B5" s="26">
        <v>5</v>
      </c>
      <c r="C5" s="34">
        <v>6</v>
      </c>
      <c r="D5">
        <v>1100</v>
      </c>
      <c r="E5">
        <v>11542.329892142918</v>
      </c>
      <c r="F5">
        <v>11335.999186979137</v>
      </c>
      <c r="G5">
        <v>13683.944915064934</v>
      </c>
      <c r="H5">
        <v>138.8784333268068</v>
      </c>
      <c r="I5">
        <v>1.8693957644620407</v>
      </c>
      <c r="J5">
        <v>274.68844198189072</v>
      </c>
      <c r="K5">
        <v>14.760264646488265</v>
      </c>
      <c r="L5">
        <v>0.34064076067125754</v>
      </c>
      <c r="M5">
        <v>29.436494365667794</v>
      </c>
      <c r="N5">
        <v>4.2313059851292589E-3</v>
      </c>
      <c r="O5">
        <v>3.0006364689390014E-3</v>
      </c>
      <c r="P5">
        <v>7.6409342227599319</v>
      </c>
      <c r="Q5">
        <v>193.51216683801692</v>
      </c>
      <c r="R5">
        <v>9.3151550720898715E-2</v>
      </c>
      <c r="S5">
        <v>7.8506550839821707E-2</v>
      </c>
      <c r="T5">
        <v>0.84398369376265825</v>
      </c>
      <c r="U5">
        <v>59.460323768406106</v>
      </c>
      <c r="V5">
        <v>1</v>
      </c>
      <c r="W5">
        <v>5</v>
      </c>
      <c r="X5">
        <v>1.3981178198501396</v>
      </c>
      <c r="Y5">
        <v>33.141558411743745</v>
      </c>
      <c r="Z5">
        <v>100</v>
      </c>
    </row>
    <row r="6" spans="1:26" ht="18" thickBot="1" x14ac:dyDescent="0.35">
      <c r="A6" s="26">
        <v>1</v>
      </c>
      <c r="B6" s="26">
        <v>5</v>
      </c>
      <c r="C6" s="34">
        <v>15</v>
      </c>
      <c r="D6">
        <v>1100</v>
      </c>
      <c r="E6">
        <v>4623.4183055560397</v>
      </c>
      <c r="F6">
        <v>4836.3317485650596</v>
      </c>
      <c r="G6">
        <v>6174.8245413436798</v>
      </c>
      <c r="H6">
        <v>51.330451381025945</v>
      </c>
      <c r="I6">
        <v>0.84283004744622614</v>
      </c>
      <c r="J6">
        <v>109.83872006985629</v>
      </c>
      <c r="K6">
        <v>7.8541736120651198</v>
      </c>
      <c r="L6">
        <v>0.19135226674543077</v>
      </c>
      <c r="M6">
        <v>9.8916014567525661</v>
      </c>
      <c r="N6">
        <v>6.7317576580790944E-3</v>
      </c>
      <c r="O6">
        <v>1.8762042319523441E-3</v>
      </c>
      <c r="P6">
        <v>2.5213825092338915</v>
      </c>
      <c r="Q6">
        <v>69.679017652330202</v>
      </c>
      <c r="R6">
        <v>6.1154370120577589E-2</v>
      </c>
      <c r="S6">
        <v>3.008496902324298E-2</v>
      </c>
      <c r="T6">
        <v>0.38729801803568681</v>
      </c>
      <c r="U6">
        <v>60.799648392968621</v>
      </c>
      <c r="V6">
        <v>1</v>
      </c>
      <c r="W6">
        <v>5</v>
      </c>
      <c r="X6">
        <v>3.4984576993385543</v>
      </c>
      <c r="Y6">
        <v>29.701893907692806</v>
      </c>
      <c r="Z6">
        <v>99.999999999999986</v>
      </c>
    </row>
    <row r="7" spans="1:26" ht="18" thickBot="1" x14ac:dyDescent="0.35">
      <c r="B7" s="26">
        <v>5</v>
      </c>
      <c r="C7" s="34">
        <v>15</v>
      </c>
      <c r="D7">
        <v>1500</v>
      </c>
      <c r="E7">
        <v>728.88011299649133</v>
      </c>
      <c r="F7">
        <v>533.1139041464711</v>
      </c>
      <c r="G7">
        <v>647.39042319406303</v>
      </c>
      <c r="H7">
        <v>26.300145878152811</v>
      </c>
      <c r="I7">
        <v>1.357768629646807</v>
      </c>
      <c r="J7">
        <v>48.406509711685104</v>
      </c>
      <c r="K7">
        <v>8.7535035562903332</v>
      </c>
      <c r="L7">
        <v>0.384026397138366</v>
      </c>
      <c r="M7">
        <v>8.1655759943359563</v>
      </c>
      <c r="N7">
        <v>1.0824148441455661E-2</v>
      </c>
      <c r="O7">
        <v>2.5577812102685914E-2</v>
      </c>
      <c r="P7">
        <v>9.0557908588707576</v>
      </c>
      <c r="Q7">
        <v>35.641658970603586</v>
      </c>
      <c r="R7">
        <v>0.19862693565590703</v>
      </c>
      <c r="S7">
        <v>0.29741021180576421</v>
      </c>
      <c r="T7">
        <v>1.0064285873027785</v>
      </c>
      <c r="U7">
        <v>60.799648392968621</v>
      </c>
      <c r="V7">
        <v>1</v>
      </c>
      <c r="W7">
        <v>5</v>
      </c>
      <c r="X7">
        <v>3.4984576993385543</v>
      </c>
      <c r="Y7">
        <v>29.701893907692806</v>
      </c>
      <c r="Z7">
        <v>99.999999999999986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D's </vt:lpstr>
      <vt:lpstr>PySCSS_testing</vt:lpstr>
    </vt:vector>
  </TitlesOfParts>
  <Company>Department of Earth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Kiseeva</dc:creator>
  <cp:lastModifiedBy>penny wieser</cp:lastModifiedBy>
  <dcterms:created xsi:type="dcterms:W3CDTF">2014-10-16T14:52:52Z</dcterms:created>
  <dcterms:modified xsi:type="dcterms:W3CDTF">2021-12-08T08:05:01Z</dcterms:modified>
</cp:coreProperties>
</file>