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ate1904="1" showInkAnnotation="0" autoCompressPictures="0"/>
  <mc:AlternateContent xmlns:mc="http://schemas.openxmlformats.org/markup-compatibility/2006">
    <mc:Choice Requires="x15">
      <x15ac:absPath xmlns:x15ac="http://schemas.microsoft.com/office/spreadsheetml/2010/11/ac" url="G:\My Drive\Postdoc\PyMME\MyBarometers\Thermobar_outer\Benchmarking\clinopyroxene\Final_Versions\"/>
    </mc:Choice>
  </mc:AlternateContent>
  <xr:revisionPtr revIDLastSave="0" documentId="13_ncr:1_{29ECABC7-C566-420B-8C70-AF956AB25656}" xr6:coauthVersionLast="47" xr6:coauthVersionMax="47" xr10:uidLastSave="{00000000-0000-0000-0000-000000000000}"/>
  <bookViews>
    <workbookView xWindow="-110" yWindow="-110" windowWidth="19420" windowHeight="10300" tabRatio="828" activeTab="1" xr2:uid="{00000000-000D-0000-FFFF-FFFF00000000}"/>
  </bookViews>
  <sheets>
    <sheet name="Instructions" sheetId="5" r:id="rId1"/>
    <sheet name="Cpx Input &amp; Models" sheetId="1" r:id="rId2"/>
    <sheet name="Thermobar_input" sheetId="15" r:id="rId3"/>
    <sheet name="P v T plot" sheetId="10" r:id="rId4"/>
    <sheet name="Test for Equilibrium" sheetId="4" r:id="rId5"/>
    <sheet name="En-Di-Fs diag" sheetId="14" r:id="rId6"/>
    <sheet name="Rhodes Diag" sheetId="13" r:id="rId7"/>
    <sheet name="Rhodes Diag Calcs" sheetId="1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Y18" i="1" l="1"/>
  <c r="IZ18" i="1"/>
  <c r="IY19" i="1"/>
  <c r="IZ19" i="1"/>
  <c r="IE15" i="1" l="1"/>
  <c r="IR4" i="1" l="1"/>
  <c r="IS4" i="1"/>
  <c r="IR5" i="1"/>
  <c r="IS9" i="1"/>
  <c r="IR9" i="1"/>
  <c r="IS8" i="1"/>
  <c r="IR8" i="1"/>
  <c r="IZ17" i="1"/>
  <c r="IY17" i="1"/>
  <c r="IZ16" i="1"/>
  <c r="IY16" i="1"/>
  <c r="IZ15" i="1"/>
  <c r="IY15" i="1"/>
  <c r="IV14" i="1"/>
  <c r="IU14" i="1"/>
  <c r="IW14" i="1"/>
  <c r="IS11" i="1"/>
  <c r="IR11" i="1"/>
  <c r="IS10" i="1"/>
  <c r="IR10" i="1"/>
  <c r="IS7" i="1"/>
  <c r="IR7" i="1"/>
  <c r="IP6" i="1"/>
  <c r="IS6" i="1" s="1"/>
  <c r="DS16" i="1"/>
  <c r="FU16" i="1" s="1"/>
  <c r="DQ16" i="1"/>
  <c r="EC16" i="1" s="1"/>
  <c r="DS17" i="1"/>
  <c r="DQ17" i="1"/>
  <c r="DS18" i="1"/>
  <c r="EE18" i="1" s="1"/>
  <c r="DQ18" i="1"/>
  <c r="DS19" i="1"/>
  <c r="FU19" i="1" s="1"/>
  <c r="DQ19" i="1"/>
  <c r="EC19" i="1" s="1"/>
  <c r="DS15" i="1"/>
  <c r="EE15" i="1" s="1"/>
  <c r="DQ15" i="1"/>
  <c r="CS16" i="1"/>
  <c r="CN16" i="1"/>
  <c r="CO16" i="1"/>
  <c r="CP16" i="1"/>
  <c r="CQ16" i="1"/>
  <c r="CR16" i="1"/>
  <c r="CT16" i="1"/>
  <c r="CU16" i="1"/>
  <c r="CV16" i="1"/>
  <c r="CW10" i="1"/>
  <c r="CW16" i="1"/>
  <c r="CX10" i="1"/>
  <c r="CX16" i="1" s="1"/>
  <c r="CS17" i="1"/>
  <c r="CN17" i="1"/>
  <c r="CO17" i="1"/>
  <c r="CP17" i="1"/>
  <c r="CQ17" i="1"/>
  <c r="CR17" i="1"/>
  <c r="CT17" i="1"/>
  <c r="CU17" i="1"/>
  <c r="CV17" i="1"/>
  <c r="CW17" i="1"/>
  <c r="CS18" i="1"/>
  <c r="CN18" i="1"/>
  <c r="CO18" i="1"/>
  <c r="CP18" i="1"/>
  <c r="CQ18" i="1"/>
  <c r="CR18" i="1"/>
  <c r="CT18" i="1"/>
  <c r="CU18" i="1"/>
  <c r="CV18" i="1"/>
  <c r="CW18" i="1"/>
  <c r="CS19" i="1"/>
  <c r="CN19" i="1"/>
  <c r="CO19" i="1"/>
  <c r="CP19" i="1"/>
  <c r="CQ19" i="1"/>
  <c r="CR19" i="1"/>
  <c r="CT19" i="1"/>
  <c r="CU19" i="1"/>
  <c r="CV19" i="1"/>
  <c r="CW19" i="1"/>
  <c r="CS15" i="1"/>
  <c r="CN15" i="1"/>
  <c r="CO15" i="1"/>
  <c r="CP15" i="1"/>
  <c r="CQ15" i="1"/>
  <c r="CR15" i="1"/>
  <c r="CT15" i="1"/>
  <c r="CU15" i="1"/>
  <c r="CV15" i="1"/>
  <c r="CW15" i="1"/>
  <c r="CX15" i="1"/>
  <c r="K41" i="11"/>
  <c r="N41" i="11" s="1"/>
  <c r="L6" i="11"/>
  <c r="F41" i="11"/>
  <c r="I41" i="11" s="1"/>
  <c r="G6" i="11"/>
  <c r="G19" i="11" s="1"/>
  <c r="H19" i="11" s="1"/>
  <c r="D41" i="11"/>
  <c r="B41" i="11"/>
  <c r="C41" i="11" s="1"/>
  <c r="K40" i="11"/>
  <c r="N40" i="11" s="1"/>
  <c r="F40" i="11"/>
  <c r="I40" i="11"/>
  <c r="D40" i="11"/>
  <c r="B40" i="11"/>
  <c r="C40" i="11"/>
  <c r="K39" i="11"/>
  <c r="N39" i="11" s="1"/>
  <c r="F39" i="11"/>
  <c r="I39" i="11" s="1"/>
  <c r="D39" i="11"/>
  <c r="B39" i="11"/>
  <c r="C39" i="11"/>
  <c r="K38" i="11"/>
  <c r="N38" i="11" s="1"/>
  <c r="F38" i="11"/>
  <c r="I38" i="11" s="1"/>
  <c r="D38" i="11"/>
  <c r="B38" i="11"/>
  <c r="C38" i="11" s="1"/>
  <c r="K37" i="11"/>
  <c r="N37" i="11" s="1"/>
  <c r="L37" i="11"/>
  <c r="M37" i="11" s="1"/>
  <c r="F37" i="11"/>
  <c r="I37" i="11" s="1"/>
  <c r="D37" i="11"/>
  <c r="B37" i="11"/>
  <c r="C37" i="11" s="1"/>
  <c r="K36" i="11"/>
  <c r="N36" i="11" s="1"/>
  <c r="F36" i="11"/>
  <c r="I36" i="11"/>
  <c r="D36" i="11"/>
  <c r="B36" i="11"/>
  <c r="C36" i="11" s="1"/>
  <c r="K35" i="11"/>
  <c r="N35" i="11" s="1"/>
  <c r="F35" i="11"/>
  <c r="I35" i="11" s="1"/>
  <c r="D35" i="11"/>
  <c r="B35" i="11"/>
  <c r="C35" i="11"/>
  <c r="K34" i="11"/>
  <c r="N34" i="11"/>
  <c r="F34" i="11"/>
  <c r="I34" i="11" s="1"/>
  <c r="D34" i="11"/>
  <c r="B34" i="11"/>
  <c r="C34" i="11" s="1"/>
  <c r="K33" i="11"/>
  <c r="N33" i="11" s="1"/>
  <c r="L33" i="11"/>
  <c r="M33" i="11" s="1"/>
  <c r="F33" i="11"/>
  <c r="I33" i="11" s="1"/>
  <c r="G33" i="11"/>
  <c r="H33" i="11" s="1"/>
  <c r="D33" i="11"/>
  <c r="B33" i="11"/>
  <c r="C33" i="11" s="1"/>
  <c r="K32" i="11"/>
  <c r="N32" i="11" s="1"/>
  <c r="F32" i="11"/>
  <c r="I32" i="11"/>
  <c r="D32" i="11"/>
  <c r="B32" i="11"/>
  <c r="C32" i="11" s="1"/>
  <c r="K31" i="11"/>
  <c r="N31" i="11" s="1"/>
  <c r="L31" i="11"/>
  <c r="M31" i="11" s="1"/>
  <c r="F31" i="11"/>
  <c r="I31" i="11" s="1"/>
  <c r="D31" i="11"/>
  <c r="B31" i="11"/>
  <c r="C31" i="11" s="1"/>
  <c r="K30" i="11"/>
  <c r="N30" i="11"/>
  <c r="F30" i="11"/>
  <c r="I30" i="11" s="1"/>
  <c r="D30" i="11"/>
  <c r="B30" i="11"/>
  <c r="C30" i="11" s="1"/>
  <c r="K29" i="11"/>
  <c r="N29" i="11" s="1"/>
  <c r="F29" i="11"/>
  <c r="I29" i="11"/>
  <c r="G29" i="11"/>
  <c r="H29" i="11" s="1"/>
  <c r="D29" i="11"/>
  <c r="B29" i="11"/>
  <c r="C29" i="11"/>
  <c r="K28" i="11"/>
  <c r="N28" i="11" s="1"/>
  <c r="F28" i="11"/>
  <c r="I28" i="11"/>
  <c r="D28" i="11"/>
  <c r="B28" i="11"/>
  <c r="C28" i="11" s="1"/>
  <c r="K27" i="11"/>
  <c r="N27" i="11" s="1"/>
  <c r="L27" i="11"/>
  <c r="M27" i="11" s="1"/>
  <c r="F27" i="11"/>
  <c r="I27" i="11" s="1"/>
  <c r="D27" i="11"/>
  <c r="B27" i="11"/>
  <c r="C27" i="11" s="1"/>
  <c r="K26" i="11"/>
  <c r="N26" i="11" s="1"/>
  <c r="F26" i="11"/>
  <c r="I26" i="11"/>
  <c r="D26" i="11"/>
  <c r="B26" i="11"/>
  <c r="C26" i="11" s="1"/>
  <c r="K25" i="11"/>
  <c r="N25" i="11" s="1"/>
  <c r="F25" i="11"/>
  <c r="I25" i="11" s="1"/>
  <c r="D25" i="11"/>
  <c r="B25" i="11"/>
  <c r="C25" i="11" s="1"/>
  <c r="K24" i="11"/>
  <c r="L24" i="11" s="1"/>
  <c r="M24" i="11" s="1"/>
  <c r="N24" i="11"/>
  <c r="F24" i="11"/>
  <c r="I24" i="11"/>
  <c r="G24" i="11"/>
  <c r="H24" i="11" s="1"/>
  <c r="D24" i="11"/>
  <c r="B24" i="11"/>
  <c r="C24" i="11"/>
  <c r="K23" i="11"/>
  <c r="N23" i="11" s="1"/>
  <c r="F23" i="11"/>
  <c r="I23" i="11" s="1"/>
  <c r="G23" i="11"/>
  <c r="H23" i="11" s="1"/>
  <c r="D23" i="11"/>
  <c r="B23" i="11"/>
  <c r="C23" i="11" s="1"/>
  <c r="K22" i="11"/>
  <c r="N22" i="11"/>
  <c r="F22" i="11"/>
  <c r="I22" i="11" s="1"/>
  <c r="D22" i="11"/>
  <c r="B22" i="11"/>
  <c r="C22" i="11" s="1"/>
  <c r="K21" i="11"/>
  <c r="L21" i="11" s="1"/>
  <c r="M21" i="11" s="1"/>
  <c r="N21" i="11"/>
  <c r="F21" i="11"/>
  <c r="I21" i="11" s="1"/>
  <c r="D21" i="11"/>
  <c r="B21" i="11"/>
  <c r="C21" i="11" s="1"/>
  <c r="K20" i="11"/>
  <c r="N20" i="11"/>
  <c r="L20" i="11"/>
  <c r="M20" i="11" s="1"/>
  <c r="F20" i="11"/>
  <c r="I20" i="11" s="1"/>
  <c r="D20" i="11"/>
  <c r="B20" i="11"/>
  <c r="C20" i="11" s="1"/>
  <c r="K19" i="11"/>
  <c r="N19" i="11" s="1"/>
  <c r="L19" i="11"/>
  <c r="M19" i="11"/>
  <c r="F19" i="11"/>
  <c r="I19" i="11" s="1"/>
  <c r="D19" i="11"/>
  <c r="B19" i="11"/>
  <c r="C19" i="11"/>
  <c r="K18" i="11"/>
  <c r="N18" i="11"/>
  <c r="F18" i="11"/>
  <c r="I18" i="11" s="1"/>
  <c r="D18" i="11"/>
  <c r="B18" i="11"/>
  <c r="C18" i="11" s="1"/>
  <c r="K17" i="11"/>
  <c r="N17" i="11"/>
  <c r="L17" i="11"/>
  <c r="M17" i="11" s="1"/>
  <c r="F17" i="11"/>
  <c r="I17" i="11" s="1"/>
  <c r="D17" i="11"/>
  <c r="B17" i="11"/>
  <c r="C17" i="11" s="1"/>
  <c r="K16" i="11"/>
  <c r="N16" i="11"/>
  <c r="L16" i="11"/>
  <c r="M16" i="11" s="1"/>
  <c r="F16" i="11"/>
  <c r="I16" i="11"/>
  <c r="G16" i="11"/>
  <c r="H16" i="11" s="1"/>
  <c r="D16" i="11"/>
  <c r="B16" i="11"/>
  <c r="C16" i="11" s="1"/>
  <c r="K15" i="11"/>
  <c r="N15" i="11" s="1"/>
  <c r="F15" i="11"/>
  <c r="I15" i="11" s="1"/>
  <c r="G15" i="11"/>
  <c r="H15" i="11" s="1"/>
  <c r="D15" i="11"/>
  <c r="B15" i="11"/>
  <c r="C15" i="11"/>
  <c r="K14" i="11"/>
  <c r="N14" i="11" s="1"/>
  <c r="F14" i="11"/>
  <c r="I14" i="11"/>
  <c r="D14" i="11"/>
  <c r="B14" i="11"/>
  <c r="C14" i="11" s="1"/>
  <c r="K13" i="11"/>
  <c r="L13" i="11" s="1"/>
  <c r="M13" i="11" s="1"/>
  <c r="N13" i="11"/>
  <c r="F13" i="11"/>
  <c r="I13" i="11" s="1"/>
  <c r="G13" i="11"/>
  <c r="H13" i="11" s="1"/>
  <c r="D13" i="11"/>
  <c r="B13" i="11"/>
  <c r="C13" i="11"/>
  <c r="K12" i="11"/>
  <c r="L12" i="11" s="1"/>
  <c r="M12" i="11" s="1"/>
  <c r="N12" i="11"/>
  <c r="F12" i="11"/>
  <c r="I12" i="11"/>
  <c r="G12" i="11"/>
  <c r="H12" i="11"/>
  <c r="D12" i="11"/>
  <c r="B12" i="11"/>
  <c r="C12" i="11" s="1"/>
  <c r="K11" i="11"/>
  <c r="N11" i="11" s="1"/>
  <c r="F11" i="11"/>
  <c r="I11" i="11" s="1"/>
  <c r="G11" i="11"/>
  <c r="H11" i="11" s="1"/>
  <c r="D11" i="11"/>
  <c r="B11" i="11"/>
  <c r="C11" i="11"/>
  <c r="K10" i="11"/>
  <c r="N10" i="11" s="1"/>
  <c r="F10" i="11"/>
  <c r="I10" i="11" s="1"/>
  <c r="D10" i="11"/>
  <c r="B10" i="11"/>
  <c r="C10" i="11" s="1"/>
  <c r="C15" i="1"/>
  <c r="DU15" i="1"/>
  <c r="DN15" i="1"/>
  <c r="DO15" i="1"/>
  <c r="EA15" i="1" s="1"/>
  <c r="DP15" i="1"/>
  <c r="EB15" i="1" s="1"/>
  <c r="EC15" i="1"/>
  <c r="DR15" i="1"/>
  <c r="ED15" i="1" s="1"/>
  <c r="DT15" i="1"/>
  <c r="EF15" i="1" s="1"/>
  <c r="EG15" i="1"/>
  <c r="DV15" i="1"/>
  <c r="EH15" i="1"/>
  <c r="DW15" i="1"/>
  <c r="EI15" i="1" s="1"/>
  <c r="C16" i="1"/>
  <c r="DU16" i="1"/>
  <c r="DN16" i="1"/>
  <c r="DZ16" i="1" s="1"/>
  <c r="DO16" i="1"/>
  <c r="EA16" i="1"/>
  <c r="DP16" i="1"/>
  <c r="EB16" i="1" s="1"/>
  <c r="DR16" i="1"/>
  <c r="ED16" i="1" s="1"/>
  <c r="DT16" i="1"/>
  <c r="EF16" i="1" s="1"/>
  <c r="EG16" i="1"/>
  <c r="DV16" i="1"/>
  <c r="EH16" i="1" s="1"/>
  <c r="DW16" i="1"/>
  <c r="EI16" i="1" s="1"/>
  <c r="C17" i="1"/>
  <c r="DU17" i="1"/>
  <c r="EG17" i="1" s="1"/>
  <c r="DN17" i="1"/>
  <c r="DO17" i="1"/>
  <c r="EA17" i="1" s="1"/>
  <c r="DP17" i="1"/>
  <c r="EB17" i="1" s="1"/>
  <c r="EC17" i="1"/>
  <c r="DR17" i="1"/>
  <c r="ED17" i="1" s="1"/>
  <c r="EE17" i="1"/>
  <c r="DT17" i="1"/>
  <c r="EF17" i="1" s="1"/>
  <c r="DV17" i="1"/>
  <c r="EH17" i="1"/>
  <c r="DW17" i="1"/>
  <c r="EI17" i="1" s="1"/>
  <c r="C18" i="1"/>
  <c r="DU18" i="1"/>
  <c r="EG18" i="1" s="1"/>
  <c r="DN18" i="1"/>
  <c r="DZ18" i="1" s="1"/>
  <c r="DO18" i="1"/>
  <c r="EA18" i="1" s="1"/>
  <c r="DP18" i="1"/>
  <c r="EB18" i="1"/>
  <c r="EC18" i="1"/>
  <c r="DR18" i="1"/>
  <c r="ED18" i="1" s="1"/>
  <c r="DT18" i="1"/>
  <c r="EF18" i="1" s="1"/>
  <c r="DV18" i="1"/>
  <c r="EH18" i="1" s="1"/>
  <c r="DW18" i="1"/>
  <c r="EI18" i="1" s="1"/>
  <c r="C19" i="1"/>
  <c r="DU19" i="1"/>
  <c r="EG19" i="1" s="1"/>
  <c r="DN19" i="1"/>
  <c r="DZ19" i="1" s="1"/>
  <c r="DO19" i="1"/>
  <c r="EA19" i="1" s="1"/>
  <c r="DP19" i="1"/>
  <c r="EB19" i="1" s="1"/>
  <c r="DR19" i="1"/>
  <c r="ED19" i="1" s="1"/>
  <c r="EE19" i="1"/>
  <c r="DT19" i="1"/>
  <c r="EF19" i="1" s="1"/>
  <c r="DV19" i="1"/>
  <c r="EH19" i="1" s="1"/>
  <c r="DW19" i="1"/>
  <c r="EI19" i="1" s="1"/>
  <c r="GX19" i="1"/>
  <c r="GY19" i="1"/>
  <c r="GX18" i="1"/>
  <c r="GY18" i="1"/>
  <c r="GX16" i="1"/>
  <c r="GY16" i="1"/>
  <c r="GX17" i="1"/>
  <c r="GY17" i="1"/>
  <c r="DX15" i="1"/>
  <c r="GX15" i="1"/>
  <c r="GY15" i="1"/>
  <c r="BS5" i="1"/>
  <c r="BS6" i="1"/>
  <c r="BS7" i="1"/>
  <c r="BS4" i="1"/>
  <c r="BU14" i="1"/>
  <c r="BV14" i="1"/>
  <c r="BX14" i="1"/>
  <c r="BY14" i="1"/>
  <c r="BW14" i="1"/>
  <c r="EE16" i="1" l="1"/>
  <c r="DX17" i="1"/>
  <c r="G27" i="11"/>
  <c r="H27" i="11" s="1"/>
  <c r="G36" i="11"/>
  <c r="H36" i="11" s="1"/>
  <c r="G40" i="11"/>
  <c r="H40" i="11" s="1"/>
  <c r="DX18" i="1"/>
  <c r="G20" i="11"/>
  <c r="H20" i="11" s="1"/>
  <c r="G21" i="11"/>
  <c r="H21" i="11" s="1"/>
  <c r="G39" i="11"/>
  <c r="H39" i="11" s="1"/>
  <c r="FU17" i="1"/>
  <c r="G17" i="11"/>
  <c r="H17" i="11" s="1"/>
  <c r="L36" i="11"/>
  <c r="M36" i="11" s="1"/>
  <c r="CX17" i="1"/>
  <c r="DK17" i="1" s="1"/>
  <c r="L15" i="11"/>
  <c r="M15" i="11" s="1"/>
  <c r="CY17" i="1"/>
  <c r="DF17" i="1" s="1"/>
  <c r="DX16" i="1"/>
  <c r="FU15" i="1"/>
  <c r="DX19" i="1"/>
  <c r="IS5" i="1"/>
  <c r="IR6" i="1"/>
  <c r="EJ19" i="1"/>
  <c r="EK19" i="1" s="1"/>
  <c r="EM19" i="1" s="1"/>
  <c r="EJ16" i="1"/>
  <c r="EK16" i="1" s="1"/>
  <c r="EJ18" i="1"/>
  <c r="EK18" i="1" s="1"/>
  <c r="DZ17" i="1"/>
  <c r="EJ17" i="1" s="1"/>
  <c r="EK17" i="1" s="1"/>
  <c r="L11" i="11"/>
  <c r="M11" i="11" s="1"/>
  <c r="G41" i="11"/>
  <c r="H41" i="11" s="1"/>
  <c r="G38" i="11"/>
  <c r="H38" i="11" s="1"/>
  <c r="G34" i="11"/>
  <c r="H34" i="11" s="1"/>
  <c r="G30" i="11"/>
  <c r="H30" i="11" s="1"/>
  <c r="G26" i="11"/>
  <c r="H26" i="11" s="1"/>
  <c r="G22" i="11"/>
  <c r="H22" i="11" s="1"/>
  <c r="G18" i="11"/>
  <c r="H18" i="11" s="1"/>
  <c r="G14" i="11"/>
  <c r="H14" i="11" s="1"/>
  <c r="G10" i="11"/>
  <c r="H10" i="11" s="1"/>
  <c r="L38" i="11"/>
  <c r="M38" i="11" s="1"/>
  <c r="L34" i="11"/>
  <c r="M34" i="11" s="1"/>
  <c r="L30" i="11"/>
  <c r="M30" i="11" s="1"/>
  <c r="L26" i="11"/>
  <c r="M26" i="11" s="1"/>
  <c r="L22" i="11"/>
  <c r="M22" i="11" s="1"/>
  <c r="L18" i="11"/>
  <c r="M18" i="11" s="1"/>
  <c r="L14" i="11"/>
  <c r="M14" i="11" s="1"/>
  <c r="L10" i="11"/>
  <c r="M10" i="11" s="1"/>
  <c r="CY15" i="1"/>
  <c r="EU17" i="1"/>
  <c r="DZ15" i="1"/>
  <c r="EJ15" i="1" s="1"/>
  <c r="EK15" i="1" s="1"/>
  <c r="EM15" i="1" s="1"/>
  <c r="L25" i="11"/>
  <c r="M25" i="11" s="1"/>
  <c r="G28" i="11"/>
  <c r="H28" i="11" s="1"/>
  <c r="L28" i="11"/>
  <c r="M28" i="11" s="1"/>
  <c r="G31" i="11"/>
  <c r="H31" i="11" s="1"/>
  <c r="L35" i="11"/>
  <c r="M35" i="11" s="1"/>
  <c r="G37" i="11"/>
  <c r="H37" i="11" s="1"/>
  <c r="FU18" i="1"/>
  <c r="L23" i="11"/>
  <c r="M23" i="11" s="1"/>
  <c r="G25" i="11"/>
  <c r="H25" i="11" s="1"/>
  <c r="L29" i="11"/>
  <c r="M29" i="11" s="1"/>
  <c r="G32" i="11"/>
  <c r="H32" i="11" s="1"/>
  <c r="L32" i="11"/>
  <c r="M32" i="11" s="1"/>
  <c r="G35" i="11"/>
  <c r="H35" i="11" s="1"/>
  <c r="L39" i="11"/>
  <c r="M39" i="11" s="1"/>
  <c r="L40" i="11"/>
  <c r="M40" i="11" s="1"/>
  <c r="L41" i="11"/>
  <c r="M41" i="11" s="1"/>
  <c r="DD17" i="1"/>
  <c r="CX19" i="1"/>
  <c r="CX18" i="1"/>
  <c r="CY16" i="1"/>
  <c r="DF16" i="1" s="1"/>
  <c r="DH17" i="1" l="1"/>
  <c r="DB17" i="1"/>
  <c r="DE17" i="1"/>
  <c r="DG17" i="1"/>
  <c r="BQ17" i="1" s="1"/>
  <c r="DJ17" i="1"/>
  <c r="DA17" i="1"/>
  <c r="DL17" i="1" s="1"/>
  <c r="DI17" i="1"/>
  <c r="DC17" i="1"/>
  <c r="EO15" i="1"/>
  <c r="DF15" i="1"/>
  <c r="DD15" i="1"/>
  <c r="DH15" i="1"/>
  <c r="DA15" i="1"/>
  <c r="DC15" i="1"/>
  <c r="DI15" i="1"/>
  <c r="DE15" i="1"/>
  <c r="DK15" i="1"/>
  <c r="DJ15" i="1"/>
  <c r="DB15" i="1"/>
  <c r="EO19" i="1"/>
  <c r="FM17" i="1"/>
  <c r="EV17" i="1"/>
  <c r="EX17" i="1"/>
  <c r="FE17" i="1" s="1"/>
  <c r="BY17" i="1" s="1"/>
  <c r="EQ17" i="1"/>
  <c r="ER17" i="1"/>
  <c r="ET17" i="1"/>
  <c r="IN17" i="1" s="1"/>
  <c r="EW17" i="1"/>
  <c r="EN17" i="1"/>
  <c r="ES17" i="1"/>
  <c r="ER19" i="1"/>
  <c r="IO19" i="1" s="1"/>
  <c r="ET19" i="1"/>
  <c r="EQ19" i="1"/>
  <c r="EU19" i="1"/>
  <c r="ES19" i="1"/>
  <c r="EW19" i="1"/>
  <c r="EX19" i="1"/>
  <c r="FE19" i="1" s="1"/>
  <c r="BY19" i="1" s="1"/>
  <c r="EN19" i="1"/>
  <c r="EV19" i="1"/>
  <c r="CY18" i="1"/>
  <c r="DK18" i="1" s="1"/>
  <c r="EQ18" i="1"/>
  <c r="EM18" i="1"/>
  <c r="EV18" i="1"/>
  <c r="EX18" i="1"/>
  <c r="FE18" i="1" s="1"/>
  <c r="BY18" i="1" s="1"/>
  <c r="ER18" i="1"/>
  <c r="ET18" i="1"/>
  <c r="IN18" i="1" s="1"/>
  <c r="EN18" i="1"/>
  <c r="ES18" i="1"/>
  <c r="EW18" i="1"/>
  <c r="EU18" i="1"/>
  <c r="EU15" i="1"/>
  <c r="EV15" i="1"/>
  <c r="EQ15" i="1"/>
  <c r="EX15" i="1"/>
  <c r="FE15" i="1" s="1"/>
  <c r="BY15" i="1" s="1"/>
  <c r="EN15" i="1"/>
  <c r="ES15" i="1"/>
  <c r="EW15" i="1"/>
  <c r="ER15" i="1"/>
  <c r="ET15" i="1"/>
  <c r="IN15" i="1" s="1"/>
  <c r="EM16" i="1"/>
  <c r="EU16" i="1"/>
  <c r="EV16" i="1"/>
  <c r="EQ16" i="1"/>
  <c r="EX16" i="1"/>
  <c r="FE16" i="1" s="1"/>
  <c r="BY16" i="1" s="1"/>
  <c r="EN16" i="1"/>
  <c r="ES16" i="1"/>
  <c r="EW16" i="1"/>
  <c r="ER16" i="1"/>
  <c r="ET16" i="1"/>
  <c r="IN16" i="1" s="1"/>
  <c r="DC16" i="1"/>
  <c r="DD16" i="1"/>
  <c r="FM16" i="1" s="1"/>
  <c r="DG16" i="1"/>
  <c r="DA16" i="1"/>
  <c r="DB16" i="1"/>
  <c r="DI16" i="1"/>
  <c r="DE16" i="1"/>
  <c r="DK16" i="1"/>
  <c r="DJ16" i="1"/>
  <c r="DH16" i="1"/>
  <c r="DM17" i="1"/>
  <c r="CY19" i="1"/>
  <c r="DG15" i="1"/>
  <c r="EM17" i="1"/>
  <c r="IO18" i="1" l="1"/>
  <c r="IP18" i="1"/>
  <c r="IS18" i="1" s="1"/>
  <c r="IP19" i="1"/>
  <c r="IS19" i="1" s="1"/>
  <c r="IR19" i="1"/>
  <c r="IN19" i="1"/>
  <c r="IM19" i="1" s="1"/>
  <c r="IP15" i="1"/>
  <c r="IS15" i="1" s="1"/>
  <c r="EY19" i="1"/>
  <c r="FA19" i="1" s="1"/>
  <c r="IP16" i="1"/>
  <c r="IS16" i="1" s="1"/>
  <c r="EY15" i="1"/>
  <c r="FA15" i="1" s="1"/>
  <c r="IO15" i="1"/>
  <c r="IO17" i="1"/>
  <c r="EP15" i="1"/>
  <c r="FB15" i="1" s="1"/>
  <c r="IO16" i="1"/>
  <c r="IM16" i="1" s="1"/>
  <c r="IP17" i="1"/>
  <c r="IS17" i="1" s="1"/>
  <c r="BQ15" i="1"/>
  <c r="FY19" i="1"/>
  <c r="FT19" i="1"/>
  <c r="IF19" i="1"/>
  <c r="CA15" i="1"/>
  <c r="FX15" i="1"/>
  <c r="EO18" i="1"/>
  <c r="EY18" i="1"/>
  <c r="FA18" i="1" s="1"/>
  <c r="DD19" i="1"/>
  <c r="FX19" i="1" s="1"/>
  <c r="DG19" i="1"/>
  <c r="DH19" i="1"/>
  <c r="DJ19" i="1"/>
  <c r="DF19" i="1"/>
  <c r="DA19" i="1"/>
  <c r="DB19" i="1"/>
  <c r="DI19" i="1"/>
  <c r="DE19" i="1"/>
  <c r="DC19" i="1"/>
  <c r="DL16" i="1"/>
  <c r="IF16" i="1"/>
  <c r="FY16" i="1"/>
  <c r="FT16" i="1"/>
  <c r="FT17" i="1"/>
  <c r="DK19" i="1"/>
  <c r="BQ16" i="1"/>
  <c r="CA16" i="1"/>
  <c r="FX16" i="1"/>
  <c r="EO16" i="1"/>
  <c r="EY16" i="1"/>
  <c r="FA16" i="1" s="1"/>
  <c r="EP19" i="1"/>
  <c r="GB19" i="1" s="1"/>
  <c r="IF17" i="1"/>
  <c r="FY17" i="1"/>
  <c r="DM16" i="1"/>
  <c r="FY18" i="1"/>
  <c r="FT18" i="1"/>
  <c r="IF18" i="1"/>
  <c r="DL15" i="1"/>
  <c r="CA17" i="1"/>
  <c r="FX17" i="1"/>
  <c r="EO17" i="1"/>
  <c r="EP17" i="1" s="1"/>
  <c r="GB17" i="1" s="1"/>
  <c r="EY17" i="1"/>
  <c r="FA17" i="1" s="1"/>
  <c r="FY15" i="1"/>
  <c r="FT15" i="1"/>
  <c r="IF15" i="1"/>
  <c r="DF18" i="1"/>
  <c r="DA18" i="1"/>
  <c r="DG18" i="1"/>
  <c r="DH18" i="1"/>
  <c r="DC18" i="1"/>
  <c r="DJ18" i="1"/>
  <c r="DB18" i="1"/>
  <c r="DI18" i="1"/>
  <c r="DE18" i="1"/>
  <c r="DD18" i="1"/>
  <c r="FX18" i="1" s="1"/>
  <c r="DM15" i="1"/>
  <c r="FM15" i="1"/>
  <c r="EZ19" i="1" l="1"/>
  <c r="IR15" i="1"/>
  <c r="IM18" i="1"/>
  <c r="IR18" i="1"/>
  <c r="GB15" i="1"/>
  <c r="FC15" i="1"/>
  <c r="BV15" i="1" s="1"/>
  <c r="EZ15" i="1"/>
  <c r="GD15" i="1" s="1"/>
  <c r="IR17" i="1"/>
  <c r="IM17" i="1"/>
  <c r="EZ17" i="1"/>
  <c r="GC17" i="1" s="1"/>
  <c r="CA18" i="1"/>
  <c r="CA19" i="1"/>
  <c r="IR16" i="1"/>
  <c r="IM15" i="1"/>
  <c r="GD17" i="1"/>
  <c r="HG17" i="1"/>
  <c r="HI17" i="1" s="1"/>
  <c r="HG19" i="1"/>
  <c r="HI19" i="1" s="1"/>
  <c r="GM18" i="1"/>
  <c r="GN18" i="1"/>
  <c r="GM17" i="1"/>
  <c r="GN17" i="1"/>
  <c r="FC19" i="1"/>
  <c r="FZ19" i="1"/>
  <c r="GA19" i="1" s="1"/>
  <c r="FJ15" i="1"/>
  <c r="BW15" i="1"/>
  <c r="DL19" i="1"/>
  <c r="BQ19" i="1"/>
  <c r="FC17" i="1"/>
  <c r="FD17" i="1" s="1"/>
  <c r="FZ17" i="1"/>
  <c r="GA17" i="1" s="1"/>
  <c r="BQ18" i="1"/>
  <c r="GM15" i="1"/>
  <c r="GN15" i="1"/>
  <c r="GN16" i="1"/>
  <c r="GM16" i="1"/>
  <c r="DL18" i="1"/>
  <c r="DM18" i="1"/>
  <c r="FM18" i="1"/>
  <c r="EP16" i="1"/>
  <c r="EZ16" i="1" s="1"/>
  <c r="FB19" i="1"/>
  <c r="FD15" i="1"/>
  <c r="EP18" i="1"/>
  <c r="EZ18" i="1" s="1"/>
  <c r="DM19" i="1"/>
  <c r="FM19" i="1"/>
  <c r="FB17" i="1"/>
  <c r="GM19" i="1"/>
  <c r="GN19" i="1"/>
  <c r="GD19" i="1" l="1"/>
  <c r="GG19" i="1" s="1"/>
  <c r="GC19" i="1"/>
  <c r="GC15" i="1"/>
  <c r="HG15" i="1"/>
  <c r="FZ15" i="1"/>
  <c r="GA15" i="1" s="1"/>
  <c r="GF15" i="1" s="1"/>
  <c r="GD16" i="1"/>
  <c r="HG16" i="1"/>
  <c r="HG18" i="1"/>
  <c r="GD18" i="1"/>
  <c r="BV19" i="1"/>
  <c r="FD19" i="1"/>
  <c r="FI19" i="1" s="1"/>
  <c r="HH19" i="1"/>
  <c r="HH17" i="1"/>
  <c r="GF17" i="1"/>
  <c r="GE17" i="1"/>
  <c r="FJ19" i="1"/>
  <c r="BW19" i="1"/>
  <c r="FC18" i="1"/>
  <c r="FZ18" i="1"/>
  <c r="GA18" i="1" s="1"/>
  <c r="FB18" i="1"/>
  <c r="GB18" i="1"/>
  <c r="GC18" i="1" s="1"/>
  <c r="BX17" i="1"/>
  <c r="FF17" i="1"/>
  <c r="BV17" i="1"/>
  <c r="FI17" i="1"/>
  <c r="GF19" i="1"/>
  <c r="GE19" i="1"/>
  <c r="GG15" i="1"/>
  <c r="FC16" i="1"/>
  <c r="FZ16" i="1"/>
  <c r="GA16" i="1" s="1"/>
  <c r="GB16" i="1"/>
  <c r="GC16" i="1" s="1"/>
  <c r="FB16" i="1"/>
  <c r="FL17" i="1"/>
  <c r="BW17" i="1"/>
  <c r="FJ17" i="1"/>
  <c r="BX15" i="1"/>
  <c r="FI15" i="1"/>
  <c r="FF15" i="1"/>
  <c r="GG17" i="1"/>
  <c r="GE15" i="1" l="1"/>
  <c r="HI15" i="1"/>
  <c r="HH15" i="1"/>
  <c r="FL15" i="1"/>
  <c r="BT17" i="1"/>
  <c r="FG17" i="1"/>
  <c r="HH18" i="1"/>
  <c r="GG16" i="1"/>
  <c r="BW16" i="1"/>
  <c r="FJ16" i="1"/>
  <c r="GH17" i="1"/>
  <c r="GI17" i="1" s="1"/>
  <c r="GH19" i="1"/>
  <c r="GI19" i="1" s="1"/>
  <c r="HI18" i="1"/>
  <c r="FK17" i="1"/>
  <c r="GH15" i="1"/>
  <c r="GI15" i="1" s="1"/>
  <c r="GF18" i="1"/>
  <c r="GE18" i="1"/>
  <c r="HJ17" i="1"/>
  <c r="HJ19" i="1"/>
  <c r="BX19" i="1"/>
  <c r="FF19" i="1"/>
  <c r="GG18" i="1"/>
  <c r="GF16" i="1"/>
  <c r="GE16" i="1"/>
  <c r="BV18" i="1"/>
  <c r="FD18" i="1"/>
  <c r="FI18" i="1" s="1"/>
  <c r="FL18" i="1" s="1"/>
  <c r="BV16" i="1"/>
  <c r="FD16" i="1"/>
  <c r="BW18" i="1"/>
  <c r="FJ18" i="1"/>
  <c r="BT15" i="1"/>
  <c r="FG15" i="1"/>
  <c r="FK15" i="1"/>
  <c r="FL19" i="1"/>
  <c r="HH16" i="1"/>
  <c r="HI16" i="1"/>
  <c r="HJ15" i="1" l="1"/>
  <c r="HK15" i="1"/>
  <c r="FI16" i="1"/>
  <c r="HS19" i="1"/>
  <c r="HL19" i="1"/>
  <c r="HM19" i="1" s="1"/>
  <c r="GH18" i="1"/>
  <c r="GI18" i="1" s="1"/>
  <c r="GJ19" i="1"/>
  <c r="GK19" i="1"/>
  <c r="BT19" i="1"/>
  <c r="FG19" i="1"/>
  <c r="FH19" i="1" s="1"/>
  <c r="FK19" i="1"/>
  <c r="HS17" i="1"/>
  <c r="HL17" i="1"/>
  <c r="HM17" i="1" s="1"/>
  <c r="GK15" i="1"/>
  <c r="GJ15" i="1"/>
  <c r="GK17" i="1"/>
  <c r="GJ17" i="1"/>
  <c r="HE17" i="1" s="1"/>
  <c r="HJ16" i="1"/>
  <c r="HK16" i="1" s="1"/>
  <c r="AV15" i="1"/>
  <c r="AW15" i="1" s="1"/>
  <c r="BX18" i="1"/>
  <c r="FF18" i="1"/>
  <c r="GH16" i="1"/>
  <c r="GI16" i="1" s="1"/>
  <c r="HK17" i="1"/>
  <c r="AV17" i="1"/>
  <c r="AW17" i="1" s="1"/>
  <c r="BU17" i="1"/>
  <c r="BZ17" i="1" s="1"/>
  <c r="FH17" i="1"/>
  <c r="BU15" i="1"/>
  <c r="BZ15" i="1" s="1"/>
  <c r="FH15" i="1"/>
  <c r="BX16" i="1"/>
  <c r="FF16" i="1"/>
  <c r="HK19" i="1"/>
  <c r="HJ18" i="1"/>
  <c r="HL15" i="1" l="1"/>
  <c r="HM15" i="1" s="1"/>
  <c r="HS15" i="1"/>
  <c r="HS18" i="1"/>
  <c r="HL18" i="1"/>
  <c r="HM18" i="1" s="1"/>
  <c r="GO19" i="1"/>
  <c r="HA19" i="1" s="1"/>
  <c r="CJ19" i="1"/>
  <c r="CK19" i="1"/>
  <c r="GP19" i="1"/>
  <c r="HK18" i="1"/>
  <c r="GO15" i="1"/>
  <c r="HA15" i="1" s="1"/>
  <c r="CJ15" i="1"/>
  <c r="CK15" i="1"/>
  <c r="GP15" i="1"/>
  <c r="HE19" i="1"/>
  <c r="GK16" i="1"/>
  <c r="GJ16" i="1"/>
  <c r="HS16" i="1"/>
  <c r="HL16" i="1"/>
  <c r="HM16" i="1" s="1"/>
  <c r="GL17" i="1"/>
  <c r="HF17" i="1" s="1"/>
  <c r="HN17" i="1" s="1"/>
  <c r="HE15" i="1"/>
  <c r="BU19" i="1"/>
  <c r="BZ19" i="1" s="1"/>
  <c r="GL19" i="1"/>
  <c r="GQ19" i="1" s="1"/>
  <c r="FL16" i="1"/>
  <c r="BT18" i="1"/>
  <c r="FG18" i="1"/>
  <c r="FK18" i="1"/>
  <c r="BT16" i="1"/>
  <c r="FG16" i="1"/>
  <c r="FK16" i="1"/>
  <c r="AV19" i="1"/>
  <c r="AW19" i="1" s="1"/>
  <c r="GO17" i="1"/>
  <c r="HA17" i="1" s="1"/>
  <c r="CK17" i="1"/>
  <c r="GP17" i="1"/>
  <c r="CJ17" i="1"/>
  <c r="GL15" i="1"/>
  <c r="HF15" i="1" s="1"/>
  <c r="GK18" i="1"/>
  <c r="GJ18" i="1"/>
  <c r="HE18" i="1" s="1"/>
  <c r="GQ17" i="1" l="1"/>
  <c r="GS19" i="1"/>
  <c r="HY19" i="1"/>
  <c r="GR19" i="1"/>
  <c r="HO17" i="1"/>
  <c r="HP17" i="1"/>
  <c r="GL18" i="1"/>
  <c r="HF18" i="1" s="1"/>
  <c r="HN18" i="1" s="1"/>
  <c r="BU18" i="1"/>
  <c r="BZ18" i="1" s="1"/>
  <c r="AV16" i="1"/>
  <c r="AW16" i="1" s="1"/>
  <c r="HB15" i="1"/>
  <c r="II15" i="1" s="1"/>
  <c r="FH18" i="1"/>
  <c r="GO18" i="1"/>
  <c r="HA18" i="1" s="1"/>
  <c r="CK18" i="1"/>
  <c r="GP18" i="1"/>
  <c r="CJ18" i="1"/>
  <c r="HY17" i="1"/>
  <c r="GS17" i="1"/>
  <c r="GR17" i="1"/>
  <c r="BU16" i="1"/>
  <c r="HB19" i="1"/>
  <c r="II19" i="1" s="1"/>
  <c r="GO16" i="1"/>
  <c r="HA16" i="1" s="1"/>
  <c r="CJ16" i="1"/>
  <c r="CK16" i="1"/>
  <c r="GP16" i="1"/>
  <c r="GQ15" i="1"/>
  <c r="HC15" i="1"/>
  <c r="BZ16" i="1"/>
  <c r="AV18" i="1"/>
  <c r="AW18" i="1" s="1"/>
  <c r="HF19" i="1"/>
  <c r="HN19" i="1" s="1"/>
  <c r="HB17" i="1"/>
  <c r="II17" i="1" s="1"/>
  <c r="HN15" i="1"/>
  <c r="GL16" i="1"/>
  <c r="GQ16" i="1" s="1"/>
  <c r="HE16" i="1"/>
  <c r="FH16" i="1"/>
  <c r="HC19" i="1" l="1"/>
  <c r="HC17" i="1"/>
  <c r="GR16" i="1"/>
  <c r="GS16" i="1"/>
  <c r="HY16" i="1"/>
  <c r="HO19" i="1"/>
  <c r="HP19" i="1"/>
  <c r="HO18" i="1"/>
  <c r="HP18" i="1"/>
  <c r="HB18" i="1"/>
  <c r="II18" i="1" s="1"/>
  <c r="HR17" i="1"/>
  <c r="HQ17" i="1"/>
  <c r="HX17" i="1" s="1"/>
  <c r="IJ17" i="1"/>
  <c r="IK17" i="1"/>
  <c r="HF16" i="1"/>
  <c r="HN16" i="1" s="1"/>
  <c r="HC16" i="1"/>
  <c r="GQ18" i="1"/>
  <c r="IJ19" i="1"/>
  <c r="IK19" i="1"/>
  <c r="GS15" i="1"/>
  <c r="GR15" i="1"/>
  <c r="HY15" i="1"/>
  <c r="HO15" i="1"/>
  <c r="HP15" i="1"/>
  <c r="HB16" i="1"/>
  <c r="II16" i="1" s="1"/>
  <c r="HC18" i="1" l="1"/>
  <c r="HW17" i="1"/>
  <c r="HV17" i="1"/>
  <c r="HO16" i="1"/>
  <c r="HP16" i="1"/>
  <c r="HR19" i="1"/>
  <c r="HQ19" i="1"/>
  <c r="HU19" i="1" s="1"/>
  <c r="HX15" i="1"/>
  <c r="HR15" i="1"/>
  <c r="HQ15" i="1"/>
  <c r="HU15" i="1" s="1"/>
  <c r="IJ15" i="1"/>
  <c r="IK15" i="1"/>
  <c r="HY18" i="1"/>
  <c r="GR18" i="1"/>
  <c r="GS18" i="1"/>
  <c r="HU17" i="1"/>
  <c r="IJ16" i="1"/>
  <c r="IK16" i="1"/>
  <c r="HQ18" i="1"/>
  <c r="HV18" i="1" s="1"/>
  <c r="HR18" i="1"/>
  <c r="HV15" i="1" l="1"/>
  <c r="HX18" i="1"/>
  <c r="HW19" i="1"/>
  <c r="HU18" i="1"/>
  <c r="HW15" i="1"/>
  <c r="HX19" i="1"/>
  <c r="HW18" i="1"/>
  <c r="HV19" i="1"/>
  <c r="IJ18" i="1"/>
  <c r="IK18" i="1"/>
  <c r="HR16" i="1"/>
  <c r="HQ16" i="1"/>
  <c r="HV16" i="1" l="1"/>
  <c r="HW16" i="1"/>
  <c r="HX16" i="1"/>
  <c r="HU16" i="1"/>
  <c r="FR19" i="1" l="1"/>
  <c r="BH19" i="1"/>
  <c r="FO19" i="1"/>
  <c r="BP18" i="1"/>
  <c r="AP18" i="1"/>
  <c r="AN18" i="1"/>
  <c r="AO18" i="1"/>
  <c r="GZ18" i="1"/>
  <c r="GV18" i="1"/>
  <c r="FR16" i="1"/>
  <c r="BH16" i="1"/>
  <c r="FO16" i="1"/>
  <c r="FQ17" i="1"/>
  <c r="BE17" i="1"/>
  <c r="FR17" i="1"/>
  <c r="BH17" i="1"/>
  <c r="FO17" i="1"/>
  <c r="FQ19" i="1"/>
  <c r="BE19" i="1"/>
  <c r="FR15" i="1"/>
  <c r="BH15" i="1"/>
  <c r="FO15" i="1"/>
  <c r="GZ19" i="1"/>
  <c r="GW19" i="1"/>
  <c r="AS19" i="1"/>
  <c r="AR19" i="1"/>
  <c r="AT19" i="1"/>
  <c r="FQ16" i="1"/>
  <c r="BE16" i="1"/>
  <c r="AY16" i="1"/>
  <c r="GZ17" i="1"/>
  <c r="GV17" i="1"/>
  <c r="BJ16" i="1"/>
  <c r="AL16" i="1"/>
  <c r="AT16" i="1"/>
  <c r="AR16" i="1"/>
  <c r="AS16" i="1"/>
  <c r="AF19" i="1"/>
  <c r="BK19" i="1"/>
  <c r="BM19" i="1"/>
  <c r="FS17" i="1"/>
  <c r="IG17" i="1"/>
  <c r="FW17" i="1"/>
  <c r="GT17" i="1"/>
  <c r="AK17" i="1"/>
  <c r="D17" i="1"/>
  <c r="FV17" i="1"/>
  <c r="AS18" i="1"/>
  <c r="AR18" i="1"/>
  <c r="AT18" i="1"/>
  <c r="FP15" i="1"/>
  <c r="FN15" i="1"/>
  <c r="GU15" i="1"/>
  <c r="FP16" i="1"/>
  <c r="FN16" i="1"/>
  <c r="GU16" i="1"/>
  <c r="BP17" i="1"/>
  <c r="AP17" i="1"/>
  <c r="AN17" i="1"/>
  <c r="AO17" i="1"/>
  <c r="AS15" i="1"/>
  <c r="BR19" i="1"/>
  <c r="AE19" i="1"/>
  <c r="AG19" i="1"/>
  <c r="BL19" i="1"/>
  <c r="E19" i="1"/>
  <c r="GZ16" i="1"/>
  <c r="GV16" i="1"/>
  <c r="AO16" i="1"/>
  <c r="AP16" i="1"/>
  <c r="AN16" i="1"/>
  <c r="BP16" i="1"/>
  <c r="FP19" i="1"/>
  <c r="FN19" i="1"/>
  <c r="GU19" i="1"/>
  <c r="BR17" i="1"/>
  <c r="BL17" i="1"/>
  <c r="E17" i="1"/>
  <c r="AY17" i="1"/>
  <c r="ID18" i="1"/>
  <c r="IA18" i="1"/>
  <c r="HZ18" i="1"/>
  <c r="ID17" i="1"/>
  <c r="IA17" i="1"/>
  <c r="HZ17" i="1"/>
  <c r="BD16" i="1"/>
  <c r="BR15" i="1"/>
  <c r="BL15" i="1"/>
  <c r="E15" i="1"/>
  <c r="BM16" i="1"/>
  <c r="BK16" i="1"/>
  <c r="AF16" i="1"/>
  <c r="BJ15" i="1"/>
  <c r="AL15" i="1"/>
  <c r="GU18" i="1"/>
  <c r="FN18" i="1"/>
  <c r="FP18" i="1"/>
  <c r="AY18" i="1"/>
  <c r="AF17" i="1"/>
  <c r="BM17" i="1"/>
  <c r="AG17" i="1"/>
  <c r="AE17" i="1"/>
  <c r="BK17" i="1"/>
  <c r="AT17" i="1"/>
  <c r="AR17" i="1"/>
  <c r="AS17" i="1"/>
  <c r="HZ15" i="1"/>
  <c r="ID15" i="1"/>
  <c r="IA15" i="1"/>
  <c r="GV15" i="1"/>
  <c r="GZ15" i="1"/>
  <c r="BJ19" i="1"/>
  <c r="AL19" i="1"/>
  <c r="GU17" i="1"/>
  <c r="FN17" i="1"/>
  <c r="FP17" i="1"/>
  <c r="HZ19" i="1"/>
  <c r="IA19" i="1"/>
  <c r="GV19" i="1"/>
  <c r="BK18" i="1"/>
  <c r="BM18" i="1"/>
  <c r="AF18" i="1"/>
  <c r="IB19" i="1"/>
  <c r="IC19" i="1"/>
  <c r="ID19" i="1"/>
  <c r="BI19" i="1"/>
  <c r="R19" i="1"/>
  <c r="BG19" i="1"/>
  <c r="BO19" i="1"/>
  <c r="CG19" i="1"/>
  <c r="CL19" i="1"/>
  <c r="AI19" i="1"/>
  <c r="BN19" i="1"/>
  <c r="BO16" i="1"/>
  <c r="BI16" i="1"/>
  <c r="CL16" i="1"/>
  <c r="BN16" i="1"/>
  <c r="CG16" i="1"/>
  <c r="R16" i="1"/>
  <c r="AI16" i="1"/>
  <c r="BG16" i="1"/>
  <c r="BP15" i="1"/>
  <c r="AP15" i="1"/>
  <c r="AN15" i="1"/>
  <c r="AO15" i="1"/>
  <c r="ID16" i="1"/>
  <c r="IA16" i="1"/>
  <c r="HZ16" i="1"/>
  <c r="IG19" i="1"/>
  <c r="GT19" i="1"/>
  <c r="FS19" i="1"/>
  <c r="FV19" i="1"/>
  <c r="AK19" i="1"/>
  <c r="D19" i="1"/>
  <c r="FW19" i="1"/>
  <c r="CE19" i="1"/>
  <c r="BF19" i="1"/>
  <c r="CD19" i="1"/>
  <c r="CF19" i="1"/>
  <c r="AH19" i="1"/>
  <c r="CH19" i="1"/>
  <c r="E18" i="1"/>
  <c r="AE18" i="1"/>
  <c r="AG18" i="1"/>
  <c r="BL18" i="1"/>
  <c r="BR18" i="1"/>
  <c r="IB17" i="1"/>
  <c r="IC17" i="1"/>
  <c r="GW17" i="1"/>
  <c r="BD15" i="1"/>
  <c r="IB18" i="1"/>
  <c r="IC18" i="1"/>
  <c r="GW18" i="1"/>
  <c r="AF15" i="1"/>
  <c r="BK15" i="1"/>
  <c r="AG15" i="1"/>
  <c r="AE15" i="1"/>
  <c r="BM15" i="1"/>
  <c r="AL18" i="1"/>
  <c r="BJ18" i="1"/>
  <c r="AL17" i="1"/>
  <c r="BJ17" i="1"/>
  <c r="IB15" i="1"/>
  <c r="IC15" i="1"/>
  <c r="GW15" i="1"/>
  <c r="IB16" i="1"/>
  <c r="IC16" i="1"/>
  <c r="GW16" i="1"/>
  <c r="BG15" i="1"/>
  <c r="BN15" i="1"/>
  <c r="BO15" i="1"/>
  <c r="BI15" i="1"/>
  <c r="CG15" i="1"/>
  <c r="R15" i="1"/>
  <c r="AI15" i="1"/>
  <c r="CL15" i="1"/>
  <c r="CF15" i="1"/>
  <c r="CE15" i="1"/>
  <c r="CD15" i="1"/>
  <c r="BF15" i="1"/>
  <c r="CH15" i="1"/>
  <c r="BR16" i="1"/>
  <c r="AE16" i="1"/>
  <c r="AG16" i="1"/>
  <c r="BL16" i="1"/>
  <c r="E16" i="1"/>
  <c r="FO18" i="1"/>
  <c r="BH18" i="1"/>
  <c r="FR18" i="1"/>
  <c r="AY15" i="1"/>
  <c r="AZ15" i="1"/>
  <c r="BD18" i="1"/>
  <c r="R18" i="1"/>
  <c r="BG18" i="1"/>
  <c r="BI18" i="1"/>
  <c r="BO18" i="1"/>
  <c r="CG18" i="1"/>
  <c r="CL18" i="1"/>
  <c r="AI18" i="1"/>
  <c r="BN18" i="1"/>
  <c r="GT15" i="1"/>
  <c r="IG15" i="1"/>
  <c r="FW15" i="1"/>
  <c r="FV15" i="1"/>
  <c r="BC15" i="1"/>
  <c r="BB15" i="1"/>
  <c r="AK15" i="1"/>
  <c r="D15" i="1"/>
  <c r="FS15" i="1"/>
  <c r="IG18" i="1"/>
  <c r="FS18" i="1"/>
  <c r="FW18" i="1"/>
  <c r="FV18" i="1"/>
  <c r="BC18" i="1"/>
  <c r="BB18" i="1"/>
  <c r="AK18" i="1"/>
  <c r="D18" i="1"/>
  <c r="GT18" i="1"/>
  <c r="BN17" i="1"/>
  <c r="CG17" i="1"/>
  <c r="R17" i="1"/>
  <c r="BI17" i="1"/>
  <c r="CL17" i="1"/>
  <c r="BG17" i="1"/>
  <c r="AI17" i="1"/>
  <c r="BO17" i="1"/>
  <c r="FV16" i="1"/>
  <c r="IG16" i="1"/>
  <c r="FW16" i="1"/>
  <c r="GT16" i="1"/>
  <c r="BC16" i="1"/>
  <c r="BB16" i="1"/>
  <c r="AK16" i="1"/>
  <c r="D16" i="1"/>
  <c r="FS16" i="1"/>
  <c r="CE16" i="1"/>
  <c r="CH16" i="1"/>
  <c r="BF16" i="1"/>
  <c r="CD16" i="1"/>
  <c r="AZ16" i="1"/>
  <c r="AX16" i="1"/>
  <c r="AH16" i="1"/>
  <c r="CF16" i="1"/>
  <c r="BC19" i="1"/>
  <c r="BB19" i="1"/>
  <c r="BD19" i="1"/>
  <c r="BC17" i="1"/>
  <c r="BB17" i="1"/>
  <c r="BD17" i="1"/>
  <c r="CD17" i="1"/>
  <c r="BF17" i="1"/>
  <c r="CH17" i="1"/>
  <c r="CF17" i="1"/>
  <c r="AZ17" i="1"/>
  <c r="AX17" i="1"/>
  <c r="AH17" i="1"/>
  <c r="CE17" i="1"/>
  <c r="BP19" i="1"/>
  <c r="AP19" i="1"/>
  <c r="AN19" i="1"/>
  <c r="AO19" i="1"/>
  <c r="FQ18" i="1"/>
  <c r="BE18" i="1"/>
  <c r="CD18" i="1"/>
  <c r="CH18" i="1"/>
  <c r="CF18" i="1"/>
  <c r="BF18" i="1"/>
  <c r="AZ18" i="1"/>
  <c r="AX18" i="1"/>
  <c r="AH18" i="1"/>
  <c r="CE18" i="1"/>
  <c r="AR15" i="1"/>
  <c r="AT15" i="1"/>
  <c r="AX15" i="1"/>
  <c r="AH15" i="1"/>
  <c r="BE15" i="1"/>
  <c r="FQ15" i="1"/>
  <c r="AZ19" i="1"/>
  <c r="AX19" i="1"/>
  <c r="AY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Keith Putirka</author>
  </authors>
  <commentList>
    <comment ref="R13" authorId="0" shapeId="0" xr:uid="{00000000-0006-0000-0100-000001000000}">
      <text>
        <r>
          <rPr>
            <b/>
            <sz val="9"/>
            <color rgb="FF000000"/>
            <rFont val="Verdana"/>
            <family val="2"/>
          </rPr>
          <t>Keith Putirka:</t>
        </r>
        <r>
          <rPr>
            <sz val="9"/>
            <color rgb="FF000000"/>
            <rFont val="Verdana"/>
            <family val="2"/>
          </rPr>
          <t xml:space="preserve">
</t>
        </r>
        <r>
          <rPr>
            <sz val="9"/>
            <color rgb="FF000000"/>
            <rFont val="Verdana"/>
            <family val="2"/>
          </rPr>
          <t>This is a model (published in an abstract in GSA, 2014) that calculates water concentrations when liquids are water saturated.</t>
        </r>
      </text>
    </comment>
  </commentList>
</comments>
</file>

<file path=xl/sharedStrings.xml><?xml version="1.0" encoding="utf-8"?>
<sst xmlns="http://schemas.openxmlformats.org/spreadsheetml/2006/main" count="409" uniqueCount="267">
  <si>
    <t>a</t>
  </si>
  <si>
    <t>SiO2</t>
  </si>
  <si>
    <t>Observed Cpx Components</t>
  </si>
  <si>
    <t>Predicted Cpx Components (Putirka, 1999)</t>
  </si>
  <si>
    <t>H2O</t>
  </si>
  <si>
    <t>Eqn 32a</t>
  </si>
  <si>
    <t>Cation</t>
  </si>
  <si>
    <t>Na</t>
  </si>
  <si>
    <t>Cr</t>
  </si>
  <si>
    <t>Ca</t>
  </si>
  <si>
    <t>Mg</t>
  </si>
  <si>
    <t>Mn</t>
  </si>
  <si>
    <t>Fe</t>
  </si>
  <si>
    <t>Ti</t>
  </si>
  <si>
    <t>Si</t>
  </si>
  <si>
    <t>Clinopyroxene components</t>
  </si>
  <si>
    <t>Component</t>
  </si>
  <si>
    <t xml:space="preserve">T(K ) </t>
  </si>
  <si>
    <t xml:space="preserve">P(kbar) </t>
  </si>
  <si>
    <t>Experiment/Sample</t>
  </si>
  <si>
    <t>Clinopyroxene thermobarometers</t>
  </si>
  <si>
    <t>Author (year)</t>
  </si>
  <si>
    <t>P(kbar)</t>
  </si>
  <si>
    <t>T (C)</t>
  </si>
  <si>
    <t>Al(IV)</t>
  </si>
  <si>
    <t>AL(VI)</t>
  </si>
  <si>
    <t>Al (total)</t>
  </si>
  <si>
    <t>Fe3+</t>
  </si>
  <si>
    <t>Jd</t>
  </si>
  <si>
    <t>CaTs</t>
  </si>
  <si>
    <t>CaTi</t>
  </si>
  <si>
    <t>CrCaTs</t>
  </si>
  <si>
    <t>DiHd (1996)</t>
  </si>
  <si>
    <t>EnFs</t>
  </si>
  <si>
    <t>DiHd (2003)</t>
  </si>
  <si>
    <t>lnK(Jd-liq)</t>
  </si>
  <si>
    <t>lnK(Jd-DiHd)</t>
  </si>
  <si>
    <t>Putirka et al (2003)</t>
  </si>
  <si>
    <t>Fe(M1)*Mg(M2)/Fe(M2)Mg(M1)</t>
  </si>
  <si>
    <t>d</t>
  </si>
  <si>
    <t>Abs</t>
  </si>
  <si>
    <t>Eqn 32b</t>
  </si>
  <si>
    <t>Nimis (1999)</t>
  </si>
  <si>
    <t>Cation Proportions</t>
  </si>
  <si>
    <t>Cation Fractions</t>
  </si>
  <si>
    <t>Mole Proportions</t>
  </si>
  <si>
    <t>Numers of oxygens</t>
  </si>
  <si>
    <t>Ca(M2)</t>
  </si>
  <si>
    <t>Gray field = input</t>
  </si>
  <si>
    <t>Blue field = output</t>
  </si>
  <si>
    <t>Experimental Compositions given  as examples</t>
  </si>
  <si>
    <t>Leave Blank</t>
  </si>
  <si>
    <t>Enter Cpx Composition Here</t>
  </si>
  <si>
    <t>DiHd</t>
  </si>
  <si>
    <t>Equations</t>
  </si>
  <si>
    <t>Oxy</t>
  </si>
  <si>
    <t>Sum</t>
  </si>
  <si>
    <t>ORF</t>
  </si>
  <si>
    <t>Oxy renorm  factor</t>
  </si>
  <si>
    <t>Fe3+ from charge balance</t>
  </si>
  <si>
    <t>Putirka (2008) RiMG MODELS</t>
  </si>
  <si>
    <t>Putirka (2008) RiMG</t>
  </si>
  <si>
    <t>Nimis &amp; Ulmer (1999)</t>
  </si>
  <si>
    <t>Enter Liquid Composition Here (Glass orr Whole Rock, etc.)</t>
  </si>
  <si>
    <t>XHD</t>
  </si>
  <si>
    <t>XEN</t>
  </si>
  <si>
    <t>XFS</t>
  </si>
  <si>
    <t>XAC+ XJD</t>
  </si>
  <si>
    <t>V1</t>
  </si>
  <si>
    <t>V2</t>
  </si>
  <si>
    <t>V3</t>
  </si>
  <si>
    <t>V4</t>
  </si>
  <si>
    <t>Zc</t>
  </si>
  <si>
    <t>V(Cell, P,T)</t>
  </si>
  <si>
    <t>P(TH)</t>
  </si>
  <si>
    <t>P(MA)</t>
  </si>
  <si>
    <t>aCpx-En</t>
  </si>
  <si>
    <t>dT</t>
  </si>
  <si>
    <t>I=1</t>
  </si>
  <si>
    <t>DM1-O</t>
  </si>
  <si>
    <t>Calcualted using normative scheme from Putirka et al. (1996)</t>
  </si>
  <si>
    <t>Na(M2)</t>
  </si>
  <si>
    <t>v(cell)</t>
  </si>
  <si>
    <t>V(M1)</t>
  </si>
  <si>
    <t>M1 charge</t>
  </si>
  <si>
    <t>alpha</t>
  </si>
  <si>
    <t>K</t>
  </si>
  <si>
    <t>dV(TM1)</t>
  </si>
  <si>
    <t>Total alkalis</t>
  </si>
  <si>
    <t>Alk boundary</t>
  </si>
  <si>
    <t>Vcell</t>
  </si>
  <si>
    <t>VM1</t>
  </si>
  <si>
    <t>P(BA)</t>
  </si>
  <si>
    <t>XFE</t>
  </si>
  <si>
    <t>XMG</t>
  </si>
  <si>
    <t>XAC</t>
  </si>
  <si>
    <t>XdNA</t>
  </si>
  <si>
    <t>XdFET= XES</t>
  </si>
  <si>
    <t>XJD</t>
  </si>
  <si>
    <t>XddNA</t>
  </si>
  <si>
    <t>XdALO</t>
  </si>
  <si>
    <t>XCATS</t>
  </si>
  <si>
    <t>XCC</t>
  </si>
  <si>
    <t>XDI</t>
  </si>
  <si>
    <t>Meas</t>
  </si>
  <si>
    <t>Nimis (1995)</t>
  </si>
  <si>
    <t>M1-M2</t>
  </si>
  <si>
    <t>solv quad</t>
  </si>
  <si>
    <t>Mean</t>
  </si>
  <si>
    <t>thol</t>
  </si>
  <si>
    <t>Mildly Alk</t>
  </si>
  <si>
    <t>Irvine and Baragar</t>
  </si>
  <si>
    <t>TH</t>
  </si>
  <si>
    <t>MA</t>
  </si>
  <si>
    <t>P(TH) or</t>
  </si>
  <si>
    <t>Nimis &amp; Taylor 2000</t>
  </si>
  <si>
    <t>See Chart: Test for Equilibrium</t>
  </si>
  <si>
    <t>b</t>
  </si>
  <si>
    <t>c</t>
  </si>
  <si>
    <t>Liquid compositons</t>
  </si>
  <si>
    <t>Cpx compositons</t>
  </si>
  <si>
    <t>Putirka et al (1996)</t>
  </si>
  <si>
    <t>TiO2</t>
  </si>
  <si>
    <t>Al2O3</t>
  </si>
  <si>
    <t>FeO</t>
  </si>
  <si>
    <t>MnO</t>
  </si>
  <si>
    <t>MgO</t>
  </si>
  <si>
    <t>CaO</t>
  </si>
  <si>
    <t>Na2O</t>
  </si>
  <si>
    <t>K2O</t>
  </si>
  <si>
    <t>Cr2O3</t>
  </si>
  <si>
    <t>P2O5</t>
  </si>
  <si>
    <r>
      <t>K</t>
    </r>
    <r>
      <rPr>
        <vertAlign val="subscript"/>
        <sz val="10"/>
        <rFont val="Verdana"/>
        <family val="2"/>
      </rPr>
      <t>D</t>
    </r>
    <r>
      <rPr>
        <sz val="10"/>
        <rFont val="Verdana"/>
        <family val="2"/>
      </rPr>
      <t>(Fe-Mg)</t>
    </r>
    <phoneticPr fontId="3"/>
  </si>
  <si>
    <t>One-to-one line</t>
  </si>
  <si>
    <t>Cations on the basis of 6 oxygens</t>
  </si>
  <si>
    <t>Lindley</t>
  </si>
  <si>
    <t>Droop</t>
  </si>
  <si>
    <t>Eqn T1</t>
  </si>
  <si>
    <t>Eqn T2</t>
  </si>
  <si>
    <t>Eqn P1</t>
  </si>
  <si>
    <t>Eqn 30</t>
  </si>
  <si>
    <t>Eqn 31</t>
  </si>
  <si>
    <t>Eqn 33</t>
  </si>
  <si>
    <t>Eqn 34</t>
  </si>
  <si>
    <t xml:space="preserve">Error on </t>
  </si>
  <si>
    <t>New Nimis-form (global</t>
  </si>
  <si>
    <t>Eqn. 32d</t>
  </si>
  <si>
    <t>Eqn 35</t>
  </si>
  <si>
    <t>Liquid (Glass) Composition - in Weight Percent</t>
  </si>
  <si>
    <t>FeOt</t>
  </si>
  <si>
    <t>Eqn. 32c</t>
    <phoneticPr fontId="3"/>
  </si>
  <si>
    <t>Eqn. 32c</t>
    <phoneticPr fontId="3"/>
  </si>
  <si>
    <t>P(kbar)</t>
    <phoneticPr fontId="3"/>
  </si>
  <si>
    <t>Clinopyroxene Compositions - in Weight Percent</t>
  </si>
  <si>
    <t>Molecular weights</t>
  </si>
  <si>
    <t>AlO3/2</t>
  </si>
  <si>
    <t>NaO0.5</t>
  </si>
  <si>
    <t>KO0.5</t>
  </si>
  <si>
    <t>CrO3/2</t>
  </si>
  <si>
    <t>PO5/2</t>
  </si>
  <si>
    <t>total</t>
  </si>
  <si>
    <t>Mg# liq</t>
  </si>
  <si>
    <t>T(K) P-ind</t>
  </si>
  <si>
    <t>T(C ) P-ind</t>
  </si>
  <si>
    <t>T(K) P-dep</t>
  </si>
  <si>
    <t>T(C ) P-dep</t>
  </si>
  <si>
    <t>T(K)</t>
  </si>
  <si>
    <t>T(C )</t>
  </si>
  <si>
    <t>T(K) Meas/10^4</t>
  </si>
  <si>
    <t>a(cpx-En)</t>
  </si>
  <si>
    <t>KD(Fe-Mg)</t>
  </si>
  <si>
    <t>CNM</t>
  </si>
  <si>
    <t>R3+</t>
  </si>
  <si>
    <t>M1 Fe+Mg</t>
  </si>
  <si>
    <t>M2 Fe+Mg</t>
  </si>
  <si>
    <t>Fe2+ total</t>
  </si>
  <si>
    <t>a=KD-1</t>
  </si>
  <si>
    <t>x</t>
  </si>
  <si>
    <t>Fe(M2)</t>
  </si>
  <si>
    <t>Fe(M1)</t>
  </si>
  <si>
    <t>Mg(M2)</t>
  </si>
  <si>
    <t>Mg(M1)</t>
  </si>
  <si>
    <t>Be sure that in Excel Preferences, Calculations are "Iterative"</t>
  </si>
  <si>
    <t>Barometers (and thermometer) based on Cpx compositions only</t>
  </si>
  <si>
    <t>Results for 2003 models</t>
  </si>
  <si>
    <t>There is no intrinsic problem with mixing models. So for example, one can change the cell addresses</t>
  </si>
  <si>
    <t>so that the barometer in AP uses T(K) from AR, instead of AO</t>
  </si>
  <si>
    <t>The Default is that the 1996 and 2003 models are paired with one another for iterative P-T calculations</t>
  </si>
  <si>
    <t>The models may agree within error; if not, then the 1996 models are preferred for</t>
  </si>
  <si>
    <t>basalts, including those with high alkalis; the 2003 models are better for SiO2-rich systems</t>
  </si>
  <si>
    <t>By Default, these equations (columns AV-BB) use P-T output from Columns AF &amp; AG</t>
  </si>
  <si>
    <t>Tests for Equilibrium, based on Putirka (1999) models: Compare columns AV-BA to BD-BI</t>
  </si>
  <si>
    <t>Additional Output: Calcualted Values for T and P</t>
  </si>
  <si>
    <t>Model P-T Output Using the 1996 and 2003 Calibrations</t>
  </si>
  <si>
    <t>Results for 1996  models</t>
  </si>
  <si>
    <t>Columns AF and AG are used for the Equilibirum tests of columns AV-BB</t>
  </si>
  <si>
    <t>T(K) Eqn. 33</t>
  </si>
  <si>
    <t>T(K) Eqn. 33 w/2003 bar</t>
  </si>
  <si>
    <t>Use Eqn. 33 with new barometer</t>
  </si>
  <si>
    <t>For Hydrous Systems</t>
  </si>
  <si>
    <t>Anhydrous Systems</t>
  </si>
  <si>
    <t>Sisson, T.W., Grove, T.L. (1993)</t>
  </si>
  <si>
    <t>79-35g#12</t>
  </si>
  <si>
    <t>82-62#3</t>
  </si>
  <si>
    <t>82-66#7</t>
  </si>
  <si>
    <t>82-66+NaOH#1</t>
  </si>
  <si>
    <t>7935g-#16</t>
  </si>
  <si>
    <t>Results for new hydrous therm</t>
  </si>
  <si>
    <t>DiHd error</t>
  </si>
  <si>
    <t>NEW</t>
  </si>
  <si>
    <t>Saturation</t>
  </si>
  <si>
    <t>1) INPUT required in GRAY columns (F-Q, and T - AC)</t>
  </si>
  <si>
    <t>2) OUTPUTS are in BLUE columns (AE - CK)</t>
  </si>
  <si>
    <t xml:space="preserve">Reported P-T </t>
  </si>
  <si>
    <t>Use Eqn. 34 with 1996 barometer</t>
  </si>
  <si>
    <t>P(kbar) 1996 P1</t>
  </si>
  <si>
    <t>Use Eqn. 33 with 1996 barometer</t>
  </si>
  <si>
    <t>TC( )</t>
  </si>
  <si>
    <t>T(K) Eqn. 34 (liq only)</t>
  </si>
  <si>
    <t>Putirka (1999)</t>
  </si>
  <si>
    <t>Cpx Sat T(C )</t>
  </si>
  <si>
    <t>Model P-T Output for Neave and Putirka (2017)</t>
  </si>
  <si>
    <t>P(kbar) N&amp;P 2017</t>
  </si>
  <si>
    <t>T(C ) Eqn. 33</t>
  </si>
  <si>
    <t>Putirka 2008</t>
  </si>
  <si>
    <t>Select Value for KD(Fe-Mg)ol-liq</t>
  </si>
  <si>
    <t>Select Value for error bounds</t>
  </si>
  <si>
    <t>Equilibrium minus 1 sigma</t>
  </si>
  <si>
    <t>Equilibrium plus 1 sigma</t>
  </si>
  <si>
    <t>100 X</t>
  </si>
  <si>
    <t>Mg/Fe-ol</t>
  </si>
  <si>
    <t>Mg/Fe-liq</t>
  </si>
  <si>
    <t>Mg#liq - 0.3</t>
  </si>
  <si>
    <t>Mg#ol - 0.3</t>
  </si>
  <si>
    <t>The Rhodes Diagram - Test for Fe-Mg echange, Cpx-liq Equilibrium</t>
  </si>
  <si>
    <t>Mg# Cpx</t>
  </si>
  <si>
    <t>Mg# Liq</t>
  </si>
  <si>
    <t>DiHd (old)</t>
  </si>
  <si>
    <t>Triangular Plot</t>
  </si>
  <si>
    <t>y</t>
  </si>
  <si>
    <t>Fs</t>
  </si>
  <si>
    <t>En</t>
  </si>
  <si>
    <t>Wo</t>
  </si>
  <si>
    <r>
      <t>Coefficient for Fe2+/(Fe</t>
    </r>
    <r>
      <rPr>
        <b/>
        <vertAlign val="superscript"/>
        <sz val="10"/>
        <rFont val="Verdana"/>
        <family val="2"/>
      </rPr>
      <t>2+</t>
    </r>
    <r>
      <rPr>
        <b/>
        <sz val="10"/>
        <rFont val="Verdana"/>
        <family val="2"/>
      </rPr>
      <t xml:space="preserve"> + Fe</t>
    </r>
    <r>
      <rPr>
        <b/>
        <vertAlign val="superscript"/>
        <sz val="10"/>
        <rFont val="Verdana"/>
        <family val="2"/>
      </rPr>
      <t>3+</t>
    </r>
    <r>
      <rPr>
        <b/>
        <sz val="10"/>
        <rFont val="Verdana"/>
        <family val="2"/>
      </rPr>
      <t>)</t>
    </r>
  </si>
  <si>
    <t>SiO2_Liq</t>
  </si>
  <si>
    <t>TiO2_Liq</t>
  </si>
  <si>
    <t>Al2O3_Liq</t>
  </si>
  <si>
    <t>FeOt_Liq</t>
  </si>
  <si>
    <t>MnO_Liq</t>
  </si>
  <si>
    <t>MgO_Liq</t>
  </si>
  <si>
    <t>CaO_Liq</t>
  </si>
  <si>
    <t>Na2O_Liq</t>
  </si>
  <si>
    <t>K2O_Liq</t>
  </si>
  <si>
    <t>Cr2O3_Liq</t>
  </si>
  <si>
    <t>P2O5_Liq</t>
  </si>
  <si>
    <t>H2O_Liq</t>
  </si>
  <si>
    <t>SiO2_Cpx</t>
  </si>
  <si>
    <t>TiO2_Cpx</t>
  </si>
  <si>
    <t>Al2O3_Cpx</t>
  </si>
  <si>
    <t>FeOt_Cpx</t>
  </si>
  <si>
    <t>MnO_Cpx</t>
  </si>
  <si>
    <t>MgO_Cpx</t>
  </si>
  <si>
    <t>CaO_Cpx</t>
  </si>
  <si>
    <t>Na2O_Cpx</t>
  </si>
  <si>
    <t>K2O_Cpx</t>
  </si>
  <si>
    <t>Cr2O3_Cpx</t>
  </si>
  <si>
    <t>Spreadsheet_Calc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</si>
</sst>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27">
    <font>
      <sz val="10"/>
      <name val="Verdana"/>
    </font>
    <font>
      <b/>
      <sz val="10"/>
      <name val="Verdana"/>
      <family val="2"/>
    </font>
    <font>
      <sz val="10"/>
      <name val="Verdana"/>
      <family val="2"/>
    </font>
    <font>
      <sz val="8"/>
      <name val="Verdana"/>
      <family val="2"/>
    </font>
    <font>
      <b/>
      <sz val="18"/>
      <color indexed="8"/>
      <name val="Verdana"/>
      <family val="2"/>
    </font>
    <font>
      <sz val="10"/>
      <color indexed="8"/>
      <name val="Verdana"/>
      <family val="2"/>
    </font>
    <font>
      <sz val="18"/>
      <color indexed="8"/>
      <name val="Verdana"/>
      <family val="2"/>
    </font>
    <font>
      <sz val="14"/>
      <color indexed="8"/>
      <name val="Verdana"/>
      <family val="2"/>
    </font>
    <font>
      <sz val="11"/>
      <color indexed="8"/>
      <name val="Verdana"/>
      <family val="2"/>
    </font>
    <font>
      <b/>
      <sz val="11"/>
      <color indexed="8"/>
      <name val="Verdana"/>
      <family val="2"/>
    </font>
    <font>
      <sz val="10"/>
      <name val="Verdana"/>
      <family val="2"/>
    </font>
    <font>
      <b/>
      <sz val="12"/>
      <name val="Verdana"/>
      <family val="2"/>
    </font>
    <font>
      <vertAlign val="subscript"/>
      <sz val="10"/>
      <name val="Verdana"/>
      <family val="2"/>
    </font>
    <font>
      <b/>
      <sz val="14"/>
      <name val="Verdana"/>
      <family val="2"/>
    </font>
    <font>
      <sz val="12"/>
      <name val="Verdana"/>
      <family val="2"/>
    </font>
    <font>
      <sz val="10"/>
      <name val="Arial"/>
      <family val="2"/>
    </font>
    <font>
      <b/>
      <sz val="12"/>
      <color indexed="8"/>
      <name val="Verdana"/>
      <family val="2"/>
    </font>
    <font>
      <u/>
      <sz val="10"/>
      <color theme="10"/>
      <name val="Verdana"/>
      <family val="2"/>
    </font>
    <font>
      <u/>
      <sz val="10"/>
      <color theme="11"/>
      <name val="Verdana"/>
      <family val="2"/>
    </font>
    <font>
      <b/>
      <sz val="18"/>
      <name val="Geneva"/>
      <family val="2"/>
    </font>
    <font>
      <sz val="14"/>
      <name val="Verdana"/>
      <family val="2"/>
    </font>
    <font>
      <b/>
      <sz val="12"/>
      <color rgb="FFFF0000"/>
      <name val="Verdana"/>
      <family val="2"/>
    </font>
    <font>
      <b/>
      <sz val="14"/>
      <color rgb="FFFF0000"/>
      <name val="Verdana"/>
      <family val="2"/>
    </font>
    <font>
      <sz val="16"/>
      <name val="Verdana"/>
      <family val="2"/>
    </font>
    <font>
      <b/>
      <sz val="9"/>
      <color rgb="FF000000"/>
      <name val="Verdana"/>
      <family val="2"/>
    </font>
    <font>
      <sz val="9"/>
      <color rgb="FF000000"/>
      <name val="Verdana"/>
      <family val="2"/>
    </font>
    <font>
      <b/>
      <vertAlign val="superscript"/>
      <sz val="10"/>
      <name val="Verdana"/>
      <family val="2"/>
    </font>
  </fonts>
  <fills count="9">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17">
    <border>
      <left/>
      <right/>
      <top/>
      <bottom/>
      <diagonal/>
    </border>
    <border>
      <left/>
      <right/>
      <top style="medium">
        <color auto="1"/>
      </top>
      <bottom/>
      <diagonal/>
    </border>
    <border>
      <left/>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45">
    <xf numFmtId="0" fontId="0" fillId="0" borderId="0"/>
    <xf numFmtId="0" fontId="14" fillId="0" borderId="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44">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2" fontId="2" fillId="0" borderId="0" xfId="0" applyNumberFormat="1" applyFont="1"/>
    <xf numFmtId="0" fontId="2" fillId="0" borderId="1" xfId="0" applyFont="1" applyBorder="1" applyAlignment="1">
      <alignment horizontal="center"/>
    </xf>
    <xf numFmtId="165" fontId="2" fillId="0" borderId="0" xfId="0" applyNumberFormat="1" applyFont="1"/>
    <xf numFmtId="165" fontId="2" fillId="0" borderId="0" xfId="0" applyNumberFormat="1" applyFont="1" applyAlignment="1">
      <alignment wrapText="1"/>
    </xf>
    <xf numFmtId="0" fontId="2" fillId="0" borderId="0" xfId="0" applyFont="1" applyAlignment="1">
      <alignment wrapText="1"/>
    </xf>
    <xf numFmtId="0" fontId="2" fillId="0" borderId="0" xfId="0" applyFont="1" applyAlignment="1">
      <alignment textRotation="90" wrapText="1"/>
    </xf>
    <xf numFmtId="11" fontId="2" fillId="0" borderId="0" xfId="0" applyNumberFormat="1" applyFont="1" applyAlignment="1">
      <alignment horizontal="center"/>
    </xf>
    <xf numFmtId="165" fontId="2" fillId="0" borderId="0" xfId="0" applyNumberFormat="1" applyFont="1" applyAlignment="1">
      <alignment horizontal="center" wrapText="1"/>
    </xf>
    <xf numFmtId="165" fontId="2" fillId="0" borderId="2" xfId="0" applyNumberFormat="1" applyFont="1" applyBorder="1" applyAlignment="1">
      <alignment horizontal="center" wrapText="1"/>
    </xf>
    <xf numFmtId="1" fontId="2" fillId="0" borderId="0" xfId="0" applyNumberFormat="1" applyFont="1" applyAlignment="1">
      <alignment horizontal="center" wrapText="1"/>
    </xf>
    <xf numFmtId="2" fontId="2" fillId="0" borderId="0" xfId="0" applyNumberFormat="1" applyFont="1" applyAlignment="1">
      <alignment horizontal="center"/>
    </xf>
    <xf numFmtId="11" fontId="2" fillId="0" borderId="0" xfId="0" applyNumberFormat="1" applyFont="1"/>
    <xf numFmtId="1" fontId="2" fillId="0" borderId="0" xfId="0" applyNumberFormat="1" applyFont="1"/>
    <xf numFmtId="0" fontId="5" fillId="0" borderId="0" xfId="0" applyFont="1" applyAlignment="1">
      <alignment horizontal="center"/>
    </xf>
    <xf numFmtId="0" fontId="8" fillId="0" borderId="3" xfId="0" applyFont="1" applyBorder="1" applyAlignment="1">
      <alignment horizontal="center"/>
    </xf>
    <xf numFmtId="0" fontId="8" fillId="0" borderId="0" xfId="0" applyFont="1" applyAlignment="1">
      <alignment horizontal="center"/>
    </xf>
    <xf numFmtId="0" fontId="9" fillId="2" borderId="0" xfId="0" applyFont="1" applyFill="1" applyAlignment="1">
      <alignment horizontal="left"/>
    </xf>
    <xf numFmtId="0" fontId="9" fillId="2" borderId="4" xfId="0" applyFont="1" applyFill="1" applyBorder="1" applyAlignment="1">
      <alignment horizontal="center"/>
    </xf>
    <xf numFmtId="0" fontId="0" fillId="0" borderId="0" xfId="0" applyAlignment="1">
      <alignment horizontal="center"/>
    </xf>
    <xf numFmtId="0" fontId="0" fillId="0" borderId="4" xfId="0" applyBorder="1" applyAlignment="1">
      <alignment horizontal="center"/>
    </xf>
    <xf numFmtId="0" fontId="8" fillId="0" borderId="5" xfId="0" applyFont="1" applyBorder="1" applyAlignment="1">
      <alignment horizontal="center"/>
    </xf>
    <xf numFmtId="0" fontId="10" fillId="0" borderId="0" xfId="0" applyFont="1" applyAlignment="1">
      <alignment horizontal="center"/>
    </xf>
    <xf numFmtId="0" fontId="2" fillId="3" borderId="0" xfId="0" applyFont="1" applyFill="1" applyAlignment="1">
      <alignment horizontal="left"/>
    </xf>
    <xf numFmtId="0" fontId="0" fillId="3" borderId="0" xfId="0" applyFill="1"/>
    <xf numFmtId="0" fontId="2" fillId="3" borderId="0" xfId="0" applyFont="1" applyFill="1"/>
    <xf numFmtId="0" fontId="2" fillId="3" borderId="1"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xf numFmtId="0" fontId="0" fillId="3" borderId="1" xfId="0" applyFill="1" applyBorder="1"/>
    <xf numFmtId="0" fontId="2" fillId="3" borderId="2" xfId="0" applyFont="1" applyFill="1" applyBorder="1" applyAlignment="1">
      <alignment horizontal="center"/>
    </xf>
    <xf numFmtId="0" fontId="2" fillId="3" borderId="2" xfId="0" applyFont="1" applyFill="1" applyBorder="1"/>
    <xf numFmtId="165" fontId="2" fillId="3" borderId="2" xfId="0" applyNumberFormat="1" applyFont="1" applyFill="1" applyBorder="1" applyAlignment="1">
      <alignment horizontal="center" wrapText="1"/>
    </xf>
    <xf numFmtId="166" fontId="2" fillId="3" borderId="0" xfId="0" applyNumberFormat="1" applyFont="1" applyFill="1" applyAlignment="1">
      <alignment horizontal="center"/>
    </xf>
    <xf numFmtId="0" fontId="2" fillId="0" borderId="6" xfId="0" applyFont="1" applyBorder="1" applyAlignment="1">
      <alignment horizontal="left"/>
    </xf>
    <xf numFmtId="0" fontId="2" fillId="0" borderId="7" xfId="0" applyFont="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0" fillId="0" borderId="9" xfId="0" applyBorder="1" applyAlignment="1">
      <alignment horizontal="center"/>
    </xf>
    <xf numFmtId="0" fontId="2" fillId="0" borderId="5" xfId="0" applyFont="1" applyBorder="1"/>
    <xf numFmtId="0" fontId="2" fillId="0" borderId="4" xfId="0" applyFont="1" applyBorder="1" applyAlignment="1">
      <alignment horizontal="center"/>
    </xf>
    <xf numFmtId="0" fontId="0" fillId="0" borderId="3" xfId="0" applyBorder="1" applyAlignment="1">
      <alignment horizontal="center"/>
    </xf>
    <xf numFmtId="0" fontId="0" fillId="0" borderId="1" xfId="0" applyBorder="1"/>
    <xf numFmtId="0" fontId="2" fillId="0" borderId="2" xfId="0" applyFont="1" applyBorder="1"/>
    <xf numFmtId="166" fontId="2" fillId="0" borderId="0" xfId="0" applyNumberFormat="1" applyFont="1" applyAlignment="1">
      <alignment horizontal="center"/>
    </xf>
    <xf numFmtId="165" fontId="2" fillId="3" borderId="0" xfId="0" applyNumberFormat="1" applyFont="1" applyFill="1" applyAlignment="1">
      <alignment horizontal="center"/>
    </xf>
    <xf numFmtId="0" fontId="2" fillId="0" borderId="6" xfId="0" applyFont="1" applyBorder="1"/>
    <xf numFmtId="0" fontId="2" fillId="0" borderId="8" xfId="0" applyFont="1" applyBorder="1"/>
    <xf numFmtId="0" fontId="2" fillId="0" borderId="7" xfId="0" applyFont="1" applyBorder="1"/>
    <xf numFmtId="0" fontId="2" fillId="0" borderId="10" xfId="0" applyFont="1" applyBorder="1"/>
    <xf numFmtId="0" fontId="2" fillId="0" borderId="9" xfId="0" applyFont="1" applyBorder="1"/>
    <xf numFmtId="0" fontId="2" fillId="0" borderId="4" xfId="0" applyFont="1" applyBorder="1"/>
    <xf numFmtId="0" fontId="2" fillId="0" borderId="3" xfId="0" applyFont="1" applyBorder="1"/>
    <xf numFmtId="0" fontId="0" fillId="0" borderId="8" xfId="0" applyBorder="1"/>
    <xf numFmtId="0" fontId="1" fillId="0" borderId="5" xfId="0" applyFont="1" applyBorder="1"/>
    <xf numFmtId="0" fontId="1" fillId="0" borderId="4" xfId="0" applyFont="1" applyBorder="1"/>
    <xf numFmtId="164" fontId="2" fillId="0" borderId="11" xfId="0" applyNumberFormat="1" applyFont="1" applyBorder="1"/>
    <xf numFmtId="166" fontId="2" fillId="0" borderId="0" xfId="0" applyNumberFormat="1" applyFont="1"/>
    <xf numFmtId="0" fontId="2" fillId="0" borderId="0" xfId="0" applyFont="1" applyAlignment="1">
      <alignment horizontal="left"/>
    </xf>
    <xf numFmtId="2" fontId="2" fillId="3" borderId="0" xfId="0" applyNumberFormat="1" applyFont="1" applyFill="1" applyAlignment="1">
      <alignment horizontal="center"/>
    </xf>
    <xf numFmtId="0" fontId="2" fillId="3" borderId="1" xfId="0" applyFont="1" applyFill="1" applyBorder="1" applyAlignment="1">
      <alignment horizontal="left"/>
    </xf>
    <xf numFmtId="0" fontId="2" fillId="0" borderId="10"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4" xfId="0" applyBorder="1" applyAlignment="1">
      <alignment horizontal="left"/>
    </xf>
    <xf numFmtId="0" fontId="11" fillId="0" borderId="0" xfId="0" applyFont="1" applyAlignment="1">
      <alignment horizontal="left"/>
    </xf>
    <xf numFmtId="0" fontId="11" fillId="0" borderId="2" xfId="0" applyFont="1" applyBorder="1" applyAlignment="1">
      <alignment horizontal="left"/>
    </xf>
    <xf numFmtId="0" fontId="0" fillId="0" borderId="2" xfId="0" applyBorder="1" applyAlignment="1">
      <alignment horizontal="center"/>
    </xf>
    <xf numFmtId="0" fontId="0" fillId="0" borderId="6" xfId="0" applyBorder="1" applyAlignment="1">
      <alignment horizontal="center"/>
    </xf>
    <xf numFmtId="0" fontId="1" fillId="0" borderId="8" xfId="0" applyFont="1" applyBorder="1" applyAlignment="1">
      <alignment horizontal="center"/>
    </xf>
    <xf numFmtId="0" fontId="0" fillId="0" borderId="7" xfId="0" applyBorder="1" applyAlignment="1">
      <alignment horizontal="center"/>
    </xf>
    <xf numFmtId="0" fontId="0" fillId="0" borderId="10" xfId="0" applyBorder="1" applyAlignment="1">
      <alignment horizontal="left"/>
    </xf>
    <xf numFmtId="0" fontId="0" fillId="0" borderId="6" xfId="0" applyBorder="1" applyAlignment="1">
      <alignment horizontal="left"/>
    </xf>
    <xf numFmtId="0" fontId="0" fillId="0" borderId="8" xfId="0" applyBorder="1" applyAlignment="1">
      <alignment horizontal="center"/>
    </xf>
    <xf numFmtId="0" fontId="8" fillId="4" borderId="4" xfId="0" applyFont="1" applyFill="1" applyBorder="1" applyAlignment="1">
      <alignment horizontal="center"/>
    </xf>
    <xf numFmtId="0" fontId="8" fillId="4" borderId="0" xfId="0" applyFont="1" applyFill="1" applyAlignment="1">
      <alignment horizontal="center"/>
    </xf>
    <xf numFmtId="166" fontId="10" fillId="4" borderId="0" xfId="0" applyNumberFormat="1" applyFont="1" applyFill="1" applyAlignment="1">
      <alignment horizontal="center"/>
    </xf>
    <xf numFmtId="0" fontId="10" fillId="0" borderId="4" xfId="0" applyFont="1" applyBorder="1" applyAlignment="1">
      <alignment horizontal="center"/>
    </xf>
    <xf numFmtId="0" fontId="1" fillId="0" borderId="0" xfId="0" applyFont="1" applyAlignment="1">
      <alignment horizontal="left"/>
    </xf>
    <xf numFmtId="0" fontId="10" fillId="0" borderId="9" xfId="0" applyFont="1" applyBorder="1" applyAlignment="1">
      <alignment horizontal="center"/>
    </xf>
    <xf numFmtId="0" fontId="11" fillId="0" borderId="6" xfId="0" applyFont="1" applyBorder="1" applyAlignment="1">
      <alignment horizontal="left"/>
    </xf>
    <xf numFmtId="0" fontId="0" fillId="4" borderId="2" xfId="0" applyFill="1" applyBorder="1" applyAlignment="1">
      <alignment horizontal="left"/>
    </xf>
    <xf numFmtId="0" fontId="2" fillId="4" borderId="2" xfId="0" applyFont="1" applyFill="1" applyBorder="1" applyAlignment="1">
      <alignment horizontal="center"/>
    </xf>
    <xf numFmtId="0" fontId="10" fillId="0" borderId="3" xfId="0" applyFont="1" applyBorder="1" applyAlignment="1">
      <alignment horizontal="center"/>
    </xf>
    <xf numFmtId="0" fontId="1" fillId="0" borderId="5" xfId="0" applyFont="1" applyBorder="1" applyAlignment="1">
      <alignment horizontal="left"/>
    </xf>
    <xf numFmtId="0" fontId="2" fillId="4" borderId="0" xfId="0" applyFont="1" applyFill="1" applyAlignment="1">
      <alignment horizontal="center"/>
    </xf>
    <xf numFmtId="0" fontId="13" fillId="0" borderId="0" xfId="0" applyFont="1" applyAlignment="1">
      <alignment horizontal="left"/>
    </xf>
    <xf numFmtId="0" fontId="1" fillId="0" borderId="1" xfId="0" applyFont="1" applyBorder="1" applyAlignment="1">
      <alignment horizontal="left"/>
    </xf>
    <xf numFmtId="0" fontId="2" fillId="0" borderId="1" xfId="0" applyFont="1" applyBorder="1"/>
    <xf numFmtId="0" fontId="10" fillId="0" borderId="1" xfId="0" applyFont="1" applyBorder="1" applyAlignment="1">
      <alignment horizontal="center"/>
    </xf>
    <xf numFmtId="0" fontId="0" fillId="4" borderId="12" xfId="0" applyFill="1" applyBorder="1" applyAlignment="1">
      <alignment horizontal="left"/>
    </xf>
    <xf numFmtId="0" fontId="2" fillId="4" borderId="12" xfId="0" applyFont="1" applyFill="1" applyBorder="1" applyAlignment="1">
      <alignment horizontal="center"/>
    </xf>
    <xf numFmtId="0" fontId="2" fillId="4" borderId="1" xfId="0" applyFont="1" applyFill="1" applyBorder="1" applyAlignment="1">
      <alignment horizontal="center"/>
    </xf>
    <xf numFmtId="0" fontId="0" fillId="5" borderId="2" xfId="0" applyFill="1" applyBorder="1" applyAlignment="1">
      <alignment horizontal="left"/>
    </xf>
    <xf numFmtId="166" fontId="10" fillId="5" borderId="0" xfId="0" applyNumberFormat="1" applyFont="1" applyFill="1" applyAlignment="1">
      <alignment horizontal="center"/>
    </xf>
    <xf numFmtId="166" fontId="0" fillId="0" borderId="0" xfId="0" applyNumberFormat="1" applyAlignment="1">
      <alignment horizontal="center"/>
    </xf>
    <xf numFmtId="0" fontId="0" fillId="3" borderId="0" xfId="0" applyFill="1" applyAlignment="1">
      <alignment horizontal="center"/>
    </xf>
    <xf numFmtId="2" fontId="0" fillId="0" borderId="0" xfId="0" applyNumberFormat="1" applyAlignment="1">
      <alignment horizontal="center"/>
    </xf>
    <xf numFmtId="2" fontId="2" fillId="6" borderId="0" xfId="0" applyNumberFormat="1" applyFont="1" applyFill="1" applyAlignment="1">
      <alignment horizontal="center"/>
    </xf>
    <xf numFmtId="2" fontId="11" fillId="6" borderId="0" xfId="0" applyNumberFormat="1" applyFont="1" applyFill="1" applyAlignment="1">
      <alignment horizontal="center"/>
    </xf>
    <xf numFmtId="2" fontId="16" fillId="6" borderId="2" xfId="0" applyNumberFormat="1" applyFont="1" applyFill="1" applyBorder="1" applyAlignment="1">
      <alignment horizontal="center"/>
    </xf>
    <xf numFmtId="0" fontId="8" fillId="2" borderId="0" xfId="0" applyFont="1" applyFill="1" applyAlignment="1">
      <alignment horizontal="center"/>
    </xf>
    <xf numFmtId="0" fontId="0" fillId="2" borderId="0" xfId="0" applyFill="1" applyAlignment="1">
      <alignment horizontal="center"/>
    </xf>
    <xf numFmtId="0" fontId="7" fillId="0" borderId="13" xfId="0" applyFont="1" applyBorder="1" applyAlignment="1">
      <alignment horizontal="left"/>
    </xf>
    <xf numFmtId="0" fontId="5" fillId="0" borderId="14" xfId="0" applyFont="1" applyBorder="1" applyAlignment="1">
      <alignment horizontal="center"/>
    </xf>
    <xf numFmtId="0" fontId="5" fillId="0" borderId="15" xfId="0" applyFont="1" applyBorder="1" applyAlignment="1">
      <alignment horizontal="center"/>
    </xf>
    <xf numFmtId="0" fontId="9" fillId="2" borderId="0" xfId="0" applyFont="1" applyFill="1" applyAlignment="1">
      <alignment horizontal="center"/>
    </xf>
    <xf numFmtId="0" fontId="5" fillId="0" borderId="0" xfId="0" applyFont="1"/>
    <xf numFmtId="0" fontId="2" fillId="0" borderId="14" xfId="0" applyFont="1" applyBorder="1" applyAlignment="1">
      <alignment horizontal="center"/>
    </xf>
    <xf numFmtId="0" fontId="2" fillId="0" borderId="15" xfId="0" applyFont="1" applyBorder="1" applyAlignment="1">
      <alignment horizontal="center"/>
    </xf>
    <xf numFmtId="0" fontId="15" fillId="2" borderId="0" xfId="0" applyFont="1" applyFill="1" applyAlignment="1">
      <alignment horizontal="center"/>
    </xf>
    <xf numFmtId="0" fontId="4" fillId="0" borderId="0" xfId="0" applyFont="1"/>
    <xf numFmtId="0" fontId="6" fillId="0" borderId="0" xfId="0" applyFont="1"/>
    <xf numFmtId="0" fontId="7" fillId="0" borderId="0" xfId="0" applyFont="1"/>
    <xf numFmtId="0" fontId="8" fillId="0" borderId="0" xfId="0" applyFont="1"/>
    <xf numFmtId="166" fontId="0" fillId="0" borderId="14" xfId="0" applyNumberFormat="1" applyBorder="1" applyAlignment="1">
      <alignment horizontal="center"/>
    </xf>
    <xf numFmtId="0" fontId="10" fillId="0" borderId="15" xfId="0" applyFont="1" applyBorder="1" applyAlignment="1">
      <alignment horizontal="center"/>
    </xf>
    <xf numFmtId="0" fontId="11" fillId="0" borderId="1" xfId="0" applyFont="1" applyBorder="1" applyAlignment="1">
      <alignment horizontal="left"/>
    </xf>
    <xf numFmtId="0" fontId="19" fillId="0" borderId="0" xfId="0" applyFont="1"/>
    <xf numFmtId="0" fontId="13" fillId="0" borderId="6" xfId="0" applyFont="1" applyBorder="1"/>
    <xf numFmtId="0" fontId="20" fillId="0" borderId="8" xfId="0" applyFont="1" applyBorder="1"/>
    <xf numFmtId="0" fontId="20" fillId="0" borderId="7" xfId="0" applyFont="1" applyBorder="1"/>
    <xf numFmtId="0" fontId="20" fillId="0" borderId="5" xfId="0" applyFont="1" applyBorder="1"/>
    <xf numFmtId="0" fontId="13" fillId="0" borderId="16" xfId="0" applyFont="1" applyBorder="1"/>
    <xf numFmtId="0" fontId="20" fillId="0" borderId="3" xfId="0" applyFont="1" applyBorder="1"/>
    <xf numFmtId="0" fontId="20" fillId="0" borderId="0" xfId="0" applyFont="1"/>
    <xf numFmtId="0" fontId="11" fillId="0" borderId="0" xfId="0" applyFont="1"/>
    <xf numFmtId="0" fontId="13" fillId="0" borderId="5" xfId="0" applyFont="1" applyBorder="1"/>
    <xf numFmtId="0" fontId="13" fillId="0" borderId="0" xfId="0" applyFont="1"/>
    <xf numFmtId="0" fontId="20" fillId="3" borderId="0" xfId="0" applyFont="1" applyFill="1"/>
    <xf numFmtId="0" fontId="0" fillId="7" borderId="4" xfId="0" applyFill="1" applyBorder="1" applyAlignment="1">
      <alignment horizontal="center"/>
    </xf>
    <xf numFmtId="0" fontId="16" fillId="5" borderId="4" xfId="0" applyFont="1" applyFill="1" applyBorder="1" applyAlignment="1">
      <alignment horizontal="center"/>
    </xf>
    <xf numFmtId="0" fontId="22" fillId="0" borderId="13" xfId="0" applyFont="1" applyBorder="1" applyAlignment="1">
      <alignment horizontal="left"/>
    </xf>
    <xf numFmtId="0" fontId="0" fillId="6" borderId="2" xfId="0" applyFill="1" applyBorder="1" applyAlignment="1">
      <alignment horizontal="left"/>
    </xf>
    <xf numFmtId="0" fontId="2" fillId="6" borderId="2" xfId="0" applyFont="1" applyFill="1" applyBorder="1" applyAlignment="1">
      <alignment horizontal="center"/>
    </xf>
    <xf numFmtId="0" fontId="21" fillId="6" borderId="4" xfId="0" applyFont="1" applyFill="1" applyBorder="1" applyAlignment="1">
      <alignment horizontal="center"/>
    </xf>
    <xf numFmtId="166" fontId="10" fillId="6" borderId="0" xfId="0" applyNumberFormat="1" applyFont="1" applyFill="1" applyAlignment="1">
      <alignment horizontal="center"/>
    </xf>
    <xf numFmtId="0" fontId="0" fillId="8" borderId="0" xfId="0" applyFill="1" applyAlignment="1">
      <alignment horizontal="center"/>
    </xf>
    <xf numFmtId="0" fontId="23" fillId="0" borderId="0" xfId="0" applyFont="1"/>
    <xf numFmtId="0" fontId="1" fillId="0" borderId="0" xfId="0" applyFont="1" applyAlignment="1">
      <alignment horizontal="center"/>
    </xf>
  </cellXfs>
  <cellStyles count="4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xfId="1" xr:uid="{00000000-0005-0000-0000-00002B000000}"/>
    <cellStyle name="Normal 3" xfId="2" xr:uid="{00000000-0005-0000-0000-00002C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3" Type="http://schemas.openxmlformats.org/officeDocument/2006/relationships/worksheet" Target="worksheets/sheet3.xml"/><Relationship Id="rId7" Type="http://schemas.openxmlformats.org/officeDocument/2006/relationships/chartsheet" Target="chartsheets/sheet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sharedStrings" Target="sharedStrings.xml"/><Relationship Id="rId5" Type="http://schemas.openxmlformats.org/officeDocument/2006/relationships/chartsheet" Target="chartsheets/sheet2.xml"/><Relationship Id="rId10"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422913931342499"/>
          <c:y val="0.13932480266033601"/>
          <c:w val="0.74941761057937695"/>
          <c:h val="0.81278229642517397"/>
        </c:manualLayout>
      </c:layout>
      <c:scatterChart>
        <c:scatterStyle val="lineMarker"/>
        <c:varyColors val="0"/>
        <c:ser>
          <c:idx val="4"/>
          <c:order val="0"/>
          <c:tx>
            <c:v>Sisson et al.</c:v>
          </c:tx>
          <c:spPr>
            <a:ln w="47625">
              <a:noFill/>
            </a:ln>
          </c:spPr>
          <c:marker>
            <c:symbol val="circle"/>
            <c:size val="16"/>
            <c:spPr>
              <a:solidFill>
                <a:schemeClr val="bg1">
                  <a:lumMod val="50000"/>
                </a:schemeClr>
              </a:solidFill>
              <a:ln>
                <a:solidFill>
                  <a:schemeClr val="tx1"/>
                </a:solidFill>
              </a:ln>
            </c:spPr>
          </c:marker>
          <c:xVal>
            <c:numRef>
              <c:f>'Cpx Input &amp; Models'!$AF$15:$AF$19</c:f>
              <c:numCache>
                <c:formatCode>0.0</c:formatCode>
                <c:ptCount val="5"/>
                <c:pt idx="0">
                  <c:v>1071.5501329487965</c:v>
                </c:pt>
                <c:pt idx="1">
                  <c:v>1016.0908589429026</c:v>
                </c:pt>
                <c:pt idx="2">
                  <c:v>981.61128339822528</c:v>
                </c:pt>
                <c:pt idx="3">
                  <c:v>1014.1707490003197</c:v>
                </c:pt>
                <c:pt idx="4">
                  <c:v>973.74551505150805</c:v>
                </c:pt>
              </c:numCache>
            </c:numRef>
          </c:xVal>
          <c:yVal>
            <c:numRef>
              <c:f>'Cpx Input &amp; Models'!$AG$15:$AG$19</c:f>
              <c:numCache>
                <c:formatCode>0.0</c:formatCode>
                <c:ptCount val="5"/>
                <c:pt idx="0">
                  <c:v>0.96064373117069501</c:v>
                </c:pt>
                <c:pt idx="1">
                  <c:v>1.5837308153621108</c:v>
                </c:pt>
                <c:pt idx="2">
                  <c:v>0.89559739579306941</c:v>
                </c:pt>
                <c:pt idx="3">
                  <c:v>0.9527080420877736</c:v>
                </c:pt>
                <c:pt idx="4">
                  <c:v>3.5815691040872855</c:v>
                </c:pt>
              </c:numCache>
            </c:numRef>
          </c:yVal>
          <c:smooth val="0"/>
          <c:extLst>
            <c:ext xmlns:c16="http://schemas.microsoft.com/office/drawing/2014/chart" uri="{C3380CC4-5D6E-409C-BE32-E72D297353CC}">
              <c16:uniqueId val="{00000000-7934-624B-9E38-D99989541035}"/>
            </c:ext>
          </c:extLst>
        </c:ser>
        <c:dLbls>
          <c:showLegendKey val="0"/>
          <c:showVal val="0"/>
          <c:showCatName val="0"/>
          <c:showSerName val="0"/>
          <c:showPercent val="0"/>
          <c:showBubbleSize val="0"/>
        </c:dLbls>
        <c:axId val="1844632808"/>
        <c:axId val="1848125224"/>
      </c:scatterChart>
      <c:valAx>
        <c:axId val="1844632808"/>
        <c:scaling>
          <c:orientation val="minMax"/>
          <c:max val="1200"/>
          <c:min val="850"/>
        </c:scaling>
        <c:delete val="0"/>
        <c:axPos val="t"/>
        <c:title>
          <c:tx>
            <c:rich>
              <a:bodyPr/>
              <a:lstStyle/>
              <a:p>
                <a:pPr>
                  <a:defRPr sz="2000" b="0"/>
                </a:pPr>
                <a:r>
                  <a:rPr lang="en-US" sz="2000" b="0"/>
                  <a:t>Temperature (</a:t>
                </a:r>
                <a:r>
                  <a:rPr lang="en-US" sz="2000" b="0" baseline="30000"/>
                  <a:t>o</a:t>
                </a:r>
                <a:r>
                  <a:rPr lang="en-US" sz="2000" b="0"/>
                  <a:t>C) </a:t>
                </a:r>
              </a:p>
            </c:rich>
          </c:tx>
          <c:layout>
            <c:manualLayout>
              <c:xMode val="edge"/>
              <c:yMode val="edge"/>
              <c:x val="0.40843131535486499"/>
              <c:y val="1.7415600332542001E-2"/>
            </c:manualLayout>
          </c:layout>
          <c:overlay val="0"/>
        </c:title>
        <c:numFmt formatCode="0" sourceLinked="0"/>
        <c:majorTickMark val="in"/>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1848125224"/>
        <c:crossesAt val="-4"/>
        <c:crossBetween val="midCat"/>
      </c:valAx>
      <c:valAx>
        <c:axId val="1848125224"/>
        <c:scaling>
          <c:orientation val="maxMin"/>
          <c:max val="17"/>
          <c:min val="-4"/>
        </c:scaling>
        <c:delete val="0"/>
        <c:axPos val="l"/>
        <c:title>
          <c:tx>
            <c:rich>
              <a:bodyPr rot="-5400000" vert="horz"/>
              <a:lstStyle/>
              <a:p>
                <a:pPr>
                  <a:defRPr sz="2000" b="0"/>
                </a:pPr>
                <a:r>
                  <a:rPr lang="en-US" sz="2000" b="0"/>
                  <a:t>Pressure (kbar)</a:t>
                </a:r>
              </a:p>
            </c:rich>
          </c:tx>
          <c:overlay val="0"/>
        </c:title>
        <c:numFmt formatCode="0" sourceLinked="0"/>
        <c:majorTickMark val="in"/>
        <c:minorTickMark val="none"/>
        <c:tickLblPos val="nextTo"/>
        <c:txPr>
          <a:bodyPr/>
          <a:lstStyle/>
          <a:p>
            <a:pPr>
              <a:defRPr sz="1400"/>
            </a:pPr>
            <a:endParaRPr lang="en-US"/>
          </a:p>
        </c:txPr>
        <c:crossAx val="1844632808"/>
        <c:crosses val="autoZero"/>
        <c:crossBetween val="midCat"/>
      </c:valAx>
      <c:spPr>
        <a:ln>
          <a:solidFill>
            <a:schemeClr val="tx1"/>
          </a:solidFill>
        </a:ln>
      </c:spPr>
    </c:plotArea>
    <c:legend>
      <c:legendPos val="r"/>
      <c:layout>
        <c:manualLayout>
          <c:xMode val="edge"/>
          <c:yMode val="edge"/>
          <c:x val="0.64640034995625495"/>
          <c:y val="0.76134750313073596"/>
          <c:w val="0.13355543890346999"/>
          <c:h val="5.4279244506201398E-2"/>
        </c:manualLayout>
      </c:layout>
      <c:overlay val="0"/>
      <c:spPr>
        <a:ln>
          <a:solidFill>
            <a:schemeClr val="tx1"/>
          </a:solidFill>
        </a:ln>
      </c:spPr>
      <c:txPr>
        <a:bodyPr/>
        <a:lstStyle/>
        <a:p>
          <a:pPr>
            <a:defRPr sz="1400"/>
          </a:pPr>
          <a:endParaRPr lang="en-US"/>
        </a:p>
      </c:txPr>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27272727272701"/>
          <c:y val="1.04330092541249E-2"/>
          <c:w val="0.84040404040404004"/>
          <c:h val="0.64402595751349601"/>
        </c:manualLayout>
      </c:layout>
      <c:scatterChart>
        <c:scatterStyle val="lineMarker"/>
        <c:varyColors val="0"/>
        <c:ser>
          <c:idx val="3"/>
          <c:order val="0"/>
          <c:tx>
            <c:v>One-to-one line</c:v>
          </c:tx>
          <c:spPr>
            <a:ln w="12700">
              <a:solidFill>
                <a:srgbClr val="000000"/>
              </a:solidFill>
              <a:prstDash val="solid"/>
            </a:ln>
          </c:spPr>
          <c:marker>
            <c:symbol val="none"/>
          </c:marker>
          <c:xVal>
            <c:numRef>
              <c:f>'Cpx Input &amp; Models'!$BR$4:$BR$7</c:f>
              <c:numCache>
                <c:formatCode>General</c:formatCode>
                <c:ptCount val="4"/>
                <c:pt idx="0">
                  <c:v>0</c:v>
                </c:pt>
                <c:pt idx="1">
                  <c:v>0.1</c:v>
                </c:pt>
                <c:pt idx="2">
                  <c:v>0.5</c:v>
                </c:pt>
                <c:pt idx="3">
                  <c:v>1</c:v>
                </c:pt>
              </c:numCache>
            </c:numRef>
          </c:xVal>
          <c:yVal>
            <c:numRef>
              <c:f>'Cpx Input &amp; Models'!$BS$4:$BS$7</c:f>
              <c:numCache>
                <c:formatCode>General</c:formatCode>
                <c:ptCount val="4"/>
                <c:pt idx="0">
                  <c:v>0</c:v>
                </c:pt>
                <c:pt idx="1">
                  <c:v>0.1</c:v>
                </c:pt>
                <c:pt idx="2">
                  <c:v>0.5</c:v>
                </c:pt>
                <c:pt idx="3">
                  <c:v>1</c:v>
                </c:pt>
              </c:numCache>
            </c:numRef>
          </c:yVal>
          <c:smooth val="0"/>
          <c:extLst>
            <c:ext xmlns:c16="http://schemas.microsoft.com/office/drawing/2014/chart" uri="{C3380CC4-5D6E-409C-BE32-E72D297353CC}">
              <c16:uniqueId val="{00000000-AA88-2547-B4E2-1BF023952855}"/>
            </c:ext>
          </c:extLst>
        </c:ser>
        <c:ser>
          <c:idx val="0"/>
          <c:order val="1"/>
          <c:tx>
            <c:v>DiHd</c:v>
          </c:tx>
          <c:spPr>
            <a:ln>
              <a:noFill/>
            </a:ln>
          </c:spPr>
          <c:marker>
            <c:symbol val="square"/>
            <c:size val="12"/>
            <c:spPr>
              <a:solidFill>
                <a:schemeClr val="accent3">
                  <a:lumMod val="75000"/>
                </a:schemeClr>
              </a:solidFill>
              <a:ln>
                <a:solidFill>
                  <a:schemeClr val="tx1"/>
                </a:solidFill>
              </a:ln>
            </c:spPr>
          </c:marker>
          <c:xVal>
            <c:numRef>
              <c:f>'Cpx Input &amp; Models'!$BL$15:$BL$19</c:f>
              <c:numCache>
                <c:formatCode>0.00</c:formatCode>
                <c:ptCount val="5"/>
                <c:pt idx="0">
                  <c:v>0.82683671188343988</c:v>
                </c:pt>
                <c:pt idx="1">
                  <c:v>0.81130306805535424</c:v>
                </c:pt>
                <c:pt idx="2">
                  <c:v>0.7974226743968551</c:v>
                </c:pt>
                <c:pt idx="3">
                  <c:v>0.82447830069610495</c:v>
                </c:pt>
                <c:pt idx="4">
                  <c:v>0.81528921480177019</c:v>
                </c:pt>
              </c:numCache>
            </c:numRef>
          </c:xVal>
          <c:yVal>
            <c:numRef>
              <c:f>'Cpx Input &amp; Models'!$BT$15:$BT$19</c:f>
              <c:numCache>
                <c:formatCode>0.00</c:formatCode>
                <c:ptCount val="5"/>
                <c:pt idx="0">
                  <c:v>0.81443615119616952</c:v>
                </c:pt>
                <c:pt idx="1">
                  <c:v>0.81993860311791833</c:v>
                </c:pt>
                <c:pt idx="2">
                  <c:v>0.73267079503784271</c:v>
                </c:pt>
                <c:pt idx="3">
                  <c:v>0.79604878654085576</c:v>
                </c:pt>
                <c:pt idx="4">
                  <c:v>0.80669362461915617</c:v>
                </c:pt>
              </c:numCache>
            </c:numRef>
          </c:yVal>
          <c:smooth val="0"/>
          <c:extLst>
            <c:ext xmlns:c16="http://schemas.microsoft.com/office/drawing/2014/chart" uri="{C3380CC4-5D6E-409C-BE32-E72D297353CC}">
              <c16:uniqueId val="{00000001-AA88-2547-B4E2-1BF023952855}"/>
            </c:ext>
          </c:extLst>
        </c:ser>
        <c:ser>
          <c:idx val="1"/>
          <c:order val="2"/>
          <c:tx>
            <c:v>ENFS</c:v>
          </c:tx>
          <c:spPr>
            <a:ln>
              <a:noFill/>
            </a:ln>
          </c:spPr>
          <c:marker>
            <c:symbol val="square"/>
            <c:size val="12"/>
            <c:spPr>
              <a:solidFill>
                <a:schemeClr val="tx1"/>
              </a:solidFill>
              <a:ln>
                <a:solidFill>
                  <a:schemeClr val="tx1"/>
                </a:solidFill>
              </a:ln>
            </c:spPr>
          </c:marker>
          <c:xVal>
            <c:numRef>
              <c:f>'Cpx Input &amp; Models'!$BM$15:$BM$19</c:f>
              <c:numCache>
                <c:formatCode>0.00</c:formatCode>
                <c:ptCount val="5"/>
                <c:pt idx="0">
                  <c:v>9.6081536124996772E-2</c:v>
                </c:pt>
                <c:pt idx="1">
                  <c:v>9.4631397596101688E-2</c:v>
                </c:pt>
                <c:pt idx="2">
                  <c:v>0.15075184435524766</c:v>
                </c:pt>
                <c:pt idx="3">
                  <c:v>0.10986343149152779</c:v>
                </c:pt>
                <c:pt idx="4">
                  <c:v>7.2428622266528866E-2</c:v>
                </c:pt>
              </c:numCache>
            </c:numRef>
          </c:xVal>
          <c:yVal>
            <c:numRef>
              <c:f>'Cpx Input &amp; Models'!$BU$15:$BU$19</c:f>
              <c:numCache>
                <c:formatCode>0.00</c:formatCode>
                <c:ptCount val="5"/>
                <c:pt idx="0">
                  <c:v>0.10382693656686925</c:v>
                </c:pt>
                <c:pt idx="1">
                  <c:v>9.7220166294938348E-2</c:v>
                </c:pt>
                <c:pt idx="2">
                  <c:v>9.9544976148765063E-2</c:v>
                </c:pt>
                <c:pt idx="3">
                  <c:v>0.1145955081439623</c:v>
                </c:pt>
                <c:pt idx="4">
                  <c:v>0.10665186218694606</c:v>
                </c:pt>
              </c:numCache>
            </c:numRef>
          </c:yVal>
          <c:smooth val="0"/>
          <c:extLst>
            <c:ext xmlns:c16="http://schemas.microsoft.com/office/drawing/2014/chart" uri="{C3380CC4-5D6E-409C-BE32-E72D297353CC}">
              <c16:uniqueId val="{00000002-AA88-2547-B4E2-1BF023952855}"/>
            </c:ext>
          </c:extLst>
        </c:ser>
        <c:ser>
          <c:idx val="2"/>
          <c:order val="3"/>
          <c:tx>
            <c:v>CaTs</c:v>
          </c:tx>
          <c:spPr>
            <a:ln>
              <a:noFill/>
            </a:ln>
          </c:spPr>
          <c:marker>
            <c:symbol val="diamond"/>
            <c:size val="12"/>
            <c:spPr>
              <a:solidFill>
                <a:schemeClr val="bg1">
                  <a:lumMod val="75000"/>
                </a:schemeClr>
              </a:solidFill>
              <a:ln>
                <a:solidFill>
                  <a:schemeClr val="tx1"/>
                </a:solidFill>
              </a:ln>
            </c:spPr>
          </c:marker>
          <c:xVal>
            <c:numRef>
              <c:f>'Cpx Input &amp; Models'!$BN$15:$BN$19</c:f>
              <c:numCache>
                <c:formatCode>0.00</c:formatCode>
                <c:ptCount val="5"/>
                <c:pt idx="0">
                  <c:v>1.187866161618027E-2</c:v>
                </c:pt>
                <c:pt idx="1">
                  <c:v>1.0752143355776364E-2</c:v>
                </c:pt>
                <c:pt idx="2">
                  <c:v>1.4053987278890241E-2</c:v>
                </c:pt>
                <c:pt idx="3">
                  <c:v>1.1907399205121873E-2</c:v>
                </c:pt>
                <c:pt idx="4">
                  <c:v>9.1163349941311023E-3</c:v>
                </c:pt>
              </c:numCache>
            </c:numRef>
          </c:xVal>
          <c:yVal>
            <c:numRef>
              <c:f>'Cpx Input &amp; Models'!$BV$15:$BV$19</c:f>
              <c:numCache>
                <c:formatCode>0.00</c:formatCode>
                <c:ptCount val="5"/>
                <c:pt idx="0">
                  <c:v>3.0374796890280439E-2</c:v>
                </c:pt>
                <c:pt idx="1">
                  <c:v>3.6816947960874952E-2</c:v>
                </c:pt>
                <c:pt idx="2">
                  <c:v>9.1884663549011758E-2</c:v>
                </c:pt>
                <c:pt idx="3">
                  <c:v>4.5827315358557691E-2</c:v>
                </c:pt>
                <c:pt idx="4">
                  <c:v>4.3110290586671068E-2</c:v>
                </c:pt>
              </c:numCache>
            </c:numRef>
          </c:yVal>
          <c:smooth val="0"/>
          <c:extLst>
            <c:ext xmlns:c16="http://schemas.microsoft.com/office/drawing/2014/chart" uri="{C3380CC4-5D6E-409C-BE32-E72D297353CC}">
              <c16:uniqueId val="{00000003-AA88-2547-B4E2-1BF023952855}"/>
            </c:ext>
          </c:extLst>
        </c:ser>
        <c:dLbls>
          <c:showLegendKey val="0"/>
          <c:showVal val="0"/>
          <c:showCatName val="0"/>
          <c:showSerName val="0"/>
          <c:showPercent val="0"/>
          <c:showBubbleSize val="0"/>
        </c:dLbls>
        <c:axId val="1857291720"/>
        <c:axId val="1857297576"/>
      </c:scatterChart>
      <c:valAx>
        <c:axId val="1857291720"/>
        <c:scaling>
          <c:orientation val="minMax"/>
          <c:max val="1.1000000000000001"/>
          <c:min val="0"/>
        </c:scaling>
        <c:delete val="0"/>
        <c:axPos val="b"/>
        <c:title>
          <c:tx>
            <c:rich>
              <a:bodyPr/>
              <a:lstStyle/>
              <a:p>
                <a:pPr>
                  <a:defRPr sz="1600" b="0" i="0" u="none" strike="noStrike" baseline="0">
                    <a:solidFill>
                      <a:srgbClr val="000000"/>
                    </a:solidFill>
                    <a:latin typeface="Verdana"/>
                    <a:ea typeface="Verdana"/>
                    <a:cs typeface="Verdana"/>
                  </a:defRPr>
                </a:pPr>
                <a:r>
                  <a:rPr lang="en-US" sz="1600"/>
                  <a:t>Predicted Cpx Components</a:t>
                </a:r>
              </a:p>
            </c:rich>
          </c:tx>
          <c:layout>
            <c:manualLayout>
              <c:xMode val="edge"/>
              <c:yMode val="edge"/>
              <c:x val="0.32929229300882801"/>
              <c:y val="0.70205192660776605"/>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857297576"/>
        <c:crosses val="autoZero"/>
        <c:crossBetween val="midCat"/>
      </c:valAx>
      <c:valAx>
        <c:axId val="1857297576"/>
        <c:scaling>
          <c:orientation val="minMax"/>
          <c:max val="1.1000000000000001"/>
          <c:min val="0"/>
        </c:scaling>
        <c:delete val="0"/>
        <c:axPos val="l"/>
        <c:title>
          <c:tx>
            <c:rich>
              <a:bodyPr/>
              <a:lstStyle/>
              <a:p>
                <a:pPr>
                  <a:defRPr sz="1600" b="0" i="0" u="none" strike="noStrike" baseline="0">
                    <a:solidFill>
                      <a:srgbClr val="000000"/>
                    </a:solidFill>
                    <a:latin typeface="Verdana"/>
                    <a:ea typeface="Verdana"/>
                    <a:cs typeface="Verdana"/>
                  </a:defRPr>
                </a:pPr>
                <a:r>
                  <a:rPr lang="en-US" sz="1600"/>
                  <a:t>Observed Cpx Components</a:t>
                </a:r>
              </a:p>
            </c:rich>
          </c:tx>
          <c:layout>
            <c:manualLayout>
              <c:xMode val="edge"/>
              <c:yMode val="edge"/>
              <c:x val="1.61616161616162E-2"/>
              <c:y val="0.18230071593163499"/>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857291720"/>
        <c:crosses val="autoZero"/>
        <c:crossBetween val="midCat"/>
      </c:valAx>
      <c:spPr>
        <a:noFill/>
        <a:ln w="12700">
          <a:solidFill>
            <a:srgbClr val="000000"/>
          </a:solidFill>
          <a:prstDash val="solid"/>
        </a:ln>
      </c:spPr>
    </c:plotArea>
    <c:legend>
      <c:legendPos val="r"/>
      <c:layout>
        <c:manualLayout>
          <c:xMode val="edge"/>
          <c:yMode val="edge"/>
          <c:x val="0.151821840451762"/>
          <c:y val="5.3208137715180001E-2"/>
          <c:w val="0.28777411914419798"/>
          <c:h val="0.15549246485034399"/>
        </c:manualLayout>
      </c:layout>
      <c:overlay val="0"/>
      <c:spPr>
        <a:solidFill>
          <a:srgbClr val="FFFFFF"/>
        </a:solidFill>
        <a:ln w="12700">
          <a:solidFill>
            <a:srgbClr val="000000"/>
          </a:solidFill>
          <a:prstDash val="solid"/>
        </a:ln>
      </c:spPr>
      <c:txPr>
        <a:bodyPr/>
        <a:lstStyle/>
        <a:p>
          <a:pPr>
            <a:defRPr sz="1400" b="0" i="0" u="none" strike="noStrike" baseline="0">
              <a:solidFill>
                <a:srgbClr val="000000"/>
              </a:solidFill>
              <a:latin typeface="Verdana"/>
              <a:ea typeface="Verdana"/>
              <a:cs typeface="Verdana"/>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Verdana"/>
          <a:ea typeface="Verdana"/>
          <a:cs typeface="Verdana"/>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192309799019104E-2"/>
          <c:y val="5.6571424844241651E-2"/>
          <c:w val="0.86233727505988"/>
          <c:h val="0.82624490940697204"/>
        </c:manualLayout>
      </c:layout>
      <c:scatterChart>
        <c:scatterStyle val="lineMarker"/>
        <c:varyColors val="0"/>
        <c:ser>
          <c:idx val="0"/>
          <c:order val="0"/>
          <c:spPr>
            <a:ln w="19050" cap="rnd">
              <a:solidFill>
                <a:schemeClr val="tx1"/>
              </a:solidFill>
              <a:round/>
            </a:ln>
            <a:effectLst/>
          </c:spPr>
          <c:marker>
            <c:symbol val="none"/>
          </c:marker>
          <c:xVal>
            <c:numRef>
              <c:f>'Cpx Input &amp; Models'!$IR$6:$IR$8</c:f>
              <c:numCache>
                <c:formatCode>General</c:formatCode>
                <c:ptCount val="3"/>
                <c:pt idx="0">
                  <c:v>1.1547005383792515</c:v>
                </c:pt>
                <c:pt idx="1">
                  <c:v>0</c:v>
                </c:pt>
                <c:pt idx="2">
                  <c:v>0.57735026918962573</c:v>
                </c:pt>
              </c:numCache>
            </c:numRef>
          </c:xVal>
          <c:yVal>
            <c:numRef>
              <c:f>'Cpx Input &amp; Models'!$IS$6:$IS$8</c:f>
              <c:numCache>
                <c:formatCode>General</c:formatCode>
                <c:ptCount val="3"/>
                <c:pt idx="0">
                  <c:v>0</c:v>
                </c:pt>
                <c:pt idx="1">
                  <c:v>0</c:v>
                </c:pt>
                <c:pt idx="2">
                  <c:v>1</c:v>
                </c:pt>
              </c:numCache>
            </c:numRef>
          </c:yVal>
          <c:smooth val="0"/>
          <c:extLst>
            <c:ext xmlns:c16="http://schemas.microsoft.com/office/drawing/2014/chart" uri="{C3380CC4-5D6E-409C-BE32-E72D297353CC}">
              <c16:uniqueId val="{00000003-D730-1C47-9227-443BB5285BD9}"/>
            </c:ext>
          </c:extLst>
        </c:ser>
        <c:ser>
          <c:idx val="1"/>
          <c:order val="1"/>
          <c:spPr>
            <a:ln w="19050">
              <a:solidFill>
                <a:schemeClr val="tx1"/>
              </a:solidFill>
            </a:ln>
          </c:spPr>
          <c:marker>
            <c:symbol val="none"/>
          </c:marker>
          <c:xVal>
            <c:numRef>
              <c:f>'Cpx Input &amp; Models'!$IR$10:$IR$11</c:f>
              <c:numCache>
                <c:formatCode>General</c:formatCode>
                <c:ptCount val="2"/>
                <c:pt idx="0">
                  <c:v>0.57735026918962573</c:v>
                </c:pt>
                <c:pt idx="1">
                  <c:v>1.1547005383792515</c:v>
                </c:pt>
              </c:numCache>
            </c:numRef>
          </c:xVal>
          <c:yVal>
            <c:numRef>
              <c:f>'Cpx Input &amp; Models'!$IS$10:$IS$11</c:f>
              <c:numCache>
                <c:formatCode>General</c:formatCode>
                <c:ptCount val="2"/>
                <c:pt idx="0">
                  <c:v>1</c:v>
                </c:pt>
                <c:pt idx="1">
                  <c:v>0</c:v>
                </c:pt>
              </c:numCache>
            </c:numRef>
          </c:yVal>
          <c:smooth val="0"/>
          <c:extLst>
            <c:ext xmlns:c16="http://schemas.microsoft.com/office/drawing/2014/chart" uri="{C3380CC4-5D6E-409C-BE32-E72D297353CC}">
              <c16:uniqueId val="{00000004-D730-1C47-9227-443BB5285BD9}"/>
            </c:ext>
          </c:extLst>
        </c:ser>
        <c:ser>
          <c:idx val="2"/>
          <c:order val="2"/>
          <c:spPr>
            <a:ln>
              <a:solidFill>
                <a:schemeClr val="tx1"/>
              </a:solidFill>
            </a:ln>
          </c:spPr>
          <c:marker>
            <c:symbol val="none"/>
          </c:marker>
          <c:xVal>
            <c:numRef>
              <c:f>'Cpx Input &amp; Models'!$IR$6:$IR$7</c:f>
              <c:numCache>
                <c:formatCode>General</c:formatCode>
                <c:ptCount val="2"/>
                <c:pt idx="0">
                  <c:v>1.1547005383792515</c:v>
                </c:pt>
                <c:pt idx="1">
                  <c:v>0</c:v>
                </c:pt>
              </c:numCache>
            </c:numRef>
          </c:xVal>
          <c:yVal>
            <c:numRef>
              <c:f>'Cpx Input &amp; Models'!$IS$6:$IS$7</c:f>
              <c:numCache>
                <c:formatCode>General</c:formatCode>
                <c:ptCount val="2"/>
                <c:pt idx="0">
                  <c:v>0</c:v>
                </c:pt>
                <c:pt idx="1">
                  <c:v>0</c:v>
                </c:pt>
              </c:numCache>
            </c:numRef>
          </c:yVal>
          <c:smooth val="0"/>
          <c:extLst>
            <c:ext xmlns:c16="http://schemas.microsoft.com/office/drawing/2014/chart" uri="{C3380CC4-5D6E-409C-BE32-E72D297353CC}">
              <c16:uniqueId val="{00000007-D730-1C47-9227-443BB5285BD9}"/>
            </c:ext>
          </c:extLst>
        </c:ser>
        <c:ser>
          <c:idx val="3"/>
          <c:order val="3"/>
          <c:spPr>
            <a:ln>
              <a:noFill/>
            </a:ln>
          </c:spPr>
          <c:marker>
            <c:symbol val="circle"/>
            <c:size val="11"/>
            <c:spPr>
              <a:noFill/>
              <a:ln>
                <a:solidFill>
                  <a:schemeClr val="tx1"/>
                </a:solidFill>
              </a:ln>
            </c:spPr>
          </c:marker>
          <c:xVal>
            <c:numRef>
              <c:f>'Cpx Input &amp; Models'!$IR$15:$IR$18</c:f>
              <c:numCache>
                <c:formatCode>General</c:formatCode>
                <c:ptCount val="4"/>
                <c:pt idx="0">
                  <c:v>0.3652153218329276</c:v>
                </c:pt>
                <c:pt idx="1">
                  <c:v>0.38154583018529487</c:v>
                </c:pt>
                <c:pt idx="2">
                  <c:v>0.41166801694210753</c:v>
                </c:pt>
                <c:pt idx="3">
                  <c:v>0.3725010522967086</c:v>
                </c:pt>
              </c:numCache>
            </c:numRef>
          </c:xVal>
          <c:yVal>
            <c:numRef>
              <c:f>'Cpx Input &amp; Models'!$IS$15:$IS$18</c:f>
              <c:numCache>
                <c:formatCode>General</c:formatCode>
                <c:ptCount val="4"/>
                <c:pt idx="0">
                  <c:v>0.46696085188782871</c:v>
                </c:pt>
                <c:pt idx="1">
                  <c:v>0.47173122562886988</c:v>
                </c:pt>
                <c:pt idx="2">
                  <c:v>0.49118256181776676</c:v>
                </c:pt>
                <c:pt idx="3">
                  <c:v>0.46384909867350554</c:v>
                </c:pt>
              </c:numCache>
            </c:numRef>
          </c:yVal>
          <c:smooth val="0"/>
          <c:extLst>
            <c:ext xmlns:c16="http://schemas.microsoft.com/office/drawing/2014/chart" uri="{C3380CC4-5D6E-409C-BE32-E72D297353CC}">
              <c16:uniqueId val="{00000009-D730-1C47-9227-443BB5285BD9}"/>
            </c:ext>
          </c:extLst>
        </c:ser>
        <c:ser>
          <c:idx val="4"/>
          <c:order val="4"/>
          <c:spPr>
            <a:ln w="19050">
              <a:solidFill>
                <a:schemeClr val="tx1"/>
              </a:solidFill>
            </a:ln>
          </c:spPr>
          <c:marker>
            <c:symbol val="none"/>
          </c:marker>
          <c:xVal>
            <c:numRef>
              <c:f>'Cpx Input &amp; Models'!$IR$4:$IR$5</c:f>
              <c:numCache>
                <c:formatCode>General</c:formatCode>
                <c:ptCount val="2"/>
                <c:pt idx="0">
                  <c:v>0.8660254037844386</c:v>
                </c:pt>
                <c:pt idx="1">
                  <c:v>0.28867513459481287</c:v>
                </c:pt>
              </c:numCache>
            </c:numRef>
          </c:xVal>
          <c:yVal>
            <c:numRef>
              <c:f>'Cpx Input &amp; Models'!$IS$4:$IS$5</c:f>
              <c:numCache>
                <c:formatCode>General</c:formatCode>
                <c:ptCount val="2"/>
                <c:pt idx="0">
                  <c:v>0.5</c:v>
                </c:pt>
                <c:pt idx="1">
                  <c:v>0.5</c:v>
                </c:pt>
              </c:numCache>
            </c:numRef>
          </c:yVal>
          <c:smooth val="0"/>
          <c:extLst>
            <c:ext xmlns:c16="http://schemas.microsoft.com/office/drawing/2014/chart" uri="{C3380CC4-5D6E-409C-BE32-E72D297353CC}">
              <c16:uniqueId val="{0000000A-D730-1C47-9227-443BB5285BD9}"/>
            </c:ext>
          </c:extLst>
        </c:ser>
        <c:dLbls>
          <c:showLegendKey val="0"/>
          <c:showVal val="0"/>
          <c:showCatName val="0"/>
          <c:showSerName val="0"/>
          <c:showPercent val="0"/>
          <c:showBubbleSize val="0"/>
        </c:dLbls>
        <c:axId val="1784382000"/>
        <c:axId val="1778507344"/>
      </c:scatterChart>
      <c:valAx>
        <c:axId val="1784382000"/>
        <c:scaling>
          <c:orientation val="minMax"/>
        </c:scaling>
        <c:delete val="1"/>
        <c:axPos val="b"/>
        <c:numFmt formatCode="General" sourceLinked="1"/>
        <c:majorTickMark val="none"/>
        <c:minorTickMark val="none"/>
        <c:tickLblPos val="nextTo"/>
        <c:crossAx val="1778507344"/>
        <c:crosses val="autoZero"/>
        <c:crossBetween val="midCat"/>
      </c:valAx>
      <c:valAx>
        <c:axId val="1778507344"/>
        <c:scaling>
          <c:orientation val="minMax"/>
        </c:scaling>
        <c:delete val="1"/>
        <c:axPos val="l"/>
        <c:numFmt formatCode="General" sourceLinked="1"/>
        <c:majorTickMark val="none"/>
        <c:minorTickMark val="none"/>
        <c:tickLblPos val="nextTo"/>
        <c:crossAx val="1784382000"/>
        <c:crosses val="autoZero"/>
        <c:crossBetween val="midCat"/>
      </c:valAx>
      <c:spPr>
        <a:ln>
          <a:noFill/>
        </a:ln>
      </c:spPr>
    </c:plotArea>
    <c:plotVisOnly val="1"/>
    <c:dispBlanksAs val="gap"/>
    <c:showDLblsOverMax val="0"/>
    <c:extLst/>
  </c:chart>
  <c:txPr>
    <a:bodyPr/>
    <a:lstStyle/>
    <a:p>
      <a:pPr>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9393939393899"/>
          <c:y val="4.13943355119826E-2"/>
          <c:w val="0.81616161616161598"/>
          <c:h val="0.82135076252723305"/>
        </c:manualLayout>
      </c:layout>
      <c:scatterChart>
        <c:scatterStyle val="lineMarker"/>
        <c:varyColors val="0"/>
        <c:ser>
          <c:idx val="3"/>
          <c:order val="0"/>
          <c:spPr>
            <a:ln>
              <a:noFill/>
            </a:ln>
          </c:spPr>
          <c:marker>
            <c:symbol val="circle"/>
            <c:size val="15"/>
            <c:spPr>
              <a:solidFill>
                <a:schemeClr val="bg1">
                  <a:lumMod val="65000"/>
                </a:schemeClr>
              </a:solidFill>
              <a:ln>
                <a:solidFill>
                  <a:schemeClr val="tx1"/>
                </a:solidFill>
              </a:ln>
            </c:spPr>
          </c:marker>
          <c:xVal>
            <c:numRef>
              <c:f>'Cpx Input &amp; Models'!$DM$15:$DM$19</c:f>
              <c:numCache>
                <c:formatCode>General</c:formatCode>
                <c:ptCount val="5"/>
                <c:pt idx="0">
                  <c:v>54.922594897140009</c:v>
                </c:pt>
                <c:pt idx="1">
                  <c:v>50.504401091479224</c:v>
                </c:pt>
                <c:pt idx="2">
                  <c:v>52.603330113254593</c:v>
                </c:pt>
                <c:pt idx="3">
                  <c:v>52.524768075204399</c:v>
                </c:pt>
                <c:pt idx="4">
                  <c:v>43.888277268649858</c:v>
                </c:pt>
              </c:numCache>
            </c:numRef>
          </c:xVal>
          <c:yVal>
            <c:numRef>
              <c:f>'Cpx Input &amp; Models'!$FU$15:$FU$19</c:f>
              <c:numCache>
                <c:formatCode>0.0000</c:formatCode>
                <c:ptCount val="5"/>
                <c:pt idx="0">
                  <c:v>84.465433559997138</c:v>
                </c:pt>
                <c:pt idx="1">
                  <c:v>82.099496805082822</c:v>
                </c:pt>
                <c:pt idx="2">
                  <c:v>78.199709490141913</c:v>
                </c:pt>
                <c:pt idx="3">
                  <c:v>83.088562443091433</c:v>
                </c:pt>
                <c:pt idx="4">
                  <c:v>77.78744811282499</c:v>
                </c:pt>
              </c:numCache>
            </c:numRef>
          </c:yVal>
          <c:smooth val="0"/>
          <c:extLst>
            <c:ext xmlns:c16="http://schemas.microsoft.com/office/drawing/2014/chart" uri="{C3380CC4-5D6E-409C-BE32-E72D297353CC}">
              <c16:uniqueId val="{00000000-D6B3-2943-B418-B6B09E839F7A}"/>
            </c:ext>
          </c:extLst>
        </c:ser>
        <c:ser>
          <c:idx val="4"/>
          <c:order val="1"/>
          <c:spPr>
            <a:ln>
              <a:prstDash val="dash"/>
            </a:ln>
          </c:spPr>
          <c:marker>
            <c:symbol val="none"/>
          </c:marker>
          <c:xVal>
            <c:numRef>
              <c:f>'Rhodes Diag Calcs'!$H$10:$H$41</c:f>
              <c:numCache>
                <c:formatCode>General</c:formatCode>
                <c:ptCount val="32"/>
                <c:pt idx="0">
                  <c:v>0</c:v>
                </c:pt>
                <c:pt idx="1">
                  <c:v>2.3437500000000004</c:v>
                </c:pt>
                <c:pt idx="2">
                  <c:v>4.5801526717557257</c:v>
                </c:pt>
                <c:pt idx="3">
                  <c:v>6.7164179104477615</c:v>
                </c:pt>
                <c:pt idx="4">
                  <c:v>8.7591240875912408</c:v>
                </c:pt>
                <c:pt idx="5">
                  <c:v>10.714285714285715</c:v>
                </c:pt>
                <c:pt idx="6">
                  <c:v>12.587412587412588</c:v>
                </c:pt>
                <c:pt idx="7">
                  <c:v>14.383561643835618</c:v>
                </c:pt>
                <c:pt idx="8">
                  <c:v>16.107382550335572</c:v>
                </c:pt>
                <c:pt idx="9">
                  <c:v>17.763157894736842</c:v>
                </c:pt>
                <c:pt idx="10">
                  <c:v>19.354838709677423</c:v>
                </c:pt>
                <c:pt idx="11">
                  <c:v>20.886075949367093</c:v>
                </c:pt>
                <c:pt idx="12">
                  <c:v>22.36024844720497</c:v>
                </c:pt>
                <c:pt idx="13">
                  <c:v>23.780487804878053</c:v>
                </c:pt>
                <c:pt idx="14">
                  <c:v>25.149700598802394</c:v>
                </c:pt>
                <c:pt idx="15">
                  <c:v>26.47058823529412</c:v>
                </c:pt>
                <c:pt idx="16">
                  <c:v>27.745664739884393</c:v>
                </c:pt>
                <c:pt idx="17">
                  <c:v>28.977272727272734</c:v>
                </c:pt>
                <c:pt idx="18">
                  <c:v>34.554973821989535</c:v>
                </c:pt>
                <c:pt idx="19">
                  <c:v>39.320388349514566</c:v>
                </c:pt>
                <c:pt idx="20">
                  <c:v>43.438914027149323</c:v>
                </c:pt>
                <c:pt idx="21">
                  <c:v>47.033898305084747</c:v>
                </c:pt>
                <c:pt idx="22">
                  <c:v>50.199203187251008</c:v>
                </c:pt>
                <c:pt idx="23">
                  <c:v>55.516014234875449</c:v>
                </c:pt>
                <c:pt idx="24">
                  <c:v>59.80707395498392</c:v>
                </c:pt>
                <c:pt idx="25">
                  <c:v>63.343108504398828</c:v>
                </c:pt>
                <c:pt idx="26">
                  <c:v>70.588235294117652</c:v>
                </c:pt>
                <c:pt idx="27">
                  <c:v>82.758620689655174</c:v>
                </c:pt>
                <c:pt idx="28">
                  <c:v>90.566037735849051</c:v>
                </c:pt>
                <c:pt idx="29">
                  <c:v>95.049504950495049</c:v>
                </c:pt>
                <c:pt idx="30">
                  <c:v>97.959183673469397</c:v>
                </c:pt>
                <c:pt idx="31">
                  <c:v>99.585062240663902</c:v>
                </c:pt>
              </c:numCache>
            </c:numRef>
          </c:xVal>
          <c:yVal>
            <c:numRef>
              <c:f>'Rhodes Diag Calcs'!$I$10:$I$41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1-D6B3-2943-B418-B6B09E839F7A}"/>
            </c:ext>
          </c:extLst>
        </c:ser>
        <c:ser>
          <c:idx val="5"/>
          <c:order val="2"/>
          <c:marker>
            <c:symbol val="none"/>
          </c:marker>
          <c:xVal>
            <c:numRef>
              <c:f>'Rhodes Diag Calcs'!$C$10:$C$41</c:f>
              <c:numCache>
                <c:formatCode>General</c:formatCode>
                <c:ptCount val="32"/>
                <c:pt idx="0">
                  <c:v>0</c:v>
                </c:pt>
                <c:pt idx="1">
                  <c:v>2.6290165530671863</c:v>
                </c:pt>
                <c:pt idx="2">
                  <c:v>5.1233396584440225</c:v>
                </c:pt>
                <c:pt idx="3">
                  <c:v>7.4930619796484734</c:v>
                </c:pt>
                <c:pt idx="4">
                  <c:v>9.7472924187725631</c:v>
                </c:pt>
                <c:pt idx="5">
                  <c:v>11.894273127753303</c:v>
                </c:pt>
                <c:pt idx="6">
                  <c:v>13.941480206540447</c:v>
                </c:pt>
                <c:pt idx="7">
                  <c:v>15.895710681244742</c:v>
                </c:pt>
                <c:pt idx="8">
                  <c:v>17.763157894736842</c:v>
                </c:pt>
                <c:pt idx="9">
                  <c:v>19.549477071600965</c:v>
                </c:pt>
                <c:pt idx="10">
                  <c:v>21.259842519685041</c:v>
                </c:pt>
                <c:pt idx="11">
                  <c:v>22.898997686969931</c:v>
                </c:pt>
                <c:pt idx="12">
                  <c:v>24.471299093655588</c:v>
                </c:pt>
                <c:pt idx="13">
                  <c:v>25.980754996299041</c:v>
                </c:pt>
                <c:pt idx="14">
                  <c:v>27.431059506531199</c:v>
                </c:pt>
                <c:pt idx="15">
                  <c:v>28.82562277580071</c:v>
                </c:pt>
                <c:pt idx="16">
                  <c:v>30.16759776536313</c:v>
                </c:pt>
                <c:pt idx="17">
                  <c:v>31.459904043865659</c:v>
                </c:pt>
                <c:pt idx="18">
                  <c:v>37.264742785445421</c:v>
                </c:pt>
                <c:pt idx="19">
                  <c:v>42.1631000578369</c:v>
                </c:pt>
                <c:pt idx="20">
                  <c:v>46.351931330472105</c:v>
                </c:pt>
                <c:pt idx="21">
                  <c:v>49.974987493746873</c:v>
                </c:pt>
                <c:pt idx="22">
                  <c:v>53.139643861293337</c:v>
                </c:pt>
                <c:pt idx="23">
                  <c:v>58.402662229617306</c:v>
                </c:pt>
                <c:pt idx="24">
                  <c:v>62.602842183994007</c:v>
                </c:pt>
                <c:pt idx="25">
                  <c:v>66.032608695652172</c:v>
                </c:pt>
                <c:pt idx="26">
                  <c:v>72.972972972972968</c:v>
                </c:pt>
                <c:pt idx="27">
                  <c:v>84.375</c:v>
                </c:pt>
                <c:pt idx="28">
                  <c:v>91.52542372881355</c:v>
                </c:pt>
                <c:pt idx="29">
                  <c:v>95.575221238938042</c:v>
                </c:pt>
                <c:pt idx="30">
                  <c:v>98.181818181818187</c:v>
                </c:pt>
                <c:pt idx="31">
                  <c:v>99.630996309963095</c:v>
                </c:pt>
              </c:numCache>
            </c:numRef>
          </c:xVal>
          <c:yVal>
            <c:numRef>
              <c:f>'Rhodes Diag Calcs'!$D$10:$D$41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2-D6B3-2943-B418-B6B09E839F7A}"/>
            </c:ext>
          </c:extLst>
        </c:ser>
        <c:ser>
          <c:idx val="0"/>
          <c:order val="3"/>
          <c:spPr>
            <a:ln>
              <a:prstDash val="dash"/>
            </a:ln>
          </c:spPr>
          <c:marker>
            <c:symbol val="none"/>
          </c:marker>
          <c:xVal>
            <c:numRef>
              <c:f>'Rhodes Diag Calcs'!$M$10:$M$41</c:f>
              <c:numCache>
                <c:formatCode>General</c:formatCode>
                <c:ptCount val="32"/>
                <c:pt idx="0">
                  <c:v>0</c:v>
                </c:pt>
                <c:pt idx="1">
                  <c:v>2.9126213592233015</c:v>
                </c:pt>
                <c:pt idx="2">
                  <c:v>5.6603773584905666</c:v>
                </c:pt>
                <c:pt idx="3">
                  <c:v>8.2568807339449553</c:v>
                </c:pt>
                <c:pt idx="4">
                  <c:v>10.714285714285715</c:v>
                </c:pt>
                <c:pt idx="5">
                  <c:v>13.043478260869568</c:v>
                </c:pt>
                <c:pt idx="6">
                  <c:v>15.254237288135597</c:v>
                </c:pt>
                <c:pt idx="7">
                  <c:v>17.355371900826448</c:v>
                </c:pt>
                <c:pt idx="8">
                  <c:v>19.354838709677423</c:v>
                </c:pt>
                <c:pt idx="9">
                  <c:v>21.259842519685044</c:v>
                </c:pt>
                <c:pt idx="10">
                  <c:v>23.07692307692308</c:v>
                </c:pt>
                <c:pt idx="11">
                  <c:v>24.812030075187973</c:v>
                </c:pt>
                <c:pt idx="12">
                  <c:v>26.47058823529412</c:v>
                </c:pt>
                <c:pt idx="13">
                  <c:v>28.057553956834536</c:v>
                </c:pt>
                <c:pt idx="14">
                  <c:v>29.577464788732399</c:v>
                </c:pt>
                <c:pt idx="15">
                  <c:v>31.03448275862069</c:v>
                </c:pt>
                <c:pt idx="16">
                  <c:v>32.432432432432435</c:v>
                </c:pt>
                <c:pt idx="17">
                  <c:v>33.774834437086092</c:v>
                </c:pt>
                <c:pt idx="18">
                  <c:v>39.759036144578317</c:v>
                </c:pt>
                <c:pt idx="19">
                  <c:v>44.751381215469621</c:v>
                </c:pt>
                <c:pt idx="20">
                  <c:v>48.979591836734699</c:v>
                </c:pt>
                <c:pt idx="21">
                  <c:v>52.606635071090054</c:v>
                </c:pt>
                <c:pt idx="22">
                  <c:v>55.752212389380539</c:v>
                </c:pt>
                <c:pt idx="23">
                  <c:v>60.9375</c:v>
                </c:pt>
                <c:pt idx="24">
                  <c:v>65.03496503496504</c:v>
                </c:pt>
                <c:pt idx="25">
                  <c:v>68.354430379746844</c:v>
                </c:pt>
                <c:pt idx="26">
                  <c:v>75.000000000000014</c:v>
                </c:pt>
                <c:pt idx="27">
                  <c:v>85.714285714285722</c:v>
                </c:pt>
                <c:pt idx="28">
                  <c:v>92.307692307692307</c:v>
                </c:pt>
                <c:pt idx="29">
                  <c:v>96</c:v>
                </c:pt>
                <c:pt idx="30">
                  <c:v>98.360655737704917</c:v>
                </c:pt>
                <c:pt idx="31">
                  <c:v>99.667774086378742</c:v>
                </c:pt>
              </c:numCache>
            </c:numRef>
          </c:xVal>
          <c:yVal>
            <c:numRef>
              <c:f>'Rhodes Diag Calcs'!$N$10:$N$41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3-D6B3-2943-B418-B6B09E839F7A}"/>
            </c:ext>
          </c:extLst>
        </c:ser>
        <c:dLbls>
          <c:showLegendKey val="0"/>
          <c:showVal val="0"/>
          <c:showCatName val="0"/>
          <c:showSerName val="0"/>
          <c:showPercent val="0"/>
          <c:showBubbleSize val="0"/>
        </c:dLbls>
        <c:axId val="1857223080"/>
        <c:axId val="1857229320"/>
      </c:scatterChart>
      <c:valAx>
        <c:axId val="1857223080"/>
        <c:scaling>
          <c:orientation val="minMax"/>
          <c:max val="100"/>
        </c:scaling>
        <c:delete val="0"/>
        <c:axPos val="b"/>
        <c:title>
          <c:tx>
            <c:rich>
              <a:bodyPr/>
              <a:lstStyle/>
              <a:p>
                <a:pPr>
                  <a:defRPr sz="1800" b="0" i="0" u="none" strike="noStrike" baseline="0">
                    <a:solidFill>
                      <a:srgbClr val="000000"/>
                    </a:solidFill>
                    <a:latin typeface="Verdana"/>
                    <a:ea typeface="Verdana"/>
                    <a:cs typeface="Verdana"/>
                  </a:defRPr>
                </a:pPr>
                <a:r>
                  <a:rPr lang="en-US" sz="1800" b="0"/>
                  <a:t>100xMg# Liquid</a:t>
                </a:r>
              </a:p>
            </c:rich>
          </c:tx>
          <c:layout>
            <c:manualLayout>
              <c:xMode val="edge"/>
              <c:yMode val="edge"/>
              <c:x val="0.41414141414141398"/>
              <c:y val="0.92810457516339895"/>
            </c:manualLayout>
          </c:layout>
          <c:overlay val="0"/>
          <c:spPr>
            <a:noFill/>
            <a:ln w="25400">
              <a:noFill/>
            </a:ln>
          </c:spPr>
        </c:title>
        <c:numFmt formatCode="General" sourceLinked="1"/>
        <c:majorTickMark val="in"/>
        <c:minorTickMark val="none"/>
        <c:tickLblPos val="nextTo"/>
        <c:spPr>
          <a:ln w="25400">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857229320"/>
        <c:crosses val="autoZero"/>
        <c:crossBetween val="midCat"/>
      </c:valAx>
      <c:valAx>
        <c:axId val="1857229320"/>
        <c:scaling>
          <c:orientation val="minMax"/>
          <c:max val="100"/>
        </c:scaling>
        <c:delete val="0"/>
        <c:axPos val="l"/>
        <c:title>
          <c:tx>
            <c:rich>
              <a:bodyPr/>
              <a:lstStyle/>
              <a:p>
                <a:pPr>
                  <a:defRPr sz="1800" b="0" i="0" u="none" strike="noStrike" baseline="0">
                    <a:solidFill>
                      <a:srgbClr val="000000"/>
                    </a:solidFill>
                    <a:latin typeface="Verdana"/>
                    <a:ea typeface="Verdana"/>
                    <a:cs typeface="Verdana"/>
                  </a:defRPr>
                </a:pPr>
                <a:r>
                  <a:rPr lang="en-US" sz="1800" b="0"/>
                  <a:t>100xMg# Olivine</a:t>
                </a:r>
              </a:p>
            </c:rich>
          </c:tx>
          <c:layout>
            <c:manualLayout>
              <c:xMode val="edge"/>
              <c:yMode val="edge"/>
              <c:x val="1.8181818181818198E-2"/>
              <c:y val="0.29847494553376902"/>
            </c:manualLayout>
          </c:layout>
          <c:overlay val="0"/>
          <c:spPr>
            <a:noFill/>
            <a:ln w="25400">
              <a:noFill/>
            </a:ln>
          </c:spPr>
        </c:title>
        <c:numFmt formatCode="0" sourceLinked="0"/>
        <c:majorTickMark val="in"/>
        <c:minorTickMark val="none"/>
        <c:tickLblPos val="nextTo"/>
        <c:spPr>
          <a:ln w="25400">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857223080"/>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875" b="0" i="0" u="none" strike="noStrike" baseline="0">
          <a:solidFill>
            <a:srgbClr val="000000"/>
          </a:solidFill>
          <a:latin typeface="Verdana"/>
          <a:ea typeface="Verdana"/>
          <a:cs typeface="Verdana"/>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workbookViewId="0"/>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125" workbookViewId="0"/>
  </sheetViews>
  <pageMargins left="0.75" right="0.75" top="1" bottom="1" header="0.5" footer="0.5"/>
  <pageSetup orientation="portrait"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DEAB69A-08D3-594B-B52E-DAA34DF2A831}">
  <sheetPr/>
  <sheetViews>
    <sheetView zoomScale="99"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93" workbookViewId="0" zoomToFit="1"/>
  </sheetViews>
  <pageMargins left="0.75" right="0.75" top="1" bottom="1" header="0.5" footer="0.5"/>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50800</xdr:rowOff>
    </xdr:from>
    <xdr:to>
      <xdr:col>10</xdr:col>
      <xdr:colOff>422266</xdr:colOff>
      <xdr:row>54</xdr:row>
      <xdr:rowOff>130182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800" y="50800"/>
          <a:ext cx="9893300" cy="900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600" b="1" i="0" strike="noStrike">
              <a:solidFill>
                <a:srgbClr val="000000"/>
              </a:solidFill>
              <a:latin typeface="Calibri"/>
              <a:ea typeface="Calibri"/>
              <a:cs typeface="Calibri"/>
            </a:rPr>
            <a:t>Instructions for Estimating P and T Using Clinopyroxene-based Thermobarometers</a:t>
          </a:r>
        </a:p>
        <a:p>
          <a:pPr algn="l" rtl="0">
            <a:defRPr sz="1000"/>
          </a:pPr>
          <a:endParaRPr lang="en-US" sz="11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For details see: Putirka, K. (2008) Thermometers and Barometers for Volcanic Systems. In: Putirka, K., Tepley, F. (Eds.), Minerals, Inclusions and Volcanic Processes, Reviews in Mineralogy and Geochemistry, Mineralogical Soc. Am., v. 69, pp. 61-120,</a:t>
          </a:r>
          <a:r>
            <a:rPr lang="en-US" sz="1200" b="0" i="0" strike="noStrike" baseline="0">
              <a:solidFill>
                <a:srgbClr val="000000"/>
              </a:solidFill>
              <a:latin typeface="Calibri"/>
              <a:ea typeface="Calibri"/>
              <a:cs typeface="Calibri"/>
            </a:rPr>
            <a:t> and Neave and Putirka....</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Input</a:t>
          </a:r>
        </a:p>
        <a:p>
          <a:pPr algn="l" rtl="0">
            <a:defRPr sz="1000"/>
          </a:pPr>
          <a:r>
            <a:rPr lang="en-US" sz="1200" b="0" i="0" strike="noStrike">
              <a:solidFill>
                <a:srgbClr val="000000"/>
              </a:solidFill>
              <a:latin typeface="Calibri"/>
              <a:ea typeface="Calibri"/>
              <a:cs typeface="Calibri"/>
            </a:rPr>
            <a:t>1) Enter a nominal liquid composition in columns F-Q, leaving blank any oxides that are not available. The “liquid” could be the composition of a glass, or the whole rock, or some calculated composition – use whatever you think is most likely to be in equilibrium with a given clinopyroxene:</a:t>
          </a:r>
        </a:p>
        <a:p>
          <a:pPr algn="l" rtl="0">
            <a:defRPr sz="1000"/>
          </a:pPr>
          <a:r>
            <a:rPr lang="en-US" sz="1200" b="0" i="0" strike="noStrike">
              <a:solidFill>
                <a:srgbClr val="000000"/>
              </a:solidFill>
              <a:latin typeface="Calibri"/>
              <a:ea typeface="Calibri"/>
              <a:cs typeface="Calibri"/>
            </a:rPr>
            <a:t>2)</a:t>
          </a:r>
          <a:r>
            <a:rPr lang="en-US" sz="1200" b="0" i="0" strike="noStrike" baseline="0">
              <a:solidFill>
                <a:srgbClr val="000000"/>
              </a:solidFill>
              <a:latin typeface="Calibri"/>
              <a:ea typeface="Calibri"/>
              <a:cs typeface="Calibri"/>
            </a:rPr>
            <a:t> Enter an equilibrium cpx composition</a:t>
          </a:r>
          <a:r>
            <a:rPr lang="en-US" sz="1200" b="0" i="0" strike="noStrike">
              <a:solidFill>
                <a:srgbClr val="000000"/>
              </a:solidFill>
              <a:latin typeface="Calibri"/>
              <a:ea typeface="Calibri"/>
              <a:cs typeface="Calibri"/>
            </a:rPr>
            <a:t> in columns T - AC. Consider</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but</a:t>
          </a:r>
          <a:r>
            <a:rPr lang="en-US" sz="1200" b="0" i="0" strike="noStrike" baseline="0">
              <a:solidFill>
                <a:srgbClr val="000000"/>
              </a:solidFill>
              <a:latin typeface="Calibri"/>
              <a:ea typeface="Calibri"/>
              <a:cs typeface="Calibri"/>
            </a:rPr>
            <a:t> of course not be wedded to)</a:t>
          </a:r>
          <a:r>
            <a:rPr lang="en-US" sz="1200" b="0" i="0" strike="noStrike">
              <a:solidFill>
                <a:srgbClr val="000000"/>
              </a:solidFill>
              <a:latin typeface="Calibri"/>
              <a:ea typeface="Calibri"/>
              <a:cs typeface="Calibri"/>
            </a:rPr>
            <a:t> matching mineral rims to matrix glass and mineral cores to whole rock compositions, at least to start.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Most</a:t>
          </a:r>
          <a:r>
            <a:rPr lang="en-US" sz="1200" b="0" i="0" strike="noStrike" baseline="0">
              <a:solidFill>
                <a:srgbClr val="000000"/>
              </a:solidFill>
              <a:latin typeface="Calibri"/>
              <a:ea typeface="Calibri"/>
              <a:cs typeface="Calibri"/>
            </a:rPr>
            <a:t> cyrstals are not in equilibrium with their host whole rocks but it may be possible to find the correct liquid by comparing whole rock compositions along a liquid line of descent, in a variation diagram. On the assumption that the minerals in question are related to the liquid on such a trend, one can then obain the liquid by simply mixing variation proportions of observed end members until teh Fe-Mg exchange coefficient approaches 0.27-0.28 and the difference between predicted and observed DiHd values approach zero. If these two tests do not converge, it could be because of model error, or that none of the proposed compositions satisfy as a liquid.</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Settings</a:t>
          </a:r>
        </a:p>
        <a:p>
          <a:pPr algn="l" rtl="0">
            <a:defRPr sz="1000"/>
          </a:pPr>
          <a:r>
            <a:rPr lang="en-US" sz="1200" b="0" i="0" strike="noStrike">
              <a:solidFill>
                <a:srgbClr val="000000"/>
              </a:solidFill>
              <a:latin typeface="Calibri"/>
              <a:ea typeface="Calibri"/>
              <a:cs typeface="Calibri"/>
            </a:rPr>
            <a:t>In this workbook, most thermometers are P-sensitive and most barometers are T-sensitive. Two equations can be solved simultaneously to arrive at P and T, which is accomplished here by using the output of one model as input for another. To work, you must make certain that under Excel – Preferences – Calculations, that “Iterative” calculations are allowed, otherwise Excel will report a “Circular reference” error.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P-T calculations</a:t>
          </a:r>
        </a:p>
        <a:p>
          <a:pPr algn="l" rtl="0">
            <a:defRPr sz="1000"/>
          </a:pPr>
          <a:r>
            <a:rPr lang="en-US" sz="1200" b="0" i="0" strike="noStrike">
              <a:solidFill>
                <a:srgbClr val="000000"/>
              </a:solidFill>
              <a:latin typeface="Calibri"/>
              <a:ea typeface="Calibri"/>
              <a:cs typeface="Calibri"/>
            </a:rPr>
            <a:t>Columns</a:t>
          </a:r>
          <a:r>
            <a:rPr lang="en-US" sz="1200" b="0" i="0" strike="noStrike" baseline="0">
              <a:solidFill>
                <a:srgbClr val="000000"/>
              </a:solidFill>
              <a:latin typeface="Calibri"/>
              <a:ea typeface="Calibri"/>
              <a:cs typeface="Calibri"/>
            </a:rPr>
            <a:t> AF and AG provide P-T estimates using the new barometer of Neave and Putirka (2017), paired with Eqn. 33, a thermometer from Putirka (2008). </a:t>
          </a:r>
          <a:r>
            <a:rPr lang="en-US" sz="1200" b="0" i="0" strike="noStrike">
              <a:solidFill>
                <a:srgbClr val="000000"/>
              </a:solidFill>
              <a:latin typeface="Calibri"/>
              <a:ea typeface="Calibri"/>
              <a:cs typeface="Calibri"/>
            </a:rPr>
            <a:t>Other results, using earlier-calibrated</a:t>
          </a:r>
          <a:r>
            <a:rPr lang="en-US" sz="1200" b="0" i="0" strike="noStrike" baseline="0">
              <a:solidFill>
                <a:srgbClr val="000000"/>
              </a:solidFill>
              <a:latin typeface="Calibri"/>
              <a:ea typeface="Calibri"/>
              <a:cs typeface="Calibri"/>
            </a:rPr>
            <a:t> models, are shown in columns AV-BJ. </a:t>
          </a:r>
          <a:r>
            <a:rPr lang="en-US" sz="1200" b="0" i="0" strike="noStrike">
              <a:solidFill>
                <a:srgbClr val="000000"/>
              </a:solidFill>
              <a:latin typeface="Calibri"/>
              <a:ea typeface="Calibri"/>
              <a:cs typeface="Calibri"/>
            </a:rPr>
            <a:t>Default settings here,</a:t>
          </a:r>
          <a:r>
            <a:rPr lang="en-US" sz="1200" b="0" i="0" strike="noStrike" baseline="0">
              <a:solidFill>
                <a:srgbClr val="000000"/>
              </a:solidFill>
              <a:latin typeface="Calibri"/>
              <a:ea typeface="Calibri"/>
              <a:cs typeface="Calibri"/>
            </a:rPr>
            <a:t> are</a:t>
          </a:r>
          <a:r>
            <a:rPr lang="en-US" sz="1200" b="0" i="0" strike="noStrike">
              <a:solidFill>
                <a:srgbClr val="000000"/>
              </a:solidFill>
              <a:latin typeface="Calibri"/>
              <a:ea typeface="Calibri"/>
              <a:cs typeface="Calibri"/>
            </a:rPr>
            <a:t> that the models from Putirka</a:t>
          </a:r>
          <a:r>
            <a:rPr lang="en-US" sz="1200" b="0" i="0" strike="noStrike" baseline="0">
              <a:solidFill>
                <a:srgbClr val="000000"/>
              </a:solidFill>
              <a:latin typeface="Calibri"/>
              <a:ea typeface="Calibri"/>
              <a:cs typeface="Calibri"/>
            </a:rPr>
            <a:t> et a (1996) and from Putirka et al. (2003) are solved as two separate sets of P-T estimates. There is no problem with mixing thermometers and barometers. </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If you would rather solve two other equations simultaneously, then change</a:t>
          </a:r>
          <a:r>
            <a:rPr lang="en-US" sz="1200" b="0" i="0" strike="noStrike" baseline="0">
              <a:solidFill>
                <a:srgbClr val="000000"/>
              </a:solidFill>
              <a:latin typeface="Calibri"/>
              <a:ea typeface="Calibri"/>
              <a:cs typeface="Calibri"/>
            </a:rPr>
            <a:t> the cell references to any of the models as appropriate</a:t>
          </a:r>
          <a:r>
            <a:rPr lang="en-US" sz="1200" b="0" i="0" strike="noStrike">
              <a:solidFill>
                <a:srgbClr val="000000"/>
              </a:solidFill>
              <a:latin typeface="Calibri"/>
              <a:ea typeface="Calibri"/>
              <a:cs typeface="Calibri"/>
            </a:rPr>
            <a:t>.</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Tests for equilibrium</a:t>
          </a:r>
        </a:p>
        <a:p>
          <a:pPr algn="l" rtl="0">
            <a:defRPr sz="1000"/>
          </a:pPr>
          <a:r>
            <a:rPr lang="en-US" sz="1200" b="0" i="0" strike="noStrike">
              <a:solidFill>
                <a:srgbClr val="000000"/>
              </a:solidFill>
              <a:latin typeface="Calibri"/>
              <a:ea typeface="Calibri"/>
              <a:cs typeface="Calibri"/>
            </a:rPr>
            <a:t>1) </a:t>
          </a:r>
          <a:r>
            <a:rPr lang="en-US" sz="1200" b="0" i="0" u="sng" strike="noStrike">
              <a:solidFill>
                <a:srgbClr val="000000"/>
              </a:solidFill>
              <a:latin typeface="Calibri"/>
              <a:ea typeface="Calibri"/>
              <a:cs typeface="Calibri"/>
            </a:rPr>
            <a:t>The best test is to compare T or P estimates from independent equilibria</a:t>
          </a:r>
          <a:r>
            <a:rPr lang="en-US" sz="1200" b="0" i="0" u="none" strike="noStrike">
              <a:solidFill>
                <a:srgbClr val="000000"/>
              </a:solidFill>
              <a:latin typeface="Calibri"/>
              <a:ea typeface="Calibri"/>
              <a:cs typeface="Calibri"/>
            </a:rPr>
            <a:t>.</a:t>
          </a:r>
          <a:r>
            <a:rPr lang="en-US" sz="1200" b="0" i="0" u="none" strike="noStrike" baseline="0">
              <a:solidFill>
                <a:srgbClr val="000000"/>
              </a:solidFill>
              <a:latin typeface="Calibri"/>
              <a:ea typeface="Calibri"/>
              <a:cs typeface="Calibri"/>
            </a:rPr>
            <a:t> I</a:t>
          </a:r>
          <a:r>
            <a:rPr lang="en-US" sz="1200" b="0" i="0" strike="noStrike">
              <a:solidFill>
                <a:srgbClr val="000000"/>
              </a:solidFill>
              <a:latin typeface="Calibri"/>
              <a:ea typeface="Calibri"/>
              <a:cs typeface="Calibri"/>
            </a:rPr>
            <a:t>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2</a:t>
          </a:r>
          <a:r>
            <a:rPr lang="en-US" sz="1200" b="0" i="0" u="sng" strike="noStrike">
              <a:solidFill>
                <a:srgbClr val="000000"/>
              </a:solidFill>
              <a:latin typeface="Calibri"/>
              <a:ea typeface="Calibri"/>
              <a:cs typeface="Calibri"/>
            </a:rPr>
            <a:t>) The Rhodes Diagram</a:t>
          </a:r>
          <a:r>
            <a:rPr lang="en-US" sz="1200" b="0" i="0" strike="noStrike">
              <a:solidFill>
                <a:srgbClr val="000000"/>
              </a:solidFill>
              <a:latin typeface="Calibri"/>
              <a:ea typeface="Calibri"/>
              <a:cs typeface="Calibri"/>
            </a:rPr>
            <a:t>.</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Tests for equilibrium between clinopyroxene and a nominal coexisting liquid can be made by comparing observed and predicted valuesof Fe and Mg contents,</a:t>
          </a:r>
          <a:r>
            <a:rPr lang="en-US" sz="1200" b="0" i="0" strike="noStrike" baseline="0">
              <a:solidFill>
                <a:srgbClr val="000000"/>
              </a:solidFill>
              <a:latin typeface="Calibri"/>
              <a:ea typeface="Calibri"/>
              <a:cs typeface="Calibri"/>
            </a:rPr>
            <a:t> illustrated as </a:t>
          </a:r>
          <a:r>
            <a:rPr lang="en-US" sz="1200" b="0" i="0" strike="noStrike">
              <a:solidFill>
                <a:srgbClr val="000000"/>
              </a:solidFill>
              <a:latin typeface="Calibri"/>
              <a:ea typeface="Calibri"/>
              <a:cs typeface="Calibri"/>
            </a:rPr>
            <a:t>a Fe-Mg exchange coefficient, or K</a:t>
          </a:r>
          <a:r>
            <a:rPr lang="en-US" sz="1200" b="0" i="0" strike="noStrike" baseline="-25000">
              <a:solidFill>
                <a:srgbClr val="000000"/>
              </a:solidFill>
              <a:latin typeface="Calibri"/>
              <a:ea typeface="Calibri"/>
              <a:cs typeface="Calibri"/>
            </a:rPr>
            <a:t>D</a:t>
          </a:r>
          <a:r>
            <a:rPr lang="en-US" sz="1200" b="0" i="0" strike="noStrike">
              <a:solidFill>
                <a:srgbClr val="000000"/>
              </a:solidFill>
              <a:latin typeface="Calibri"/>
              <a:ea typeface="Calibri"/>
              <a:cs typeface="Calibri"/>
            </a:rPr>
            <a:t>(Fe-Mg)</a:t>
          </a:r>
          <a:r>
            <a:rPr lang="en-US" sz="1200" b="0" i="0" strike="noStrike" baseline="30000">
              <a:solidFill>
                <a:srgbClr val="000000"/>
              </a:solidFill>
              <a:latin typeface="Calibri"/>
              <a:ea typeface="Calibri"/>
              <a:cs typeface="Calibri"/>
            </a:rPr>
            <a:t>cpx-liq</a:t>
          </a:r>
          <a:r>
            <a:rPr lang="en-US" sz="1200" b="0" i="0" strike="noStrike">
              <a:solidFill>
                <a:srgbClr val="000000"/>
              </a:solidFill>
              <a:latin typeface="Calibri"/>
              <a:ea typeface="Calibri"/>
              <a:cs typeface="Calibri"/>
            </a:rPr>
            <a:t>, which should be close</a:t>
          </a:r>
          <a:r>
            <a:rPr lang="en-US" sz="1200" b="0" i="0" strike="noStrike" baseline="0">
              <a:solidFill>
                <a:srgbClr val="000000"/>
              </a:solidFill>
              <a:latin typeface="Calibri"/>
              <a:ea typeface="Calibri"/>
              <a:cs typeface="Calibri"/>
            </a:rPr>
            <a:t> to</a:t>
          </a:r>
          <a:r>
            <a:rPr lang="en-US" sz="1200" b="0" i="0" strike="noStrike">
              <a:solidFill>
                <a:srgbClr val="000000"/>
              </a:solidFill>
              <a:latin typeface="Calibri"/>
              <a:ea typeface="Calibri"/>
              <a:cs typeface="Calibri"/>
            </a:rPr>
            <a:t> 0.27±0.03. To make this test visiual, we use the Rhodes diagram (see chart titled "Rhodes Diag"). This is based on a comparison of Mg# for the liq and Cpx phases, and the curves shown in this diagram assume an</a:t>
          </a:r>
          <a:r>
            <a:rPr lang="en-US" sz="1200" b="0" i="0" strike="noStrike" baseline="0">
              <a:solidFill>
                <a:srgbClr val="000000"/>
              </a:solidFill>
              <a:latin typeface="Calibri"/>
              <a:ea typeface="Calibri"/>
              <a:cs typeface="Calibri"/>
            </a:rPr>
            <a:t> Fe-Mg eschange coefficient of 0.27 (see cell C4 in Rhodes Diag Calcs sheet). </a:t>
          </a:r>
          <a:r>
            <a:rPr lang="en-US" sz="1200" b="0" i="0" strike="noStrike">
              <a:solidFill>
                <a:srgbClr val="000000"/>
              </a:solidFill>
              <a:latin typeface="Calibri"/>
              <a:ea typeface="Calibri"/>
              <a:cs typeface="Calibri"/>
            </a:rPr>
            <a:t>In column I in the Cpx and Input</a:t>
          </a:r>
          <a:r>
            <a:rPr lang="en-US" sz="1200" b="0" i="0" strike="noStrike" baseline="0">
              <a:solidFill>
                <a:srgbClr val="000000"/>
              </a:solidFill>
              <a:latin typeface="Calibri"/>
              <a:ea typeface="Calibri"/>
              <a:cs typeface="Calibri"/>
            </a:rPr>
            <a:t> Models sheet</a:t>
          </a:r>
          <a:r>
            <a:rPr lang="en-US" sz="1200" b="0" i="0" strike="noStrike">
              <a:solidFill>
                <a:srgbClr val="000000"/>
              </a:solidFill>
              <a:latin typeface="Calibri"/>
              <a:ea typeface="Calibri"/>
              <a:cs typeface="Calibri"/>
            </a:rPr>
            <a:t>, Fe is entered as FeOt for total FeO; this is best in most cases, since all experimental data are treatd this way (even if at high oxygen fugacity).</a:t>
          </a:r>
          <a:r>
            <a:rPr lang="en-US" sz="1200" b="0" i="0" strike="noStrike" baseline="0">
              <a:solidFill>
                <a:srgbClr val="000000"/>
              </a:solidFill>
              <a:latin typeface="Calibri"/>
              <a:ea typeface="Calibri"/>
              <a:cs typeface="Calibri"/>
            </a:rPr>
            <a:t> I</a:t>
          </a:r>
          <a:r>
            <a:rPr lang="en-US" sz="1200" b="0" i="0" strike="noStrike">
              <a:solidFill>
                <a:srgbClr val="000000"/>
              </a:solidFill>
              <a:latin typeface="Calibri"/>
              <a:ea typeface="Calibri"/>
              <a:cs typeface="Calibri"/>
            </a:rPr>
            <a:t>f Fe3+ is significant, then the coefficient in cell G8 could be less than 1. Independent</a:t>
          </a:r>
          <a:r>
            <a:rPr lang="en-US" sz="1200" b="0" i="0" strike="noStrike" baseline="0">
              <a:solidFill>
                <a:srgbClr val="000000"/>
              </a:solidFill>
              <a:latin typeface="Calibri"/>
              <a:ea typeface="Calibri"/>
              <a:cs typeface="Calibri"/>
            </a:rPr>
            <a:t> of Fe3+ contents, if a liquid Fe content is expressed as Fe2O3, partly or wholly,</a:t>
          </a:r>
          <a:r>
            <a:rPr lang="en-US" sz="1200" b="0" i="0" strike="noStrike">
              <a:solidFill>
                <a:srgbClr val="000000"/>
              </a:solidFill>
              <a:latin typeface="Calibri"/>
              <a:ea typeface="Calibri"/>
              <a:cs typeface="Calibri"/>
            </a:rPr>
            <a:t> it is much easy</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to make the correction on the weight % side</a:t>
          </a:r>
          <a:r>
            <a:rPr lang="en-US" sz="1200" b="0" i="0" strike="noStrike" baseline="0">
              <a:solidFill>
                <a:srgbClr val="000000"/>
              </a:solidFill>
              <a:latin typeface="Calibri"/>
              <a:ea typeface="Calibri"/>
              <a:cs typeface="Calibri"/>
            </a:rPr>
            <a:t> using:</a:t>
          </a:r>
          <a:r>
            <a:rPr lang="en-US" sz="1200" b="0" i="0" strike="noStrike">
              <a:solidFill>
                <a:srgbClr val="000000"/>
              </a:solidFill>
              <a:latin typeface="Calibri"/>
              <a:ea typeface="Calibri"/>
              <a:cs typeface="Calibri"/>
            </a:rPr>
            <a:t> FeO=x(Fe2O3t), where x 0.8998 (I use 0.9).</a:t>
          </a:r>
          <a:r>
            <a:rPr lang="en-US" sz="1200" b="0" i="0" strike="noStrike" baseline="0">
              <a:solidFill>
                <a:srgbClr val="000000"/>
              </a:solidFill>
              <a:latin typeface="Calibri"/>
              <a:ea typeface="Calibri"/>
              <a:cs typeface="Calibri"/>
            </a:rPr>
            <a:t> If Fe is reported as both FeO and Fe2O3, then FeOt  = FeO + 0.9*Fe2O3. </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3) </a:t>
          </a:r>
          <a:r>
            <a:rPr lang="en-US" sz="1200" b="0" i="0" u="sng" strike="noStrike">
              <a:solidFill>
                <a:srgbClr val="000000"/>
              </a:solidFill>
              <a:latin typeface="Calibri"/>
              <a:ea typeface="Calibri"/>
              <a:cs typeface="Calibri"/>
            </a:rPr>
            <a:t>Comparin predicted and calculated mineral components. </a:t>
          </a:r>
          <a:r>
            <a:rPr lang="en-US" sz="1200" b="0" i="0" strike="noStrike">
              <a:solidFill>
                <a:srgbClr val="000000"/>
              </a:solidFill>
              <a:latin typeface="Calibri"/>
              <a:ea typeface="Calibri"/>
              <a:cs typeface="Calibri"/>
            </a:rPr>
            <a:t>Another, and perhaps better, test is to compare predicated and observed values for the clinopyroxene components (i.e., compare columns BL-BR with BT-BC (see the chart "Test of Equilibrium" for a graphical comparison). In theory,</a:t>
          </a:r>
          <a:r>
            <a:rPr lang="en-US" sz="1200" b="0" i="0" strike="noStrike" baseline="0">
              <a:solidFill>
                <a:srgbClr val="000000"/>
              </a:solidFill>
              <a:latin typeface="Calibri"/>
              <a:ea typeface="Calibri"/>
              <a:cs typeface="Calibri"/>
            </a:rPr>
            <a:t> if the system is equilibrated, the sum of calculated components in column BZ should equal 1 (but this sum, and its closeness to 1.0, does not seem to be a secure test of equilibrium).</a:t>
          </a:r>
          <a:r>
            <a:rPr lang="en-US" sz="1200" b="0" i="0" strike="noStrike">
              <a:solidFill>
                <a:srgbClr val="000000"/>
              </a:solidFill>
              <a:latin typeface="Calibri"/>
              <a:ea typeface="Calibri"/>
              <a:cs typeface="Calibri"/>
            </a:rPr>
            <a:t> For experimental data, various quantities that can be used as tests for equilibrium appear to be correlated; thus, if equilibrium or disequilibrium is indicated by one parameter, other parameters often (though not always) follow. However, in the RiMG volume, I show some instances for experimental data where the comparison of clinopyroxene components provides a more certain test than for K</a:t>
          </a:r>
          <a:r>
            <a:rPr lang="en-US" sz="1200" b="0" i="0" strike="noStrike" baseline="-25000">
              <a:solidFill>
                <a:srgbClr val="000000"/>
              </a:solidFill>
              <a:latin typeface="Calibri"/>
              <a:ea typeface="Calibri"/>
              <a:cs typeface="Calibri"/>
            </a:rPr>
            <a:t>D</a:t>
          </a:r>
          <a:r>
            <a:rPr lang="en-US" sz="1200" b="0" i="0" strike="noStrike">
              <a:solidFill>
                <a:srgbClr val="000000"/>
              </a:solidFill>
              <a:latin typeface="Calibri"/>
              <a:ea typeface="Calibri"/>
              <a:cs typeface="Calibri"/>
            </a:rPr>
            <a:t>(Fe-Mg)</a:t>
          </a:r>
          <a:r>
            <a:rPr lang="en-US" sz="1200" b="0" i="0" strike="noStrike" baseline="30000">
              <a:solidFill>
                <a:srgbClr val="000000"/>
              </a:solidFill>
              <a:latin typeface="Calibri"/>
              <a:ea typeface="Calibri"/>
              <a:cs typeface="Calibri"/>
            </a:rPr>
            <a:t>cpx-liq</a:t>
          </a:r>
          <a:r>
            <a:rPr lang="en-US" sz="1200" b="0" i="0" strike="noStrike">
              <a:solidFill>
                <a:srgbClr val="000000"/>
              </a:solidFill>
              <a:latin typeface="Calibri"/>
              <a:ea typeface="Calibri"/>
              <a:cs typeface="Calibri"/>
            </a:rPr>
            <a:t>.</a:t>
          </a:r>
        </a:p>
        <a:p>
          <a:pPr algn="l" rtl="0">
            <a:defRPr sz="1000"/>
          </a:pPr>
          <a:endParaRPr lang="en-US" sz="1200" b="0" i="0" strike="noStrike">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6289040" cy="8117840"/>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1919" cy="6285859"/>
    <xdr:graphicFrame macro="">
      <xdr:nvGraphicFramePr>
        <xdr:cNvPr id="2" name="Chart 1">
          <a:extLst>
            <a:ext uri="{FF2B5EF4-FFF2-40B4-BE49-F238E27FC236}">
              <a16:creationId xmlns:a16="http://schemas.microsoft.com/office/drawing/2014/main" id="{269F2BD7-4B90-FA42-A277-6FCEFC9F6A0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0.41568</cdr:x>
      <cdr:y>0.12245</cdr:y>
    </cdr:from>
    <cdr:to>
      <cdr:x>0.49852</cdr:x>
      <cdr:y>0.2</cdr:y>
    </cdr:to>
    <cdr:sp macro="" textlink="">
      <cdr:nvSpPr>
        <cdr:cNvPr id="2" name="TextBox 1">
          <a:extLst xmlns:a="http://schemas.openxmlformats.org/drawingml/2006/main">
            <a:ext uri="{FF2B5EF4-FFF2-40B4-BE49-F238E27FC236}">
              <a16:creationId xmlns:a16="http://schemas.microsoft.com/office/drawing/2014/main" id="{2A7991A2-168B-6E4B-9815-25168FB46E1B}"/>
            </a:ext>
          </a:extLst>
        </cdr:cNvPr>
        <cdr:cNvSpPr txBox="1"/>
      </cdr:nvSpPr>
      <cdr:spPr>
        <a:xfrm xmlns:a="http://schemas.openxmlformats.org/drawingml/2006/main">
          <a:off x="3604747" y="769697"/>
          <a:ext cx="718384" cy="487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400"/>
            <a:t>Wo</a:t>
          </a:r>
        </a:p>
      </cdr:txBody>
    </cdr:sp>
  </cdr:relSizeAnchor>
  <cdr:relSizeAnchor xmlns:cdr="http://schemas.openxmlformats.org/drawingml/2006/chartDrawing">
    <cdr:from>
      <cdr:x>0.2174</cdr:x>
      <cdr:y>0.48563</cdr:y>
    </cdr:from>
    <cdr:to>
      <cdr:x>0.30024</cdr:x>
      <cdr:y>0.56318</cdr:y>
    </cdr:to>
    <cdr:sp macro="" textlink="">
      <cdr:nvSpPr>
        <cdr:cNvPr id="3"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1885244" y="3052619"/>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Di</a:t>
          </a:r>
        </a:p>
      </cdr:txBody>
    </cdr:sp>
  </cdr:relSizeAnchor>
  <cdr:relSizeAnchor xmlns:cdr="http://schemas.openxmlformats.org/drawingml/2006/chartDrawing">
    <cdr:from>
      <cdr:x>0.64195</cdr:x>
      <cdr:y>0.48971</cdr:y>
    </cdr:from>
    <cdr:to>
      <cdr:x>0.72479</cdr:x>
      <cdr:y>0.56727</cdr:y>
    </cdr:to>
    <cdr:sp macro="" textlink="">
      <cdr:nvSpPr>
        <cdr:cNvPr id="4"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5566962" y="3078276"/>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Hd</a:t>
          </a:r>
        </a:p>
      </cdr:txBody>
    </cdr:sp>
  </cdr:relSizeAnchor>
  <cdr:relSizeAnchor xmlns:cdr="http://schemas.openxmlformats.org/drawingml/2006/chartDrawing">
    <cdr:from>
      <cdr:x>0.05615</cdr:x>
      <cdr:y>0.87339</cdr:y>
    </cdr:from>
    <cdr:to>
      <cdr:x>0.13899</cdr:x>
      <cdr:y>0.95094</cdr:y>
    </cdr:to>
    <cdr:sp macro="" textlink="">
      <cdr:nvSpPr>
        <cdr:cNvPr id="5"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486962" y="5489992"/>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En</a:t>
          </a:r>
        </a:p>
      </cdr:txBody>
    </cdr:sp>
  </cdr:relSizeAnchor>
  <cdr:relSizeAnchor xmlns:cdr="http://schemas.openxmlformats.org/drawingml/2006/chartDrawing">
    <cdr:from>
      <cdr:x>0.81503</cdr:x>
      <cdr:y>0.8591</cdr:y>
    </cdr:from>
    <cdr:to>
      <cdr:x>0.89787</cdr:x>
      <cdr:y>0.93665</cdr:y>
    </cdr:to>
    <cdr:sp macro="" textlink="">
      <cdr:nvSpPr>
        <cdr:cNvPr id="6"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7067871" y="5400194"/>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Fs</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1" workbookViewId="0">
      <selection activeCell="G52" sqref="G52"/>
    </sheetView>
  </sheetViews>
  <sheetFormatPr defaultColWidth="11" defaultRowHeight="13.5"/>
  <sheetData/>
  <phoneticPr fontId="3" type="noConversion"/>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Z43"/>
  <sheetViews>
    <sheetView tabSelected="1" topLeftCell="BX1" workbookViewId="0">
      <selection activeCell="CG13" sqref="CG13"/>
    </sheetView>
  </sheetViews>
  <sheetFormatPr defaultColWidth="10.69140625" defaultRowHeight="13.5"/>
  <cols>
    <col min="1" max="1" width="28.15234375" style="1" customWidth="1"/>
    <col min="2" max="2" width="16.69140625" style="1" customWidth="1"/>
    <col min="3" max="17" width="10.69140625" style="3"/>
    <col min="18" max="18" width="10.69140625" style="14"/>
    <col min="19" max="19" width="4.4609375" customWidth="1"/>
    <col min="20" max="29" width="10.69140625" style="3"/>
    <col min="30" max="30" width="10.69140625" style="1"/>
    <col min="31" max="32" width="18.4609375" style="25" customWidth="1"/>
    <col min="33" max="33" width="30.23046875" style="25" customWidth="1"/>
    <col min="34" max="35" width="15" style="25" customWidth="1"/>
    <col min="36" max="36" width="4.15234375" style="25" customWidth="1"/>
    <col min="37" max="37" width="14.4609375" style="25" customWidth="1"/>
    <col min="38" max="38" width="18.4609375" style="25" customWidth="1"/>
    <col min="39" max="39" width="1.4609375" customWidth="1"/>
    <col min="40" max="40" width="18.4609375" style="25" customWidth="1"/>
    <col min="41" max="41" width="7.15234375" style="25" customWidth="1"/>
    <col min="42" max="42" width="13.15234375" style="1" customWidth="1"/>
    <col min="43" max="43" width="2.4609375" style="25" customWidth="1"/>
    <col min="44" max="44" width="19.15234375" style="25" customWidth="1"/>
    <col min="45" max="45" width="12.15234375" style="25" customWidth="1"/>
    <col min="46" max="46" width="18.4609375" style="25" customWidth="1"/>
    <col min="47" max="47" width="6.84375" style="1" customWidth="1"/>
    <col min="48" max="52" width="10.69140625" style="3"/>
    <col min="53" max="53" width="1.4609375" style="3" customWidth="1"/>
    <col min="54" max="56" width="13.4609375" style="3" customWidth="1"/>
    <col min="57" max="58" width="10.69140625" style="3"/>
    <col min="59" max="60" width="12.4609375" style="3" customWidth="1"/>
    <col min="61" max="61" width="10.69140625" style="3"/>
    <col min="62" max="62" width="13.4609375" style="3" customWidth="1"/>
    <col min="63" max="63" width="9.15234375" style="3" customWidth="1"/>
    <col min="64" max="68" width="6.4609375" style="3" customWidth="1"/>
    <col min="69" max="69" width="9.15234375" style="3" customWidth="1"/>
    <col min="70" max="71" width="6.4609375" style="3" customWidth="1"/>
    <col min="72" max="72" width="7.69140625" style="3" customWidth="1"/>
    <col min="73" max="73" width="8" style="3" customWidth="1"/>
    <col min="74" max="74" width="7.4609375" style="3" customWidth="1"/>
    <col min="75" max="75" width="7.23046875" style="3" customWidth="1"/>
    <col min="76" max="76" width="7.4609375" style="3" customWidth="1"/>
    <col min="77" max="77" width="8" style="3" customWidth="1"/>
    <col min="78" max="78" width="7.23046875" style="3" customWidth="1"/>
    <col min="79" max="79" width="8" style="3" customWidth="1"/>
    <col min="80" max="80" width="8.4609375" style="3" customWidth="1"/>
    <col min="81" max="81" width="1.4609375" style="3" customWidth="1"/>
    <col min="82" max="82" width="10.69140625" style="1"/>
    <col min="83" max="83" width="15" style="1" customWidth="1"/>
    <col min="84" max="84" width="12.23046875" style="1" customWidth="1"/>
    <col min="85" max="86" width="9.84375" style="1" customWidth="1"/>
    <col min="87" max="87" width="1" style="1" customWidth="1"/>
    <col min="88" max="88" width="15.23046875" style="1" customWidth="1"/>
    <col min="89" max="89" width="19.4609375" style="1" customWidth="1"/>
    <col min="90" max="90" width="18" style="1" customWidth="1"/>
    <col min="91" max="91" width="5" style="1" customWidth="1"/>
    <col min="92" max="103" width="10.69140625" style="1"/>
    <col min="104" max="104" width="3" style="1" customWidth="1"/>
    <col min="105" max="115" width="10.69140625" style="1"/>
    <col min="116" max="116" width="3.4609375" style="1" customWidth="1"/>
    <col min="117" max="117" width="6.84375" style="1" customWidth="1"/>
    <col min="118" max="125" width="7.69140625" style="1" customWidth="1"/>
    <col min="126" max="126" width="5.15234375" style="1" customWidth="1"/>
    <col min="127" max="127" width="7.69140625" style="1" customWidth="1"/>
    <col min="128" max="128" width="4.4609375" style="1" customWidth="1"/>
    <col min="129" max="129" width="2.4609375" style="1" customWidth="1"/>
    <col min="130" max="139" width="10.69140625" style="1"/>
    <col min="140" max="140" width="5.84375" style="1" customWidth="1"/>
    <col min="141" max="141" width="17" style="1" customWidth="1"/>
    <col min="142" max="142" width="2.4609375" style="1" customWidth="1"/>
    <col min="143" max="146" width="10.69140625" style="1"/>
    <col min="147" max="147" width="7" style="1" customWidth="1"/>
    <col min="148" max="152" width="10.69140625" style="1"/>
    <col min="153" max="153" width="9" style="1" customWidth="1"/>
    <col min="154" max="154" width="10.69140625" style="1"/>
    <col min="155" max="155" width="6" style="1" customWidth="1"/>
    <col min="156" max="157" width="14.84375" style="1" customWidth="1"/>
    <col min="158" max="161" width="10.69140625" style="1"/>
    <col min="162" max="162" width="11.23046875" style="1" customWidth="1"/>
    <col min="163" max="163" width="10.69140625" style="1"/>
    <col min="164" max="164" width="9.15234375" style="1" customWidth="1"/>
    <col min="165" max="165" width="10.84375" style="1" customWidth="1"/>
    <col min="166" max="166" width="9.15234375" style="1" customWidth="1"/>
    <col min="167" max="167" width="9.4609375" style="1" customWidth="1"/>
    <col min="168" max="169" width="9.15234375" style="1" customWidth="1"/>
    <col min="170" max="174" width="10.69140625" style="1"/>
    <col min="175" max="175" width="21.23046875" style="1" customWidth="1"/>
    <col min="176" max="183" width="10.69140625" style="1"/>
    <col min="184" max="184" width="12.4609375" style="1" customWidth="1"/>
    <col min="185" max="198" width="10.69140625" style="1"/>
    <col min="199" max="200" width="10.4609375" style="1" customWidth="1"/>
    <col min="201" max="233" width="10.69140625" style="1"/>
    <col min="234" max="234" width="14.4609375" style="1" customWidth="1"/>
    <col min="235" max="235" width="10.69140625" style="1"/>
    <col min="236" max="236" width="13.69140625" style="1" customWidth="1"/>
    <col min="237" max="250" width="10.69140625" style="1"/>
    <col min="251" max="251" width="2.4609375" style="1" customWidth="1"/>
    <col min="252" max="254" width="10.69140625" style="1"/>
    <col min="255" max="255" width="16.15234375" style="1" customWidth="1"/>
    <col min="256" max="257" width="15.15234375" style="1" customWidth="1"/>
    <col min="258" max="258" width="3.15234375" style="1" customWidth="1"/>
    <col min="259" max="16384" width="10.69140625" style="1"/>
  </cols>
  <sheetData>
    <row r="1" spans="1:260" ht="23">
      <c r="A1" s="115" t="s">
        <v>20</v>
      </c>
      <c r="B1" s="111"/>
      <c r="C1" s="17"/>
      <c r="D1" s="17"/>
      <c r="E1" s="17"/>
      <c r="F1" s="17"/>
      <c r="AE1" s="3"/>
      <c r="AF1" s="3"/>
      <c r="AG1" s="3"/>
      <c r="AH1" s="3"/>
      <c r="AI1" s="3"/>
      <c r="AJ1" s="3"/>
      <c r="AK1" s="3"/>
      <c r="AL1" s="3"/>
      <c r="AN1" s="3"/>
      <c r="AO1" s="3"/>
      <c r="AP1" s="3"/>
      <c r="AQ1" s="3"/>
      <c r="AR1" s="3"/>
      <c r="AS1" s="3"/>
      <c r="AT1" s="3"/>
      <c r="BD1"/>
      <c r="BJ1"/>
    </row>
    <row r="2" spans="1:260">
      <c r="A2" s="111"/>
      <c r="B2" s="111"/>
      <c r="C2" s="17"/>
      <c r="D2" s="17"/>
      <c r="E2" s="17"/>
      <c r="F2" s="17"/>
      <c r="AE2" s="3"/>
      <c r="AF2" s="3"/>
      <c r="AG2" s="3"/>
      <c r="AH2" s="3"/>
      <c r="AI2" s="3"/>
      <c r="AJ2" s="3"/>
      <c r="AK2" s="3"/>
      <c r="AL2" s="3"/>
      <c r="AN2" s="3"/>
      <c r="AO2" s="3"/>
      <c r="AP2" s="3"/>
      <c r="AQ2" s="3"/>
      <c r="AR2" s="3"/>
      <c r="AS2" s="3"/>
      <c r="AT2" s="3"/>
      <c r="BD2"/>
      <c r="BJ2"/>
      <c r="BL2"/>
    </row>
    <row r="3" spans="1:260" ht="23">
      <c r="A3" s="116" t="s">
        <v>48</v>
      </c>
      <c r="B3" s="111"/>
      <c r="C3" s="17"/>
      <c r="D3" s="17"/>
      <c r="E3" s="22"/>
      <c r="F3" s="22"/>
      <c r="G3" s="22"/>
      <c r="H3" s="22"/>
      <c r="I3" s="22"/>
      <c r="J3" s="22"/>
      <c r="K3" s="22"/>
      <c r="L3" s="22"/>
      <c r="M3" s="22"/>
      <c r="N3" s="22"/>
      <c r="O3" s="22"/>
      <c r="P3" s="22"/>
      <c r="Q3" s="22"/>
      <c r="R3" s="101"/>
      <c r="AE3" s="3"/>
      <c r="AF3" s="3"/>
      <c r="AG3" s="47"/>
      <c r="AH3" s="3"/>
      <c r="AI3" s="3"/>
      <c r="AJ3" s="3"/>
      <c r="AK3" s="3"/>
      <c r="AL3" s="3"/>
      <c r="AN3" s="3"/>
      <c r="AO3" s="3"/>
      <c r="AP3" s="3"/>
      <c r="AQ3" s="3"/>
      <c r="AR3" s="3"/>
      <c r="AS3" s="3"/>
      <c r="AT3" s="3"/>
      <c r="BD3"/>
      <c r="BJ3"/>
      <c r="BR3" s="37" t="s">
        <v>133</v>
      </c>
      <c r="BS3" s="38"/>
      <c r="IU3"/>
      <c r="IV3"/>
      <c r="IW3"/>
    </row>
    <row r="4" spans="1:260" ht="23">
      <c r="A4" s="116" t="s">
        <v>49</v>
      </c>
      <c r="B4" s="111"/>
      <c r="C4" s="17"/>
      <c r="D4" s="17"/>
      <c r="E4" s="22"/>
      <c r="F4" s="22"/>
      <c r="G4" s="22"/>
      <c r="H4" s="22"/>
      <c r="I4" s="22"/>
      <c r="J4" s="22"/>
      <c r="K4" s="22"/>
      <c r="L4" s="22"/>
      <c r="M4" s="22"/>
      <c r="N4" s="22"/>
      <c r="O4" s="22"/>
      <c r="P4" s="22"/>
      <c r="Q4" s="22"/>
      <c r="R4" s="101"/>
      <c r="AE4" s="3"/>
      <c r="AF4" s="3"/>
      <c r="AG4" s="47"/>
      <c r="AH4" s="3"/>
      <c r="AI4" s="3"/>
      <c r="AJ4" s="3"/>
      <c r="AK4" s="3"/>
      <c r="AL4" s="3"/>
      <c r="AN4" s="3"/>
      <c r="AO4" s="3"/>
      <c r="AP4" s="3"/>
      <c r="AQ4" s="3"/>
      <c r="AR4" s="3"/>
      <c r="AS4" s="3"/>
      <c r="AT4" s="3"/>
      <c r="BD4"/>
      <c r="BJ4"/>
      <c r="BR4" s="64">
        <v>0</v>
      </c>
      <c r="BS4" s="65">
        <f>BR4</f>
        <v>0</v>
      </c>
      <c r="IN4" s="1">
        <v>0</v>
      </c>
      <c r="IO4" s="1">
        <v>0.5</v>
      </c>
      <c r="IP4" s="1">
        <v>0.5</v>
      </c>
      <c r="IR4" s="141">
        <f t="shared" ref="IR4:IR5" si="0">IO4/(COS(RADIANS(30)))+IP4*TAN(RADIANS(30))</f>
        <v>0.8660254037844386</v>
      </c>
      <c r="IS4" s="141">
        <f t="shared" ref="IS4:IS5" si="1">IP4</f>
        <v>0.5</v>
      </c>
      <c r="IU4"/>
      <c r="IV4"/>
      <c r="IW4"/>
    </row>
    <row r="5" spans="1:260">
      <c r="A5" s="111"/>
      <c r="B5" s="111"/>
      <c r="C5" s="17"/>
      <c r="D5" s="17"/>
      <c r="E5" s="22"/>
      <c r="F5" s="22"/>
      <c r="G5" s="22"/>
      <c r="H5" s="22"/>
      <c r="I5" s="22"/>
      <c r="J5" s="22"/>
      <c r="K5" s="22"/>
      <c r="L5" s="22"/>
      <c r="M5" s="22"/>
      <c r="N5" s="22"/>
      <c r="O5" s="22"/>
      <c r="P5" s="22"/>
      <c r="Q5" s="22"/>
      <c r="R5" s="101"/>
      <c r="AE5" s="3"/>
      <c r="AF5" s="3"/>
      <c r="AG5" s="3"/>
      <c r="AH5" s="3"/>
      <c r="AI5" s="3"/>
      <c r="AJ5" s="3"/>
      <c r="AK5" s="3"/>
      <c r="AL5" s="3"/>
      <c r="AN5" s="3"/>
      <c r="AO5" s="3"/>
      <c r="AQ5" s="3"/>
      <c r="BD5"/>
      <c r="BJ5"/>
      <c r="BR5" s="64">
        <v>0.1</v>
      </c>
      <c r="BS5" s="65">
        <f>BR5</f>
        <v>0.1</v>
      </c>
      <c r="IN5" s="1">
        <v>0.5</v>
      </c>
      <c r="IO5" s="1">
        <v>0</v>
      </c>
      <c r="IP5" s="1">
        <v>0.5</v>
      </c>
      <c r="IR5" s="141">
        <f t="shared" si="0"/>
        <v>0.28867513459481287</v>
      </c>
      <c r="IS5" s="141">
        <f t="shared" si="1"/>
        <v>0.5</v>
      </c>
      <c r="IU5"/>
      <c r="IV5"/>
      <c r="IW5"/>
    </row>
    <row r="6" spans="1:260" ht="17.5">
      <c r="A6" s="117" t="s">
        <v>211</v>
      </c>
      <c r="B6" s="111"/>
      <c r="C6" s="17"/>
      <c r="D6" s="17"/>
      <c r="E6" s="22"/>
      <c r="F6" s="22"/>
      <c r="G6" s="22"/>
      <c r="H6" s="22"/>
      <c r="I6" s="22"/>
      <c r="J6" s="22"/>
      <c r="K6" s="22"/>
      <c r="L6" s="22"/>
      <c r="M6" s="22"/>
      <c r="N6" s="22"/>
      <c r="O6" s="22"/>
      <c r="P6" s="22"/>
      <c r="Q6" s="22"/>
      <c r="R6" s="101"/>
      <c r="AE6" s="99"/>
      <c r="AF6" s="99"/>
      <c r="AG6" s="99"/>
      <c r="AH6" s="3"/>
      <c r="AI6" s="3"/>
      <c r="AJ6" s="3"/>
      <c r="AK6" s="3"/>
      <c r="AL6" s="3"/>
      <c r="AN6" s="3"/>
      <c r="AO6" s="3"/>
      <c r="AQ6" s="3"/>
      <c r="AR6" s="99"/>
      <c r="AS6" s="99"/>
      <c r="AT6" s="99"/>
      <c r="AU6" s="22"/>
      <c r="AV6"/>
      <c r="AW6"/>
      <c r="AX6"/>
      <c r="AY6"/>
      <c r="AZ6"/>
      <c r="BA6"/>
      <c r="BB6"/>
      <c r="BC6"/>
      <c r="BD6"/>
      <c r="BJ6"/>
      <c r="BR6" s="66">
        <v>0.5</v>
      </c>
      <c r="BS6" s="65">
        <f>BR6</f>
        <v>0.5</v>
      </c>
      <c r="IN6" s="1">
        <v>0</v>
      </c>
      <c r="IO6" s="1">
        <v>1</v>
      </c>
      <c r="IP6" s="1">
        <f>GN6</f>
        <v>0</v>
      </c>
      <c r="IR6" s="141">
        <f t="shared" ref="IR6:IR11" si="2">IO6/(COS(RADIANS(30)))+IP6*TAN(RADIANS(30))</f>
        <v>1.1547005383792515</v>
      </c>
      <c r="IS6" s="141">
        <f t="shared" ref="IS6:IS11" si="3">IP6</f>
        <v>0</v>
      </c>
      <c r="IU6"/>
      <c r="IV6"/>
      <c r="IW6"/>
    </row>
    <row r="7" spans="1:260" ht="17.5">
      <c r="A7" s="117" t="s">
        <v>212</v>
      </c>
      <c r="B7" s="111"/>
      <c r="C7" s="17"/>
      <c r="D7" s="17"/>
      <c r="E7" s="22"/>
      <c r="F7" s="72"/>
      <c r="G7" s="73" t="s">
        <v>243</v>
      </c>
      <c r="H7" s="74"/>
      <c r="I7" s="22"/>
      <c r="J7" s="22"/>
      <c r="K7" s="22"/>
      <c r="L7" s="22"/>
      <c r="M7" s="22"/>
      <c r="N7" s="22"/>
      <c r="O7" s="22"/>
      <c r="P7" s="22"/>
      <c r="Q7" s="22"/>
      <c r="R7" s="101"/>
      <c r="AE7" s="22"/>
      <c r="AF7" s="22"/>
      <c r="AG7" s="22"/>
      <c r="AH7" s="3"/>
      <c r="AI7" s="3"/>
      <c r="AJ7" s="3"/>
      <c r="AK7" s="3"/>
      <c r="AL7" s="3"/>
      <c r="AN7" s="3"/>
      <c r="AO7" s="3"/>
      <c r="AQ7" s="3"/>
      <c r="AR7" s="22"/>
      <c r="AS7" s="22"/>
      <c r="AT7" s="22"/>
      <c r="AU7" s="25"/>
      <c r="AV7" s="84" t="s">
        <v>192</v>
      </c>
      <c r="AW7" s="40"/>
      <c r="AX7" s="40"/>
      <c r="AY7" s="40"/>
      <c r="AZ7" s="40"/>
      <c r="BA7" s="40"/>
      <c r="BB7" s="40"/>
      <c r="BC7" s="40"/>
      <c r="BD7"/>
      <c r="BJ7"/>
      <c r="BR7" s="67">
        <v>1</v>
      </c>
      <c r="BS7" s="39">
        <f>BR7</f>
        <v>1</v>
      </c>
      <c r="IN7" s="1">
        <v>1</v>
      </c>
      <c r="IO7" s="1">
        <v>0</v>
      </c>
      <c r="IP7" s="1">
        <v>0</v>
      </c>
      <c r="IR7" s="141">
        <f t="shared" si="2"/>
        <v>0</v>
      </c>
      <c r="IS7" s="141">
        <f t="shared" si="3"/>
        <v>0</v>
      </c>
      <c r="IU7"/>
      <c r="IV7"/>
      <c r="IW7"/>
    </row>
    <row r="8" spans="1:260" ht="17.5">
      <c r="A8" s="117"/>
      <c r="B8" s="111"/>
      <c r="C8" s="17"/>
      <c r="D8" s="17"/>
      <c r="E8" s="22"/>
      <c r="F8" s="67"/>
      <c r="G8" s="134">
        <v>1</v>
      </c>
      <c r="H8" s="44"/>
      <c r="I8" s="22"/>
      <c r="J8" s="22"/>
      <c r="K8" s="22"/>
      <c r="L8" s="22"/>
      <c r="M8" s="22"/>
      <c r="N8" s="22"/>
      <c r="O8" s="22"/>
      <c r="P8" s="22"/>
      <c r="Q8" s="22"/>
      <c r="R8" s="101"/>
      <c r="AH8" s="84" t="s">
        <v>193</v>
      </c>
      <c r="AI8" s="40"/>
      <c r="AJ8" s="40"/>
      <c r="AK8" s="40"/>
      <c r="AL8" s="38"/>
      <c r="AN8" s="3"/>
      <c r="AO8" s="3"/>
      <c r="AQ8" s="3"/>
      <c r="AR8" s="99"/>
      <c r="AS8" s="99"/>
      <c r="AT8" s="99"/>
      <c r="AU8" s="3"/>
      <c r="AV8" s="76" t="s">
        <v>185</v>
      </c>
      <c r="AW8" s="40"/>
      <c r="AX8" s="40"/>
      <c r="AY8" s="77"/>
      <c r="AZ8" s="77"/>
      <c r="BA8" s="77"/>
      <c r="BB8" s="77"/>
      <c r="BC8" s="74"/>
      <c r="BD8"/>
      <c r="BJ8"/>
      <c r="BK8" s="22"/>
      <c r="BL8" s="82" t="s">
        <v>190</v>
      </c>
      <c r="BM8" s="22"/>
      <c r="BN8" s="22"/>
      <c r="BO8" s="22"/>
      <c r="BP8" s="22"/>
      <c r="BQ8" s="22"/>
      <c r="BR8" s="22"/>
      <c r="BS8" s="22"/>
      <c r="BT8" s="22"/>
      <c r="BU8" s="22"/>
      <c r="BY8" s="22"/>
      <c r="CD8"/>
      <c r="CN8" s="1" t="s">
        <v>154</v>
      </c>
      <c r="FN8"/>
      <c r="FO8"/>
      <c r="FU8"/>
      <c r="FV8"/>
      <c r="FW8"/>
      <c r="FX8"/>
      <c r="HZ8" s="1" t="s">
        <v>0</v>
      </c>
      <c r="IA8" s="1">
        <v>537.00300000000004</v>
      </c>
      <c r="IC8" s="1">
        <v>621.15099999999995</v>
      </c>
      <c r="IN8" s="1">
        <v>0</v>
      </c>
      <c r="IO8" s="1">
        <v>0</v>
      </c>
      <c r="IP8" s="1">
        <v>1</v>
      </c>
      <c r="IR8" s="141">
        <f t="shared" ref="IR8:IR9" si="4">IO8/(COS(RADIANS(30)))+IP8*TAN(RADIANS(30))</f>
        <v>0.57735026918962573</v>
      </c>
      <c r="IS8" s="141">
        <f t="shared" ref="IS8:IS9" si="5">IP8</f>
        <v>1</v>
      </c>
      <c r="IU8"/>
      <c r="IV8"/>
      <c r="IW8"/>
    </row>
    <row r="9" spans="1:260" ht="17.5">
      <c r="A9" s="117"/>
      <c r="B9" s="111"/>
      <c r="C9" s="17"/>
      <c r="D9" s="17"/>
      <c r="E9" s="22"/>
      <c r="F9" s="22"/>
      <c r="G9" s="22"/>
      <c r="H9" s="22"/>
      <c r="I9" s="22"/>
      <c r="J9" s="22"/>
      <c r="K9" s="22"/>
      <c r="L9" s="22"/>
      <c r="M9" s="22"/>
      <c r="N9" s="22"/>
      <c r="O9" s="22"/>
      <c r="P9" s="22"/>
      <c r="Q9" s="22"/>
      <c r="R9" s="101"/>
      <c r="AE9" s="68"/>
      <c r="AF9" s="22"/>
      <c r="AG9" s="99"/>
      <c r="AH9" s="76" t="s">
        <v>188</v>
      </c>
      <c r="AI9" s="40"/>
      <c r="AJ9" s="40"/>
      <c r="AK9" s="40"/>
      <c r="AL9" s="38"/>
      <c r="AN9" s="3"/>
      <c r="AO9" s="3"/>
      <c r="AQ9" s="3"/>
      <c r="AR9" s="22"/>
      <c r="AS9" s="22"/>
      <c r="AT9" s="22"/>
      <c r="AU9" s="25"/>
      <c r="AV9" s="75" t="s">
        <v>186</v>
      </c>
      <c r="AY9" s="22"/>
      <c r="AZ9" s="22"/>
      <c r="BA9" s="22"/>
      <c r="BB9" s="22"/>
      <c r="BC9" s="41"/>
      <c r="BD9"/>
      <c r="BJ9"/>
      <c r="BK9" s="22"/>
      <c r="BL9" s="69" t="s">
        <v>191</v>
      </c>
      <c r="BM9" s="22"/>
      <c r="BN9" s="22"/>
      <c r="BO9" s="22"/>
      <c r="BP9" s="22"/>
      <c r="BQ9" s="22"/>
      <c r="BR9" s="22"/>
      <c r="BS9" s="22"/>
      <c r="BT9" s="22"/>
      <c r="BU9" s="22"/>
      <c r="BY9" s="22"/>
      <c r="CD9"/>
      <c r="CN9" s="1" t="s">
        <v>1</v>
      </c>
      <c r="CO9" s="1" t="s">
        <v>122</v>
      </c>
      <c r="CP9" s="1" t="s">
        <v>123</v>
      </c>
      <c r="CQ9" s="1" t="s">
        <v>124</v>
      </c>
      <c r="CR9" s="1" t="s">
        <v>125</v>
      </c>
      <c r="CS9" s="1" t="s">
        <v>126</v>
      </c>
      <c r="CT9" s="1" t="s">
        <v>127</v>
      </c>
      <c r="CU9" s="1" t="s">
        <v>128</v>
      </c>
      <c r="CV9" s="1" t="s">
        <v>129</v>
      </c>
      <c r="CW9" s="1" t="s">
        <v>130</v>
      </c>
      <c r="CX9" s="1" t="s">
        <v>131</v>
      </c>
      <c r="DA9"/>
      <c r="DB9"/>
      <c r="DC9"/>
      <c r="DD9"/>
      <c r="DE9"/>
      <c r="DF9"/>
      <c r="DG9"/>
      <c r="DH9"/>
      <c r="DI9"/>
      <c r="FJ9"/>
      <c r="FK9"/>
      <c r="FN9"/>
      <c r="FO9"/>
      <c r="FU9"/>
      <c r="FV9"/>
      <c r="FW9"/>
      <c r="FX9"/>
      <c r="GU9" s="1" t="s">
        <v>0</v>
      </c>
      <c r="GV9" s="1">
        <v>592.58900000000006</v>
      </c>
      <c r="GW9" s="1">
        <v>537.00300000000004</v>
      </c>
      <c r="GX9" s="1">
        <v>621.15099999999995</v>
      </c>
      <c r="HZ9" s="1" t="s">
        <v>117</v>
      </c>
      <c r="IA9" s="1">
        <v>-1.0169999999999999</v>
      </c>
      <c r="IC9" s="1">
        <v>-1.22</v>
      </c>
      <c r="IN9" s="1">
        <v>1</v>
      </c>
      <c r="IO9" s="1">
        <v>0</v>
      </c>
      <c r="IP9" s="1">
        <v>0</v>
      </c>
      <c r="IR9" s="141">
        <f t="shared" si="4"/>
        <v>0</v>
      </c>
      <c r="IS9" s="141">
        <f t="shared" si="5"/>
        <v>0</v>
      </c>
      <c r="IU9"/>
      <c r="IV9"/>
      <c r="IW9"/>
    </row>
    <row r="10" spans="1:260" ht="18" thickBot="1">
      <c r="A10" s="117"/>
      <c r="B10" s="111"/>
      <c r="C10" s="17"/>
      <c r="D10" s="17"/>
      <c r="E10" s="22"/>
      <c r="F10" s="22"/>
      <c r="G10" s="22"/>
      <c r="H10" s="22"/>
      <c r="I10" s="22"/>
      <c r="J10" s="22"/>
      <c r="K10" s="22"/>
      <c r="L10" s="22"/>
      <c r="M10" s="22"/>
      <c r="N10" s="22"/>
      <c r="O10" s="22"/>
      <c r="P10" s="22"/>
      <c r="Q10" s="22"/>
      <c r="R10" s="101"/>
      <c r="AE10" s="136" t="s">
        <v>221</v>
      </c>
      <c r="AF10" s="119"/>
      <c r="AG10" s="120"/>
      <c r="AH10" s="75" t="s">
        <v>189</v>
      </c>
      <c r="AL10" s="83"/>
      <c r="AN10" s="3"/>
      <c r="AO10" s="3"/>
      <c r="AQ10" s="3"/>
      <c r="AR10" s="99"/>
      <c r="AS10" s="99"/>
      <c r="AT10" s="99"/>
      <c r="AU10" s="22"/>
      <c r="AV10" s="75" t="s">
        <v>187</v>
      </c>
      <c r="BC10" s="65"/>
      <c r="BD10"/>
      <c r="BJ10"/>
      <c r="BK10" s="22"/>
      <c r="BL10" s="70" t="s">
        <v>116</v>
      </c>
      <c r="BM10" s="71"/>
      <c r="BN10" s="71"/>
      <c r="BO10" s="71"/>
      <c r="BP10" s="71"/>
      <c r="BQ10" s="71"/>
      <c r="BR10" s="71"/>
      <c r="BS10" s="71"/>
      <c r="BT10" s="71"/>
      <c r="BU10" s="71"/>
      <c r="BV10" s="71"/>
      <c r="BW10" s="71"/>
      <c r="BX10" s="71"/>
      <c r="BY10" s="71"/>
      <c r="BZ10" s="71"/>
      <c r="CA10" s="22"/>
      <c r="CB10" s="22"/>
      <c r="CD10"/>
      <c r="CN10" s="1">
        <v>60.084299999999999</v>
      </c>
      <c r="CO10" s="1">
        <v>79.878799999999998</v>
      </c>
      <c r="CP10" s="1">
        <v>101.961</v>
      </c>
      <c r="CQ10" s="1">
        <v>71.846400000000003</v>
      </c>
      <c r="CR10" s="1">
        <v>70.9375</v>
      </c>
      <c r="CS10" s="1">
        <v>40.304400000000001</v>
      </c>
      <c r="CT10" s="1">
        <v>56.077399999999997</v>
      </c>
      <c r="CU10" s="1">
        <v>61.978900000000003</v>
      </c>
      <c r="CV10" s="1">
        <v>94.195999999999998</v>
      </c>
      <c r="CW10" s="1">
        <f>52*2+3*15.9994</f>
        <v>151.9982</v>
      </c>
      <c r="CX10" s="1">
        <f>2*30.97+5*15.9994</f>
        <v>141.93700000000001</v>
      </c>
      <c r="EQ10"/>
      <c r="ER10"/>
      <c r="ES10"/>
      <c r="FJ10"/>
      <c r="FK10"/>
      <c r="FN10"/>
      <c r="FO10"/>
      <c r="FS10" s="2"/>
      <c r="FU10"/>
      <c r="FV10"/>
      <c r="FW10"/>
      <c r="FX10"/>
      <c r="GU10" s="1" t="s">
        <v>117</v>
      </c>
      <c r="GV10" s="1">
        <v>-1.085</v>
      </c>
      <c r="GW10" s="1">
        <v>-1.0169999999999999</v>
      </c>
      <c r="GX10" s="1">
        <v>-1.22</v>
      </c>
      <c r="HZ10" s="1" t="s">
        <v>118</v>
      </c>
      <c r="IA10" s="1">
        <v>-5.6630000000000003</v>
      </c>
      <c r="IC10" s="1">
        <v>-4.62</v>
      </c>
      <c r="IN10" s="1">
        <v>0</v>
      </c>
      <c r="IO10" s="1">
        <v>0</v>
      </c>
      <c r="IP10" s="1">
        <v>1</v>
      </c>
      <c r="IR10" s="141">
        <f t="shared" si="2"/>
        <v>0.57735026918962573</v>
      </c>
      <c r="IS10" s="141">
        <f t="shared" si="3"/>
        <v>1</v>
      </c>
      <c r="IU10"/>
      <c r="IV10"/>
      <c r="IW10"/>
    </row>
    <row r="11" spans="1:260" ht="18" thickBot="1">
      <c r="A11" s="117"/>
      <c r="B11" s="111"/>
      <c r="C11" s="22"/>
      <c r="D11" s="22"/>
      <c r="E11" s="17"/>
      <c r="F11" s="107" t="s">
        <v>63</v>
      </c>
      <c r="G11" s="108"/>
      <c r="H11" s="108"/>
      <c r="I11" s="112"/>
      <c r="J11" s="113"/>
      <c r="K11" s="113"/>
      <c r="Q11" s="22"/>
      <c r="T11" s="107" t="s">
        <v>52</v>
      </c>
      <c r="U11" s="108"/>
      <c r="V11" s="109"/>
      <c r="AE11" s="22"/>
      <c r="AF11" s="22"/>
      <c r="AG11" s="22"/>
      <c r="AH11" s="88" t="s">
        <v>195</v>
      </c>
      <c r="AI11" s="81"/>
      <c r="AJ11" s="81"/>
      <c r="AK11" s="81"/>
      <c r="AL11" s="87"/>
      <c r="AN11" s="90" t="s">
        <v>199</v>
      </c>
      <c r="AO11" s="90"/>
      <c r="AP11" s="90"/>
      <c r="AQ11" s="90"/>
      <c r="AR11" s="22"/>
      <c r="AS11" s="22"/>
      <c r="AT11" s="22"/>
      <c r="AV11" s="42" t="s">
        <v>182</v>
      </c>
      <c r="AW11" s="43"/>
      <c r="AX11" s="43"/>
      <c r="AY11" s="23"/>
      <c r="AZ11" s="23"/>
      <c r="BA11" s="23"/>
      <c r="BB11" s="23"/>
      <c r="BC11" s="44"/>
      <c r="BD11"/>
      <c r="BE11" s="26" t="s">
        <v>60</v>
      </c>
      <c r="BF11" s="26"/>
      <c r="BG11" s="26"/>
      <c r="BH11" s="26"/>
      <c r="BI11" s="26"/>
      <c r="BJ11" s="26"/>
      <c r="BK11" s="61"/>
      <c r="BL11" s="26" t="s">
        <v>3</v>
      </c>
      <c r="BM11" s="26"/>
      <c r="BN11" s="26"/>
      <c r="BO11" s="26"/>
      <c r="BP11" s="26"/>
      <c r="BQ11" s="26"/>
      <c r="BR11" s="26"/>
      <c r="BS11" s="61"/>
      <c r="BT11" s="26" t="s">
        <v>2</v>
      </c>
      <c r="BU11" s="26"/>
      <c r="BV11" s="26"/>
      <c r="BW11" s="26"/>
      <c r="BX11" s="26"/>
      <c r="BY11" s="26"/>
      <c r="BZ11" s="26"/>
      <c r="CA11" s="26"/>
      <c r="CB11" s="61"/>
      <c r="CC11" s="26"/>
      <c r="CD11" s="133" t="s">
        <v>183</v>
      </c>
      <c r="CE11" s="28"/>
      <c r="CF11" s="28"/>
      <c r="CG11" s="27"/>
      <c r="CH11" s="27"/>
      <c r="CI11"/>
      <c r="CJ11" s="28"/>
      <c r="CK11" s="28"/>
      <c r="CL11" s="28"/>
      <c r="EQ11"/>
      <c r="ER11"/>
      <c r="ES11"/>
      <c r="FJ11"/>
      <c r="FK11"/>
      <c r="FU11"/>
      <c r="FV11"/>
      <c r="FW11"/>
      <c r="FX11"/>
      <c r="GA11" s="1" t="s">
        <v>38</v>
      </c>
      <c r="GU11" s="1" t="s">
        <v>118</v>
      </c>
      <c r="GV11" s="1">
        <v>-7.4589999999999996</v>
      </c>
      <c r="GW11" s="1">
        <v>-5.6630000000000003</v>
      </c>
      <c r="GX11" s="1">
        <v>-4.62</v>
      </c>
      <c r="HZ11" s="1" t="s">
        <v>39</v>
      </c>
      <c r="IA11" s="1">
        <v>-2.722</v>
      </c>
      <c r="IC11" s="1">
        <v>-7.7729999999999997</v>
      </c>
      <c r="IN11" s="1">
        <v>0</v>
      </c>
      <c r="IO11" s="1">
        <v>1</v>
      </c>
      <c r="IP11" s="1">
        <v>0</v>
      </c>
      <c r="IR11" s="141">
        <f t="shared" si="2"/>
        <v>1.1547005383792515</v>
      </c>
      <c r="IS11" s="141">
        <f t="shared" si="3"/>
        <v>0</v>
      </c>
    </row>
    <row r="12" spans="1:260" ht="18" thickBot="1">
      <c r="A12" s="117"/>
      <c r="B12" s="111"/>
      <c r="C12" s="68" t="s">
        <v>213</v>
      </c>
      <c r="D12" s="23"/>
      <c r="E12" s="17"/>
      <c r="F12" s="61"/>
      <c r="AE12" s="121" t="s">
        <v>198</v>
      </c>
      <c r="AF12" s="91"/>
      <c r="AG12" s="93"/>
      <c r="AH12" s="90" t="s">
        <v>200</v>
      </c>
      <c r="AN12" s="91" t="s">
        <v>216</v>
      </c>
      <c r="AO12" s="91"/>
      <c r="AP12" s="92"/>
      <c r="AQ12" s="93"/>
      <c r="AR12" s="91" t="s">
        <v>214</v>
      </c>
      <c r="AS12" s="91"/>
      <c r="AT12" s="93"/>
      <c r="AV12" s="26" t="s">
        <v>121</v>
      </c>
      <c r="AW12" s="26"/>
      <c r="AX12" s="26"/>
      <c r="AY12" s="26"/>
      <c r="AZ12" s="26"/>
      <c r="BA12" s="26"/>
      <c r="BB12" s="26" t="s">
        <v>37</v>
      </c>
      <c r="BC12" s="26"/>
      <c r="BD12" s="26"/>
      <c r="BE12" s="29"/>
      <c r="BF12" s="29"/>
      <c r="BG12" s="29"/>
      <c r="BH12" s="29"/>
      <c r="BI12" s="29"/>
      <c r="BJ12" s="26"/>
      <c r="BL12" s="63" t="s">
        <v>54</v>
      </c>
      <c r="BM12" s="29"/>
      <c r="BN12" s="29"/>
      <c r="BO12" s="29"/>
      <c r="BP12" s="29"/>
      <c r="BQ12" s="29"/>
      <c r="BR12" s="29"/>
      <c r="BT12" s="63" t="s">
        <v>80</v>
      </c>
      <c r="BU12" s="29"/>
      <c r="BV12" s="29"/>
      <c r="BW12" s="29"/>
      <c r="BX12" s="29"/>
      <c r="BY12" s="29"/>
      <c r="BZ12" s="29"/>
      <c r="CA12" s="29"/>
      <c r="CC12" s="30"/>
      <c r="CD12" s="31" t="s">
        <v>61</v>
      </c>
      <c r="CE12" s="31"/>
      <c r="CF12" s="31"/>
      <c r="CG12" s="32"/>
      <c r="CH12" s="32"/>
      <c r="CI12" s="45"/>
      <c r="CJ12" s="31"/>
      <c r="CK12" s="31"/>
      <c r="CL12" s="31"/>
      <c r="CN12" s="1" t="s">
        <v>119</v>
      </c>
      <c r="DA12" s="49" t="s">
        <v>119</v>
      </c>
      <c r="DB12" s="50"/>
      <c r="DC12" s="50"/>
      <c r="DD12" s="50"/>
      <c r="DE12" s="50"/>
      <c r="DF12" s="50"/>
      <c r="DG12" s="50"/>
      <c r="DH12" s="50"/>
      <c r="DI12" s="50"/>
      <c r="DJ12" s="50"/>
      <c r="DK12" s="51"/>
      <c r="DN12" s="1" t="s">
        <v>120</v>
      </c>
      <c r="DZ12" s="1" t="s">
        <v>120</v>
      </c>
      <c r="EM12" s="49" t="s">
        <v>120</v>
      </c>
      <c r="EN12" s="50"/>
      <c r="EO12" s="50"/>
      <c r="EP12" s="50"/>
      <c r="EQ12" s="56"/>
      <c r="ER12" s="56"/>
      <c r="ES12" s="56"/>
      <c r="ET12" s="50"/>
      <c r="EU12" s="50"/>
      <c r="EV12" s="50"/>
      <c r="EW12" s="50"/>
      <c r="EX12" s="50"/>
      <c r="EY12" s="51"/>
      <c r="EZ12" s="1" t="s">
        <v>59</v>
      </c>
      <c r="FQ12" s="1" t="s">
        <v>40</v>
      </c>
      <c r="FS12" s="1" t="s">
        <v>41</v>
      </c>
      <c r="GU12" s="1" t="s">
        <v>39</v>
      </c>
      <c r="GV12" s="1">
        <v>-5.5549999999999997</v>
      </c>
      <c r="GW12" s="1">
        <v>-2.722</v>
      </c>
      <c r="GX12" s="1">
        <v>-7.7729999999999997</v>
      </c>
      <c r="HZ12" s="1" t="s">
        <v>42</v>
      </c>
    </row>
    <row r="13" spans="1:260" ht="20" thickBot="1">
      <c r="A13" s="111" t="s">
        <v>50</v>
      </c>
      <c r="B13" s="118"/>
      <c r="C13" s="24" t="s">
        <v>51</v>
      </c>
      <c r="D13" s="18" t="s">
        <v>51</v>
      </c>
      <c r="E13" s="19"/>
      <c r="F13" s="20" t="s">
        <v>148</v>
      </c>
      <c r="G13" s="105"/>
      <c r="H13" s="105"/>
      <c r="I13" s="105"/>
      <c r="J13" s="105"/>
      <c r="K13" s="105"/>
      <c r="L13" s="105"/>
      <c r="M13" s="105"/>
      <c r="N13" s="105"/>
      <c r="O13" s="105"/>
      <c r="P13" s="105"/>
      <c r="Q13" s="105"/>
      <c r="R13" s="103" t="s">
        <v>210</v>
      </c>
      <c r="T13" s="110" t="s">
        <v>153</v>
      </c>
      <c r="U13" s="105"/>
      <c r="V13" s="105"/>
      <c r="W13" s="105"/>
      <c r="X13" s="105"/>
      <c r="Y13" s="105"/>
      <c r="Z13" s="105"/>
      <c r="AA13" s="105"/>
      <c r="AB13" s="105"/>
      <c r="AC13" s="105"/>
      <c r="AD13"/>
      <c r="AE13" s="97" t="s">
        <v>224</v>
      </c>
      <c r="AF13" s="137"/>
      <c r="AG13" s="138"/>
      <c r="AH13" s="94" t="s">
        <v>194</v>
      </c>
      <c r="AI13" s="95"/>
      <c r="AJ13" s="96"/>
      <c r="AK13" s="94" t="s">
        <v>184</v>
      </c>
      <c r="AL13" s="95"/>
      <c r="AM13" s="89"/>
      <c r="AN13" s="85" t="s">
        <v>207</v>
      </c>
      <c r="AO13" s="85"/>
      <c r="AP13" s="86"/>
      <c r="AQ13" s="89"/>
      <c r="AR13" s="85" t="s">
        <v>207</v>
      </c>
      <c r="AS13" s="85"/>
      <c r="AT13" s="86"/>
      <c r="AU13"/>
      <c r="AV13" s="30" t="s">
        <v>137</v>
      </c>
      <c r="AW13" s="30"/>
      <c r="AX13" s="30" t="s">
        <v>138</v>
      </c>
      <c r="AY13" s="30"/>
      <c r="AZ13" s="30" t="s">
        <v>139</v>
      </c>
      <c r="BA13" s="30"/>
      <c r="BB13" s="30"/>
      <c r="BC13" s="30"/>
      <c r="BD13" s="30"/>
      <c r="BE13" s="30" t="s">
        <v>140</v>
      </c>
      <c r="BF13" s="30" t="s">
        <v>141</v>
      </c>
      <c r="BG13" s="30" t="s">
        <v>142</v>
      </c>
      <c r="BH13" s="30" t="s">
        <v>143</v>
      </c>
      <c r="BI13" s="30" t="s">
        <v>143</v>
      </c>
      <c r="BJ13" s="100" t="s">
        <v>219</v>
      </c>
      <c r="BL13" s="100" t="s">
        <v>209</v>
      </c>
      <c r="BM13" s="30">
        <v>3.2</v>
      </c>
      <c r="BN13" s="30">
        <v>3.4</v>
      </c>
      <c r="BO13" s="30">
        <v>3.5</v>
      </c>
      <c r="BP13" s="30">
        <v>3.6</v>
      </c>
      <c r="BQ13" s="30">
        <v>3.7</v>
      </c>
      <c r="BR13" s="30"/>
      <c r="BT13" s="30"/>
      <c r="BU13" s="30"/>
      <c r="BV13" s="30"/>
      <c r="BW13" s="30"/>
      <c r="BX13" s="30"/>
      <c r="BY13" s="30"/>
      <c r="BZ13" s="30"/>
      <c r="CA13" s="30"/>
      <c r="CC13" s="30"/>
      <c r="CD13" s="28" t="s">
        <v>5</v>
      </c>
      <c r="CE13" s="28" t="s">
        <v>41</v>
      </c>
      <c r="CF13" s="28" t="s">
        <v>150</v>
      </c>
      <c r="CG13" s="28" t="s">
        <v>146</v>
      </c>
      <c r="CH13" s="28" t="s">
        <v>147</v>
      </c>
      <c r="CJ13" s="28" t="s">
        <v>105</v>
      </c>
      <c r="CK13" s="28" t="s">
        <v>62</v>
      </c>
      <c r="CL13" s="28" t="s">
        <v>115</v>
      </c>
      <c r="CN13" s="1" t="s">
        <v>43</v>
      </c>
      <c r="DA13" s="52" t="s">
        <v>44</v>
      </c>
      <c r="DK13" s="53"/>
      <c r="DN13" s="1" t="s">
        <v>45</v>
      </c>
      <c r="DZ13" s="1" t="s">
        <v>46</v>
      </c>
      <c r="EJ13" s="1" t="s">
        <v>55</v>
      </c>
      <c r="EK13" s="1" t="s">
        <v>57</v>
      </c>
      <c r="EM13" s="52" t="s">
        <v>134</v>
      </c>
      <c r="EY13" s="53" t="s">
        <v>6</v>
      </c>
      <c r="EZ13" s="1" t="s">
        <v>135</v>
      </c>
      <c r="FA13" s="1" t="s">
        <v>136</v>
      </c>
      <c r="FB13" s="49" t="s">
        <v>15</v>
      </c>
      <c r="FC13" s="50"/>
      <c r="FD13" s="50"/>
      <c r="FE13" s="50"/>
      <c r="FF13" s="50"/>
      <c r="FG13" s="50"/>
      <c r="FH13" s="50" t="s">
        <v>16</v>
      </c>
      <c r="FI13" s="51"/>
      <c r="FK13" s="1">
        <v>1996</v>
      </c>
      <c r="FL13" s="1">
        <v>2003</v>
      </c>
      <c r="FQ13" s="1" t="s">
        <v>144</v>
      </c>
      <c r="FR13" s="1" t="s">
        <v>144</v>
      </c>
      <c r="FS13" s="1" t="s">
        <v>145</v>
      </c>
      <c r="FW13" s="1" t="s">
        <v>143</v>
      </c>
      <c r="FX13" s="1" t="s">
        <v>104</v>
      </c>
      <c r="FY13" s="1" t="s">
        <v>105</v>
      </c>
      <c r="GA13" s="1" t="s">
        <v>106</v>
      </c>
      <c r="GH13" s="1" t="s">
        <v>107</v>
      </c>
      <c r="GO13" s="1" t="s">
        <v>42</v>
      </c>
      <c r="GQ13" s="1" t="s">
        <v>108</v>
      </c>
      <c r="GU13" s="1" t="s">
        <v>151</v>
      </c>
      <c r="GV13" s="1" t="s">
        <v>109</v>
      </c>
      <c r="GW13" s="1" t="s">
        <v>110</v>
      </c>
      <c r="GY13" s="1" t="s">
        <v>111</v>
      </c>
      <c r="HZ13" s="5" t="s">
        <v>112</v>
      </c>
      <c r="IA13" s="5"/>
      <c r="IB13" s="5" t="s">
        <v>113</v>
      </c>
      <c r="IC13" s="5"/>
      <c r="ID13" s="5" t="s">
        <v>114</v>
      </c>
      <c r="IE13" s="3"/>
      <c r="IN13" s="142" t="s">
        <v>238</v>
      </c>
    </row>
    <row r="14" spans="1:260" ht="18" customHeight="1" thickBot="1">
      <c r="A14" s="1" t="s">
        <v>21</v>
      </c>
      <c r="B14" s="1" t="s">
        <v>19</v>
      </c>
      <c r="C14" s="22" t="s">
        <v>22</v>
      </c>
      <c r="D14" s="3" t="s">
        <v>23</v>
      </c>
      <c r="E14" s="22" t="s">
        <v>208</v>
      </c>
      <c r="F14" s="21" t="s">
        <v>1</v>
      </c>
      <c r="G14" s="21" t="s">
        <v>122</v>
      </c>
      <c r="H14" s="21" t="s">
        <v>123</v>
      </c>
      <c r="I14" s="21" t="s">
        <v>149</v>
      </c>
      <c r="J14" s="21" t="s">
        <v>125</v>
      </c>
      <c r="K14" s="21" t="s">
        <v>126</v>
      </c>
      <c r="L14" s="21" t="s">
        <v>127</v>
      </c>
      <c r="M14" s="21" t="s">
        <v>128</v>
      </c>
      <c r="N14" s="21" t="s">
        <v>129</v>
      </c>
      <c r="O14" s="21" t="s">
        <v>130</v>
      </c>
      <c r="P14" s="21" t="s">
        <v>131</v>
      </c>
      <c r="Q14" s="21" t="s">
        <v>4</v>
      </c>
      <c r="R14" s="104" t="s">
        <v>4</v>
      </c>
      <c r="T14" s="21" t="s">
        <v>1</v>
      </c>
      <c r="U14" s="21" t="s">
        <v>122</v>
      </c>
      <c r="V14" s="21" t="s">
        <v>123</v>
      </c>
      <c r="W14" s="21" t="s">
        <v>149</v>
      </c>
      <c r="X14" s="21" t="s">
        <v>125</v>
      </c>
      <c r="Y14" s="21" t="s">
        <v>126</v>
      </c>
      <c r="Z14" s="21" t="s">
        <v>127</v>
      </c>
      <c r="AA14" s="21" t="s">
        <v>128</v>
      </c>
      <c r="AB14" s="21" t="s">
        <v>129</v>
      </c>
      <c r="AC14" s="21" t="s">
        <v>130</v>
      </c>
      <c r="AD14"/>
      <c r="AE14" s="135" t="s">
        <v>196</v>
      </c>
      <c r="AF14" s="139" t="s">
        <v>223</v>
      </c>
      <c r="AG14" s="139" t="s">
        <v>222</v>
      </c>
      <c r="AH14" s="78" t="s">
        <v>166</v>
      </c>
      <c r="AI14" s="78" t="s">
        <v>22</v>
      </c>
      <c r="AJ14" s="79"/>
      <c r="AK14" s="78" t="s">
        <v>166</v>
      </c>
      <c r="AL14" s="78" t="s">
        <v>22</v>
      </c>
      <c r="AM14" s="79"/>
      <c r="AN14" s="78" t="s">
        <v>197</v>
      </c>
      <c r="AO14" s="78" t="s">
        <v>217</v>
      </c>
      <c r="AP14" s="78" t="s">
        <v>215</v>
      </c>
      <c r="AQ14" s="79"/>
      <c r="AR14" s="78" t="s">
        <v>218</v>
      </c>
      <c r="AS14" s="78" t="s">
        <v>167</v>
      </c>
      <c r="AT14" s="78" t="s">
        <v>215</v>
      </c>
      <c r="AU14"/>
      <c r="AV14" s="33" t="s">
        <v>162</v>
      </c>
      <c r="AW14" s="33" t="s">
        <v>163</v>
      </c>
      <c r="AX14" s="33" t="s">
        <v>164</v>
      </c>
      <c r="AY14" s="33" t="s">
        <v>165</v>
      </c>
      <c r="AZ14" s="33" t="s">
        <v>22</v>
      </c>
      <c r="BA14" s="30"/>
      <c r="BB14" s="33" t="s">
        <v>166</v>
      </c>
      <c r="BC14" s="33" t="s">
        <v>22</v>
      </c>
      <c r="BD14" s="33" t="s">
        <v>167</v>
      </c>
      <c r="BE14" s="33" t="s">
        <v>22</v>
      </c>
      <c r="BF14" s="33" t="s">
        <v>22</v>
      </c>
      <c r="BG14" s="33" t="s">
        <v>167</v>
      </c>
      <c r="BH14" s="33" t="s">
        <v>167</v>
      </c>
      <c r="BI14" s="33" t="s">
        <v>167</v>
      </c>
      <c r="BJ14" s="100" t="s">
        <v>220</v>
      </c>
      <c r="BK14" s="22" t="s">
        <v>237</v>
      </c>
      <c r="BL14" s="33" t="s">
        <v>53</v>
      </c>
      <c r="BM14" s="33" t="s">
        <v>33</v>
      </c>
      <c r="BN14" s="33" t="s">
        <v>29</v>
      </c>
      <c r="BO14" s="33" t="s">
        <v>28</v>
      </c>
      <c r="BP14" s="33" t="s">
        <v>30</v>
      </c>
      <c r="BQ14" s="33" t="s">
        <v>31</v>
      </c>
      <c r="BR14" s="33" t="s">
        <v>56</v>
      </c>
      <c r="BT14" s="33" t="s">
        <v>53</v>
      </c>
      <c r="BU14" s="33" t="str">
        <f t="shared" ref="BU14:BU18" si="6">FG14</f>
        <v>EnFs</v>
      </c>
      <c r="BV14" s="33" t="str">
        <f t="shared" ref="BV14:BV18" si="7">FC14</f>
        <v>CaTs</v>
      </c>
      <c r="BW14" s="33" t="str">
        <f t="shared" ref="BW14:BW18" si="8">FB14</f>
        <v>Jd</v>
      </c>
      <c r="BX14" s="33" t="str">
        <f t="shared" ref="BX14:BY18" si="9">FD14</f>
        <v>CaTi</v>
      </c>
      <c r="BY14" s="33" t="str">
        <f t="shared" si="9"/>
        <v>CrCaTs</v>
      </c>
      <c r="BZ14" s="33" t="s">
        <v>56</v>
      </c>
      <c r="CA14" s="33" t="s">
        <v>132</v>
      </c>
      <c r="CC14" s="30"/>
      <c r="CD14" s="34" t="s">
        <v>22</v>
      </c>
      <c r="CE14" s="34" t="s">
        <v>22</v>
      </c>
      <c r="CF14" s="34" t="s">
        <v>152</v>
      </c>
      <c r="CG14" s="34" t="s">
        <v>167</v>
      </c>
      <c r="CH14" s="34" t="s">
        <v>170</v>
      </c>
      <c r="CI14" s="46"/>
      <c r="CJ14" s="34" t="s">
        <v>22</v>
      </c>
      <c r="CK14" s="34" t="s">
        <v>22</v>
      </c>
      <c r="CL14" s="35" t="s">
        <v>167</v>
      </c>
      <c r="CN14" s="1" t="s">
        <v>1</v>
      </c>
      <c r="CO14" s="1" t="s">
        <v>122</v>
      </c>
      <c r="CP14" s="1" t="s">
        <v>155</v>
      </c>
      <c r="CQ14" s="1" t="s">
        <v>124</v>
      </c>
      <c r="CR14" s="1" t="s">
        <v>125</v>
      </c>
      <c r="CS14" s="1" t="s">
        <v>126</v>
      </c>
      <c r="CT14" s="1" t="s">
        <v>127</v>
      </c>
      <c r="CU14" s="1" t="s">
        <v>156</v>
      </c>
      <c r="CV14" s="1" t="s">
        <v>157</v>
      </c>
      <c r="CW14" s="1" t="s">
        <v>158</v>
      </c>
      <c r="CX14" s="1" t="s">
        <v>159</v>
      </c>
      <c r="CY14" s="1" t="s">
        <v>160</v>
      </c>
      <c r="DA14" s="42" t="s">
        <v>1</v>
      </c>
      <c r="DB14" s="54" t="s">
        <v>122</v>
      </c>
      <c r="DC14" s="54" t="s">
        <v>155</v>
      </c>
      <c r="DD14" s="54" t="s">
        <v>124</v>
      </c>
      <c r="DE14" s="54" t="s">
        <v>125</v>
      </c>
      <c r="DF14" s="54" t="s">
        <v>126</v>
      </c>
      <c r="DG14" s="54" t="s">
        <v>127</v>
      </c>
      <c r="DH14" s="54" t="s">
        <v>156</v>
      </c>
      <c r="DI14" s="54" t="s">
        <v>157</v>
      </c>
      <c r="DJ14" s="54" t="s">
        <v>158</v>
      </c>
      <c r="DK14" s="55" t="s">
        <v>159</v>
      </c>
      <c r="DM14" t="s">
        <v>236</v>
      </c>
      <c r="DN14" s="1" t="s">
        <v>1</v>
      </c>
      <c r="DO14" s="1" t="s">
        <v>122</v>
      </c>
      <c r="DP14" s="1" t="s">
        <v>155</v>
      </c>
      <c r="DQ14" s="1" t="s">
        <v>124</v>
      </c>
      <c r="DR14" s="1" t="s">
        <v>125</v>
      </c>
      <c r="DS14" s="1" t="s">
        <v>126</v>
      </c>
      <c r="DT14" s="1" t="s">
        <v>127</v>
      </c>
      <c r="DU14" s="1" t="s">
        <v>156</v>
      </c>
      <c r="DV14" s="1" t="s">
        <v>157</v>
      </c>
      <c r="DW14" s="1" t="s">
        <v>158</v>
      </c>
      <c r="DX14" s="1" t="s">
        <v>160</v>
      </c>
      <c r="DZ14" s="1" t="s">
        <v>1</v>
      </c>
      <c r="EA14" s="1" t="s">
        <v>122</v>
      </c>
      <c r="EB14" s="1" t="s">
        <v>155</v>
      </c>
      <c r="EC14" s="1" t="s">
        <v>124</v>
      </c>
      <c r="ED14" s="1" t="s">
        <v>125</v>
      </c>
      <c r="EE14" s="1" t="s">
        <v>126</v>
      </c>
      <c r="EF14" s="1" t="s">
        <v>127</v>
      </c>
      <c r="EG14" s="1" t="s">
        <v>156</v>
      </c>
      <c r="EH14" s="1" t="s">
        <v>157</v>
      </c>
      <c r="EI14" s="1" t="s">
        <v>158</v>
      </c>
      <c r="EJ14" s="1" t="s">
        <v>56</v>
      </c>
      <c r="EK14" s="1" t="s">
        <v>58</v>
      </c>
      <c r="EM14" s="42" t="s">
        <v>14</v>
      </c>
      <c r="EN14" s="54" t="s">
        <v>13</v>
      </c>
      <c r="EO14" s="54" t="s">
        <v>24</v>
      </c>
      <c r="EP14" s="54" t="s">
        <v>25</v>
      </c>
      <c r="EQ14" s="54" t="s">
        <v>26</v>
      </c>
      <c r="ER14" s="54" t="s">
        <v>12</v>
      </c>
      <c r="ES14" s="54" t="s">
        <v>11</v>
      </c>
      <c r="ET14" s="54" t="s">
        <v>10</v>
      </c>
      <c r="EU14" s="54" t="s">
        <v>9</v>
      </c>
      <c r="EV14" s="54" t="s">
        <v>7</v>
      </c>
      <c r="EW14" s="54" t="s">
        <v>86</v>
      </c>
      <c r="EX14" s="54" t="s">
        <v>8</v>
      </c>
      <c r="EY14" s="55" t="s">
        <v>56</v>
      </c>
      <c r="EZ14" s="1" t="s">
        <v>27</v>
      </c>
      <c r="FA14" s="1" t="s">
        <v>27</v>
      </c>
      <c r="FB14" s="57" t="s">
        <v>28</v>
      </c>
      <c r="FC14" s="58" t="s">
        <v>29</v>
      </c>
      <c r="FD14" s="58" t="s">
        <v>30</v>
      </c>
      <c r="FE14" s="58" t="s">
        <v>31</v>
      </c>
      <c r="FF14" s="58" t="s">
        <v>32</v>
      </c>
      <c r="FG14" s="58" t="s">
        <v>33</v>
      </c>
      <c r="FH14" s="54" t="s">
        <v>56</v>
      </c>
      <c r="FI14" s="55" t="s">
        <v>34</v>
      </c>
      <c r="FJ14" s="1" t="s">
        <v>35</v>
      </c>
      <c r="FK14" s="1" t="s">
        <v>36</v>
      </c>
      <c r="FL14" s="1" t="s">
        <v>36</v>
      </c>
      <c r="FM14" s="1" t="s">
        <v>161</v>
      </c>
      <c r="FN14" s="1" t="s">
        <v>17</v>
      </c>
      <c r="FO14" s="1" t="s">
        <v>18</v>
      </c>
      <c r="FP14" s="1" t="s">
        <v>168</v>
      </c>
      <c r="FQ14" s="1" t="s">
        <v>140</v>
      </c>
      <c r="FR14" s="1" t="s">
        <v>142</v>
      </c>
      <c r="FS14" s="1" t="s">
        <v>22</v>
      </c>
      <c r="FT14" s="59" t="s">
        <v>169</v>
      </c>
      <c r="FU14" t="s">
        <v>235</v>
      </c>
      <c r="FW14" s="1" t="s">
        <v>170</v>
      </c>
      <c r="FX14" s="1" t="s">
        <v>170</v>
      </c>
      <c r="FY14" s="1" t="s">
        <v>171</v>
      </c>
      <c r="FZ14" s="1" t="s">
        <v>172</v>
      </c>
      <c r="GA14" s="1" t="s">
        <v>170</v>
      </c>
      <c r="GB14" s="1" t="s">
        <v>173</v>
      </c>
      <c r="GC14" s="1" t="s">
        <v>174</v>
      </c>
      <c r="GD14" s="1" t="s">
        <v>175</v>
      </c>
      <c r="GE14" s="1" t="s">
        <v>176</v>
      </c>
      <c r="GF14" s="1" t="s">
        <v>117</v>
      </c>
      <c r="GG14" s="1" t="s">
        <v>118</v>
      </c>
      <c r="GH14" s="1" t="s">
        <v>177</v>
      </c>
      <c r="GI14" s="1" t="s">
        <v>178</v>
      </c>
      <c r="GJ14" s="1" t="s">
        <v>179</v>
      </c>
      <c r="GK14" s="1" t="s">
        <v>180</v>
      </c>
      <c r="GL14" s="1" t="s">
        <v>181</v>
      </c>
      <c r="GM14" s="1" t="s">
        <v>47</v>
      </c>
      <c r="GN14" s="1" t="s">
        <v>81</v>
      </c>
      <c r="GO14" s="1" t="s">
        <v>82</v>
      </c>
      <c r="GP14" s="1" t="s">
        <v>83</v>
      </c>
      <c r="GQ14" s="1" t="s">
        <v>84</v>
      </c>
      <c r="GR14" s="1" t="s">
        <v>85</v>
      </c>
      <c r="GS14" s="1" t="s">
        <v>86</v>
      </c>
      <c r="GT14" s="1" t="s">
        <v>87</v>
      </c>
      <c r="GU14" s="1" t="s">
        <v>22</v>
      </c>
      <c r="GV14" s="1" t="s">
        <v>22</v>
      </c>
      <c r="GW14" s="1" t="s">
        <v>22</v>
      </c>
      <c r="GX14" s="1" t="s">
        <v>88</v>
      </c>
      <c r="GY14" s="1" t="s">
        <v>89</v>
      </c>
      <c r="HA14" s="1" t="s">
        <v>90</v>
      </c>
      <c r="HB14" s="1" t="s">
        <v>91</v>
      </c>
      <c r="HC14" s="4" t="s">
        <v>92</v>
      </c>
      <c r="HD14" s="4"/>
      <c r="HE14" s="6" t="s">
        <v>93</v>
      </c>
      <c r="HF14" s="6" t="s">
        <v>94</v>
      </c>
      <c r="HG14" s="6" t="s">
        <v>95</v>
      </c>
      <c r="HH14" s="6" t="s">
        <v>96</v>
      </c>
      <c r="HI14" s="7" t="s">
        <v>97</v>
      </c>
      <c r="HJ14" s="6" t="s">
        <v>98</v>
      </c>
      <c r="HK14" s="6" t="s">
        <v>99</v>
      </c>
      <c r="HL14" s="6" t="s">
        <v>100</v>
      </c>
      <c r="HM14" s="6" t="s">
        <v>101</v>
      </c>
      <c r="HN14" s="6" t="s">
        <v>102</v>
      </c>
      <c r="HO14" s="6" t="s">
        <v>103</v>
      </c>
      <c r="HP14" s="6" t="s">
        <v>64</v>
      </c>
      <c r="HQ14" s="6" t="s">
        <v>65</v>
      </c>
      <c r="HR14" s="6" t="s">
        <v>66</v>
      </c>
      <c r="HS14" s="8" t="s">
        <v>67</v>
      </c>
      <c r="HT14" s="9"/>
      <c r="HU14" s="10" t="s">
        <v>68</v>
      </c>
      <c r="HV14" s="10" t="s">
        <v>69</v>
      </c>
      <c r="HW14" s="10" t="s">
        <v>70</v>
      </c>
      <c r="HX14" s="10" t="s">
        <v>71</v>
      </c>
      <c r="HY14" s="11" t="s">
        <v>72</v>
      </c>
      <c r="HZ14" s="12" t="s">
        <v>73</v>
      </c>
      <c r="IA14" s="12" t="s">
        <v>74</v>
      </c>
      <c r="IB14" s="12" t="s">
        <v>73</v>
      </c>
      <c r="IC14" s="12" t="s">
        <v>75</v>
      </c>
      <c r="ID14" s="12" t="s">
        <v>75</v>
      </c>
      <c r="IE14" s="11" t="s">
        <v>83</v>
      </c>
      <c r="IF14" s="11" t="s">
        <v>76</v>
      </c>
      <c r="IG14" s="3" t="s">
        <v>77</v>
      </c>
      <c r="IH14" s="1" t="s">
        <v>78</v>
      </c>
      <c r="II14" s="7" t="s">
        <v>79</v>
      </c>
      <c r="IJ14" s="13" t="s">
        <v>86</v>
      </c>
      <c r="IK14" s="10" t="s">
        <v>85</v>
      </c>
      <c r="IN14" s="143" t="s">
        <v>241</v>
      </c>
      <c r="IO14" s="143" t="s">
        <v>240</v>
      </c>
      <c r="IP14" s="143" t="s">
        <v>242</v>
      </c>
      <c r="IR14" s="3" t="s">
        <v>177</v>
      </c>
      <c r="IS14" s="3" t="s">
        <v>239</v>
      </c>
      <c r="IU14" s="3" t="str">
        <f>IN14</f>
        <v>En</v>
      </c>
      <c r="IV14" s="3" t="str">
        <f>IO14</f>
        <v>Fs</v>
      </c>
      <c r="IW14" s="3" t="str">
        <f>IP14</f>
        <v>Wo</v>
      </c>
      <c r="IX14" s="3"/>
      <c r="IY14" s="3" t="s">
        <v>177</v>
      </c>
      <c r="IZ14" s="3" t="s">
        <v>239</v>
      </c>
    </row>
    <row r="15" spans="1:260">
      <c r="A15" t="s">
        <v>201</v>
      </c>
      <c r="B15" t="s">
        <v>206</v>
      </c>
      <c r="C15" s="22">
        <f>10*J15</f>
        <v>1.7999999999999998</v>
      </c>
      <c r="D15" s="99">
        <f ca="1">AK15-273.15</f>
        <v>1156.5368752259269</v>
      </c>
      <c r="E15" s="14">
        <f ca="1">BL15-BT15</f>
        <v>1.2400560687270357E-2</v>
      </c>
      <c r="F15" s="106">
        <v>51.1</v>
      </c>
      <c r="G15" s="106">
        <v>0.93</v>
      </c>
      <c r="H15" s="106">
        <v>17.5</v>
      </c>
      <c r="I15" s="106">
        <v>8.91</v>
      </c>
      <c r="J15" s="106">
        <v>0.18</v>
      </c>
      <c r="K15" s="114">
        <v>6.09</v>
      </c>
      <c r="L15" s="106">
        <v>11.5</v>
      </c>
      <c r="M15" s="106">
        <v>3.53</v>
      </c>
      <c r="N15" s="106">
        <v>0.17</v>
      </c>
      <c r="O15" s="106">
        <v>0</v>
      </c>
      <c r="P15" s="106">
        <v>0.15</v>
      </c>
      <c r="Q15" s="106">
        <v>3.8</v>
      </c>
      <c r="R15" s="102">
        <f t="shared" ref="R15:R18" ca="1" si="10">0.7996+15.347*(AI15/10)^0.5-0.00233*(AH15-273.15)+0.06248*(N15+M15)</f>
        <v>-0.21657732846339656</v>
      </c>
      <c r="T15" s="106">
        <v>51.5</v>
      </c>
      <c r="U15" s="106">
        <v>0.5</v>
      </c>
      <c r="V15" s="106">
        <v>3.7</v>
      </c>
      <c r="W15" s="106">
        <v>5.18</v>
      </c>
      <c r="X15" s="106">
        <v>0.09</v>
      </c>
      <c r="Y15" s="106">
        <v>15.8</v>
      </c>
      <c r="Z15" s="106">
        <v>22.8</v>
      </c>
      <c r="AA15" s="106">
        <v>0.24</v>
      </c>
      <c r="AB15" s="106">
        <v>0</v>
      </c>
      <c r="AC15" s="106">
        <v>0.66</v>
      </c>
      <c r="AE15" s="98">
        <f ca="1">10^4/(7.53-0.14*FK15+0.07*Q15-14.9*DG15*DA15-0.08*LN(DB15)-3.62*(DH15+DI15)-1.1*DF15/(DF15+DD15)-0.18*LN(FG15)-0.027*AG15)</f>
        <v>1344.7001329487964</v>
      </c>
      <c r="AF15" s="140">
        <f ca="1">AE15-273.15</f>
        <v>1071.5501329487965</v>
      </c>
      <c r="AG15" s="140">
        <f ca="1">-26.2712+39.16138*AE15*FJ15/10^4-4.21676*LN(FI15)+78.43463*DC15+393.8126*(DH15+DI15)^2</f>
        <v>0.96064373117069501</v>
      </c>
      <c r="AH15" s="80">
        <f ca="1">AX15</f>
        <v>1421.0407376170358</v>
      </c>
      <c r="AI15" s="80">
        <f ca="1">AT15</f>
        <v>8.6485284337609158E-2</v>
      </c>
      <c r="AJ15" s="80"/>
      <c r="AK15" s="80">
        <f t="shared" ref="AK15:AL19" ca="1" si="11">BB15</f>
        <v>1429.686875225927</v>
      </c>
      <c r="AL15" s="80">
        <f t="shared" ca="1" si="11"/>
        <v>0.94800232896399406</v>
      </c>
      <c r="AM15" s="80"/>
      <c r="AN15" s="80">
        <f ca="1">10^4/(7.53-0.14*FK15+0.07*Q15-14.9*DG15*DA15-0.08*LN(DB15)-3.62*(DH15+DI15)-1.1*DF15/(DF15+DD15)-0.18*LN(FG15)-0.027*AP15)</f>
        <v>1335.5800858545699</v>
      </c>
      <c r="AO15" s="80">
        <f ca="1">AN15-273.15</f>
        <v>1062.4300858545698</v>
      </c>
      <c r="AP15" s="80">
        <f ca="1">IF(ABS(FB15)&gt;0,-54.3+299*(AN15)/10^4+36.4*(AN15)*FJ15/10^4+367*DH15*DC15,0)</f>
        <v>-0.92013599246362432</v>
      </c>
      <c r="AQ15" s="80"/>
      <c r="AR15" s="80">
        <f ca="1">10^4/(6.39+0.076*Q15-5.55*DG15*DA15-0.386*LN(DF15)-0.046*AT15+2.2*10^-4*(AT15^2))</f>
        <v>1363.023673699824</v>
      </c>
      <c r="AS15" s="80">
        <f ca="1">AR15-273.15</f>
        <v>1089.8736736998239</v>
      </c>
      <c r="AT15" s="36">
        <f ca="1">-54.3+299*(AR15)/10^4+36.4*(AR15)*FJ15/10^4+367*DH15*DC15</f>
        <v>8.6485284337609158E-2</v>
      </c>
      <c r="AV15" s="36">
        <f>IF(ABS(FB15)&gt;0,10^4/(6.73-0.26*FK15-0.86*LN(FM15)+0.52*LN(DG15)),0)</f>
        <v>1423.8053656325776</v>
      </c>
      <c r="AW15" s="36">
        <f>IF(AV15&gt;0,AV15-273.15,0)</f>
        <v>1150.6553656325777</v>
      </c>
      <c r="AX15" s="36">
        <f ca="1">IF(ABS(FB15)&gt;0,10^4/(6.59-0.16*FK15-0.65*LN(FM15)+0.23*LN(DG15)-0.02*AT15),0)</f>
        <v>1421.0407376170358</v>
      </c>
      <c r="AY15" s="36">
        <f ca="1">IF(AX15&gt;0,AX15-273.15,0)</f>
        <v>1147.8907376170359</v>
      </c>
      <c r="AZ15" s="36">
        <f ca="1">IF(ABS(FB15)&gt;0,-54.3+299*(AX15)/10^4+36.4*(AX15)*FJ15/10^4+367*DH15*DC15,0)</f>
        <v>2.2145310517463539</v>
      </c>
      <c r="BA15" s="36"/>
      <c r="BB15" s="36">
        <f ca="1">IF(ABS(FB15)&gt;0,10^4/(4.6-0.437*FL15-0.654*LN(FM15)-0.326*LN(DH15)-0.92*LN(DA15)+0.274*LN(FB15)-0.00632*BC15),0)</f>
        <v>1429.686875225927</v>
      </c>
      <c r="BC15" s="36">
        <f ca="1">IF(ABS(FB15)&gt;0,-88.3+0.00282*(BB15)*FJ15+0.0219*(BB15)-25.1*LN(DG15*DA15)+12.4*LN(DG15)+7.03*FM15,0)</f>
        <v>0.94800232896399406</v>
      </c>
      <c r="BD15" s="36">
        <f ca="1">BB15-273.15</f>
        <v>1156.5368752259269</v>
      </c>
      <c r="BE15" s="36">
        <f ca="1">-48.7+271.3*AH15/10^4+31.96*(AH15/10^4)*FJ15-8.2*LN(DD15)+4.6*LN(DF15)-0.96*LN(DI15)-2.2*LN(FI15)-31*FM15+56.2*(DH15+DI15)+0.76*Q15</f>
        <v>4.8011868052980464</v>
      </c>
      <c r="BF15" s="36">
        <f ca="1">-40.73+358*AH15/10^4+21.7*(AH15/10^4)*FJ15-106*DG15-166*(DH15+DI15)^2-50.2*DA15*(DD15+DF15)-3.2*LN(FI15)-2.2*LN(FG15)+0.86*LN(EQ15)+0.4*Q15</f>
        <v>5.1490615818901198</v>
      </c>
      <c r="BG15" s="36">
        <f ca="1">-273.15+10^4/(7.53+0.07*Q15-1.1*FM15-14.9*DG15*DA15-0.08*LN(DB15)-3.62*(DH15+DI15)-0.18*LN(FG15)-0.026*AI15-0.14*FL15)</f>
        <v>1067.2802883440268</v>
      </c>
      <c r="BH15" s="36">
        <f ca="1">-273.15+10^4/(6.39+0.076*Q15-5.55*DG15*DA15-0.386*LN(DF15)-0.046*FO15+2.2*10^-4*AI15^2)</f>
        <v>1089.8736736998239</v>
      </c>
      <c r="BI15" s="36">
        <f ca="1">-273.15+10^4/(6.39+0.076*Q15-5.55*(DG15*DA15)-0.386*LN(DF15)-0.046*AI15+0.00022*AI15^2)</f>
        <v>1089.8736736998239</v>
      </c>
      <c r="BJ15" s="36">
        <f ca="1">10^4/(3.12-0.0259*BC15-0.37*LN(DF15/(DF15+DD15))+0.47*LN(DG15*(DF15+DD15)*DA15^2)-0.78*LN((DF15+DD15)^2*DA15^2)-0.34*LN(DG15*DC15^2*DA15))-273.15</f>
        <v>1167.7951240626771</v>
      </c>
      <c r="BK15" s="62">
        <f ca="1">EXP(-9.8+0.24*LN(DG15*(DD15+DF15)*DA15^2)+17558/AE15+8.7*LN(AE15/1670)-4.61*10^3*(FG15^2/AE15))</f>
        <v>0.99922539439608238</v>
      </c>
      <c r="BL15" s="62">
        <f ca="1">EXP(-0.482-0.439*LN(DA15)+101.03*(DH15+DI15)^3-51.69*AG15/AE15-3742.5*FG15^2/AE15)</f>
        <v>0.82683671188343988</v>
      </c>
      <c r="BM15" s="62">
        <f ca="1">EXP(-6.96+18438/AE15+8*LN(AE15/1670)+0.66*LN((DD15+DF15)^2*DA15^2)-5.1*10^3*(FF15^2/AE15)+1.81*LN(DA15))</f>
        <v>9.6081536124996772E-2</v>
      </c>
      <c r="BN15" s="62">
        <f ca="1">EXP(2.58+0.12*AI15/AN15-9*10^-7*AI15^2/AN15+0.78*LN(DG15*DC15^2*DA15)-4.3*10^3*(FF15^2/AN15))</f>
        <v>1.187866161618027E-2</v>
      </c>
      <c r="BO15" s="62">
        <f ca="1">EXP(-1.06+0.23*AI15/AN15-6*10^-7*AI15^2/AN15+1.02*LN(DH15*DC15*DA15^2)-0.8*LN(DC15)-2.2*LN(DA15))</f>
        <v>1.617085578127293E-2</v>
      </c>
      <c r="BP15" s="62">
        <f ca="1">EXP(5.1+0.52*LN(DG15*DB15*DC15^2)+2.04*10^3*FF15^2/AN15-6.2*DA15+42.5*DH15*DC15-45.1*(DD15+DF15)*DC15)</f>
        <v>4.5889350870768529E-2</v>
      </c>
      <c r="BQ15" s="62">
        <f>EXP(12.8)*DG15*DJ15^2*DA15</f>
        <v>0</v>
      </c>
      <c r="BR15" s="36">
        <f ca="1">SUM(BL15:BQ15)</f>
        <v>0.99685711627665841</v>
      </c>
      <c r="BS15" s="47"/>
      <c r="BT15" s="62">
        <f>FF15</f>
        <v>0.81443615119616952</v>
      </c>
      <c r="BU15" s="62">
        <f t="shared" si="6"/>
        <v>0.10382693656686925</v>
      </c>
      <c r="BV15" s="62">
        <f t="shared" si="7"/>
        <v>3.0374796890280439E-2</v>
      </c>
      <c r="BW15" s="62">
        <f t="shared" si="8"/>
        <v>1.705536082466275E-2</v>
      </c>
      <c r="BX15" s="62">
        <f t="shared" si="9"/>
        <v>4.1013051289162938E-2</v>
      </c>
      <c r="BY15" s="62">
        <f t="shared" si="9"/>
        <v>9.5624467371756647E-3</v>
      </c>
      <c r="BZ15" s="62">
        <f>SUM(BT15:BY15)</f>
        <v>1.0162687435043207</v>
      </c>
      <c r="CA15" s="62">
        <f>(ER15/ET15)/($G$8*DD15/DF15)</f>
        <v>0.22408472914802025</v>
      </c>
      <c r="CB15" s="47"/>
      <c r="CC15" s="36"/>
      <c r="CD15" s="36">
        <f ca="1">3205-5.62*ET15+83.2*EV15+68.2*FI15+2.52*LN(EP15)-51.1*FI15^2+34.8*FG15^2+0.384*(AH15)-518*LN(AH15)</f>
        <v>1.352356277475792</v>
      </c>
      <c r="CE15" s="36">
        <f ca="1">1458+0.197*(AH15)-241*LN(AH15)+0.453*Q15+55.5*EP15+8.05*ER15-277*EW15+18*FB15+44.1*FF15+2.2*LN(FB15)-27.7*EQ15^2+97.3*GI15^2+30.7*GK15^2-27.6*FF15^2</f>
        <v>2.5439587952203695</v>
      </c>
      <c r="CF15" s="36">
        <f ca="1">-57.9+0.0475*(AH15)-40.6*DD15-47.7*FC15+0.67*Q15-153*DG15*DA15+6.89*(EQ15/DC15)</f>
        <v>5.5451056411643203</v>
      </c>
      <c r="CG15" s="36">
        <f ca="1">-273.15+(93100+544*AI15)/(61.1+36.6*EN15+10.9*ER15-0.95*(EQ15+EX15-EV15-EW15)+0.395*(LN(FT15))^2)</f>
        <v>1144.0316855130527</v>
      </c>
      <c r="CH15" s="48">
        <f ca="1">EXP(-0.107-1719/AH15)</f>
        <v>0.26802452500385088</v>
      </c>
      <c r="CJ15" s="36">
        <f>698.443+4.985*EO15-26.826*GJ15-3.764*EZ15+53.989*EP15+3.948*EN15+14.651*EX15-700.431*EU15-666.629*EV15-682.848*GK15-691.138*GI15-688.384*ES15-6.267*GK15^2-4.144*GI15^2</f>
        <v>0.53399902426765189</v>
      </c>
      <c r="CK15" s="36">
        <f>771.48+4.956*EO15-28.756*GJ15-5.345*EZ15+56.904*EP15+1.848*EN15+14.827*EX15-773.74*EU15-736.57*EV15-754.81*GK15-763.2*GI15-759.66*ES15-1.185*GK15^2-1.876*GI15^2</f>
        <v>0.31797542729864264</v>
      </c>
      <c r="CL15" s="36">
        <f ca="1">-273.15+(23166+39.28*AI15)/(13.25+15.35*EN15+4.5*ER15-1.55*(EQ15-EX15-EV15-EW15)+(LN(IF15))^2)</f>
        <v>860.99696687858602</v>
      </c>
      <c r="CM15" s="2"/>
      <c r="CN15" s="1">
        <f t="shared" ref="CN15:CO19" si="12">F15/CN$10</f>
        <v>0.85047175385250395</v>
      </c>
      <c r="CO15" s="1">
        <f t="shared" si="12"/>
        <v>1.1642638597475176E-2</v>
      </c>
      <c r="CP15" s="1">
        <f>H15*2/CP$10</f>
        <v>0.34326850462431713</v>
      </c>
      <c r="CQ15" s="1">
        <f t="shared" ref="CQ15:CT19" si="13">I15/CQ$10</f>
        <v>0.124014564404062</v>
      </c>
      <c r="CR15" s="1">
        <f t="shared" si="13"/>
        <v>2.5374449339207049E-3</v>
      </c>
      <c r="CS15" s="1">
        <f t="shared" si="13"/>
        <v>0.15110012802572423</v>
      </c>
      <c r="CT15" s="1">
        <f t="shared" si="13"/>
        <v>0.20507370170514325</v>
      </c>
      <c r="CU15" s="1">
        <f t="shared" ref="CU15:CX19" si="14">M15*2/CU$10</f>
        <v>0.1139097337965017</v>
      </c>
      <c r="CV15" s="1">
        <f t="shared" si="14"/>
        <v>3.6094950953331354E-3</v>
      </c>
      <c r="CW15" s="1">
        <f t="shared" si="14"/>
        <v>0</v>
      </c>
      <c r="CX15" s="1">
        <f t="shared" si="14"/>
        <v>2.1136137863981904E-3</v>
      </c>
      <c r="CY15" s="1">
        <f>SUM(CN15:CX15)</f>
        <v>1.8077415788213793</v>
      </c>
      <c r="DA15" s="1">
        <f t="shared" ref="DA15:DK19" si="15">(CN15/$CY15)</f>
        <v>0.47046091311734883</v>
      </c>
      <c r="DB15" s="1">
        <f t="shared" si="15"/>
        <v>6.440433043016028E-3</v>
      </c>
      <c r="DC15" s="1">
        <f t="shared" si="15"/>
        <v>0.18988803966556056</v>
      </c>
      <c r="DD15" s="1">
        <f t="shared" si="15"/>
        <v>6.8601931745641248E-2</v>
      </c>
      <c r="DE15" s="1">
        <f t="shared" si="15"/>
        <v>1.4036546836385107E-3</v>
      </c>
      <c r="DF15" s="1">
        <f t="shared" si="15"/>
        <v>8.3585026640942375E-2</v>
      </c>
      <c r="DG15" s="1">
        <f t="shared" si="15"/>
        <v>0.11344193445992887</v>
      </c>
      <c r="DH15" s="1">
        <f t="shared" si="15"/>
        <v>6.3012177808494704E-2</v>
      </c>
      <c r="DI15" s="1">
        <f t="shared" si="15"/>
        <v>1.9966875451780408E-3</v>
      </c>
      <c r="DJ15" s="1">
        <f t="shared" si="15"/>
        <v>0</v>
      </c>
      <c r="DK15" s="1">
        <f t="shared" si="15"/>
        <v>1.1692012902509191E-3</v>
      </c>
      <c r="DL15" s="1">
        <f>SUM(DA15:DK15)</f>
        <v>0.99999999999999989</v>
      </c>
      <c r="DM15">
        <f>100*DF15/(DF15+DD15)</f>
        <v>54.922594897140009</v>
      </c>
      <c r="DN15" s="1">
        <f t="shared" ref="DN15:DW19" si="16">T15/CN$10</f>
        <v>0.85712906699420643</v>
      </c>
      <c r="DO15" s="1">
        <f t="shared" si="16"/>
        <v>6.2594831169221375E-3</v>
      </c>
      <c r="DP15" s="1">
        <f t="shared" si="16"/>
        <v>3.6288384774570671E-2</v>
      </c>
      <c r="DQ15" s="1">
        <f t="shared" si="16"/>
        <v>7.2098254053091032E-2</v>
      </c>
      <c r="DR15" s="1">
        <f t="shared" si="16"/>
        <v>1.2687224669603525E-3</v>
      </c>
      <c r="DS15" s="1">
        <f t="shared" si="16"/>
        <v>0.39201675251337326</v>
      </c>
      <c r="DT15" s="1">
        <f t="shared" si="16"/>
        <v>0.40658090425019711</v>
      </c>
      <c r="DU15" s="1">
        <f t="shared" si="16"/>
        <v>3.8722855681530325E-3</v>
      </c>
      <c r="DV15" s="1">
        <f t="shared" si="16"/>
        <v>0</v>
      </c>
      <c r="DW15" s="1">
        <f t="shared" si="16"/>
        <v>4.3421566834344096E-3</v>
      </c>
      <c r="DX15" s="1">
        <f>SUM(DN15:DW15)</f>
        <v>1.7798560104209085</v>
      </c>
      <c r="DZ15" s="1">
        <f t="shared" ref="DZ15:EA18" si="17">DN15*2</f>
        <v>1.7142581339884129</v>
      </c>
      <c r="EA15" s="1">
        <f t="shared" si="17"/>
        <v>1.2518966233844275E-2</v>
      </c>
      <c r="EB15" s="1">
        <f>DP15*3</f>
        <v>0.10886515432371202</v>
      </c>
      <c r="EC15" s="1">
        <f t="shared" ref="EC15:EH18" si="18">DQ15</f>
        <v>7.2098254053091032E-2</v>
      </c>
      <c r="ED15" s="1">
        <f t="shared" si="18"/>
        <v>1.2687224669603525E-3</v>
      </c>
      <c r="EE15" s="1">
        <f t="shared" si="18"/>
        <v>0.39201675251337326</v>
      </c>
      <c r="EF15" s="1">
        <f t="shared" si="18"/>
        <v>0.40658090425019711</v>
      </c>
      <c r="EG15" s="1">
        <f t="shared" si="18"/>
        <v>3.8722855681530325E-3</v>
      </c>
      <c r="EH15" s="1">
        <f t="shared" si="18"/>
        <v>0</v>
      </c>
      <c r="EI15" s="1">
        <f>DW15*3</f>
        <v>1.3026470050303229E-2</v>
      </c>
      <c r="EJ15" s="1">
        <f>SUM(DZ15:EI15)</f>
        <v>2.7245056434480466</v>
      </c>
      <c r="EK15" s="1">
        <f>6/EJ15</f>
        <v>2.2022343812826879</v>
      </c>
      <c r="EM15" s="1">
        <f t="shared" ref="EM15:EN19" si="19">DN15*$EK15</f>
        <v>1.8875991005313937</v>
      </c>
      <c r="EN15" s="1">
        <f t="shared" si="19"/>
        <v>1.3784848929144455E-2</v>
      </c>
      <c r="EO15" s="1">
        <f>2-EM15</f>
        <v>0.11240089946860632</v>
      </c>
      <c r="EP15" s="1">
        <f>IF(EQ15-EO15&lt;0,0,EQ15-EO15)</f>
        <v>4.7430157714943189E-2</v>
      </c>
      <c r="EQ15" s="1">
        <f>DP15*$EK15*2</f>
        <v>0.15983105718354951</v>
      </c>
      <c r="ER15" s="1">
        <f t="shared" ref="ER15:EU19" si="20">DQ15*$EK15</f>
        <v>0.15877725390617098</v>
      </c>
      <c r="ES15" s="1">
        <f t="shared" si="20"/>
        <v>2.7940242370458773E-3</v>
      </c>
      <c r="ET15" s="1">
        <f t="shared" si="20"/>
        <v>0.86331277042373711</v>
      </c>
      <c r="EU15" s="1">
        <f t="shared" si="20"/>
        <v>0.89538644611278861</v>
      </c>
      <c r="EV15" s="1">
        <f t="shared" ref="EV15:EX19" si="21">DU15*$EK15*2</f>
        <v>1.705536082466275E-2</v>
      </c>
      <c r="EW15" s="1">
        <f t="shared" si="21"/>
        <v>0</v>
      </c>
      <c r="EX15" s="1">
        <f t="shared" si="21"/>
        <v>1.9124893474351329E-2</v>
      </c>
      <c r="EY15" s="1">
        <f>EM15+EN15+EQ15+ER15+ES15+ET15+EU15+EV15+EW15+EX15</f>
        <v>4.0176657556228443</v>
      </c>
      <c r="EZ15" s="1">
        <f>IF(EV15+EO15-EP15-2*EN15-EX15&gt;0,EV15+EO15-EP15-2*EN15-EX15,0)</f>
        <v>3.5331511245685635E-2</v>
      </c>
      <c r="FA15" s="1">
        <f>12-48/EY15</f>
        <v>5.2764236840122436E-2</v>
      </c>
      <c r="FB15" s="1">
        <f>IF(EV15&lt;EP15,EV15,EP15)</f>
        <v>1.705536082466275E-2</v>
      </c>
      <c r="FC15" s="1">
        <f>IF(EP15&gt;EV15,EP15-EV15,0)</f>
        <v>3.0374796890280439E-2</v>
      </c>
      <c r="FD15" s="1">
        <f>IF(EO15&gt;FC15,(EO15-FC15)/2,0)</f>
        <v>4.1013051289162938E-2</v>
      </c>
      <c r="FE15" s="1">
        <f>EX15/2</f>
        <v>9.5624467371756647E-3</v>
      </c>
      <c r="FF15" s="2">
        <f>IF(EU15-FD15-FC15-FE15&gt;0,EU15-FD15-FC15-FE15,0)</f>
        <v>0.81443615119616952</v>
      </c>
      <c r="FG15" s="1">
        <f>((ER15+ET15)-FF15)/2</f>
        <v>0.10382693656686925</v>
      </c>
      <c r="FH15" s="1">
        <f>SUM(FB15:FG15)</f>
        <v>1.0162687435043205</v>
      </c>
      <c r="FI15" s="1">
        <f>EU15-FC15-FD15-FE15</f>
        <v>0.81443615119616963</v>
      </c>
      <c r="FJ15" s="1">
        <f>LN(FB15/(DA15^2*DH15*DC15))</f>
        <v>1.8625420085643631</v>
      </c>
      <c r="FK15" s="1">
        <f>LN(FB15*DG15*(DD15+DF15)/(FF15*DH15*DC15))</f>
        <v>-3.4993932326568835</v>
      </c>
      <c r="FL15" s="1">
        <f>LN((FB15*DG15*(DD15+DF15))/(DH15*DC15*FI15))</f>
        <v>-3.4993932326568835</v>
      </c>
      <c r="FM15" s="1">
        <f>DF15/(DF15+DD15)</f>
        <v>0.54922594897140009</v>
      </c>
      <c r="FN15" s="60">
        <f t="shared" ref="FN15:FO19" ca="1" si="22">AH15</f>
        <v>1421.0407376170358</v>
      </c>
      <c r="FO15" s="60">
        <f t="shared" ca="1" si="22"/>
        <v>8.6485284337609158E-2</v>
      </c>
      <c r="FP15" s="1">
        <f ca="1">(FN15)/10^4</f>
        <v>0.14210407376170359</v>
      </c>
      <c r="FQ15" s="2">
        <f ca="1">LN(ABS(BE15-FO15))</f>
        <v>1.550685609937501</v>
      </c>
      <c r="FR15" s="2">
        <f ca="1">LN(ABS(BH15-FN15))</f>
        <v>5.8026229728717444</v>
      </c>
      <c r="FS15" s="1">
        <f ca="1">1458+0.45*Q15+0.197*(D15+273.15)-241*LN(D15+273.15)+55.5*EP15+8.05*ER15-276.6*EW15+18.01*FB15+44.09*FI15+2.17*LN(FB15)+97.3*GI15^2+30.38*GK15^2-27.59*FI15^2-17.7*EQ15^2</f>
        <v>3.1490152726779983</v>
      </c>
      <c r="FT15" s="1">
        <f>(1-EU15-EV15-EW15)*(1-0.5*(EQ15+EX15+EV15+EW15))</f>
        <v>7.8976994935931799E-2</v>
      </c>
      <c r="FU15" s="2">
        <f>100*DS15/(DS15+DQ15)</f>
        <v>84.465433559997138</v>
      </c>
      <c r="FV15" s="2">
        <f ca="1">2446.5+0.309*(D15+273.15)-400*LN(D15+273.15)-5.98*ET15-20.5*EV15+112*FB15+61.5*FC15+71.1*FI15+1.66*LN(FI15)-43.5*FI15^2+43*FG15^2-26.2*EQ15^2</f>
        <v>8.9610526922130163</v>
      </c>
      <c r="FW15" s="2">
        <f ca="1">EXP(-0.107-1719/(D15+273.15))</f>
        <v>0.26999247758448758</v>
      </c>
      <c r="FX15" s="2">
        <f>(ER15/ET15)/(DD15/DF15)</f>
        <v>0.22408472914802025</v>
      </c>
      <c r="FY15" s="1">
        <f>EU15+EV15+ES15</f>
        <v>0.91523583117449725</v>
      </c>
      <c r="FZ15" s="1">
        <f>EP15+EN15+EX15+EZ15</f>
        <v>0.11567141136412461</v>
      </c>
      <c r="GA15" s="1">
        <f>EXP(0.238*FZ15+0.289*FY15-2.3315)</f>
        <v>0.13009802829450876</v>
      </c>
      <c r="GB15" s="1">
        <f>1-EN15-EP15</f>
        <v>0.93878499335591237</v>
      </c>
      <c r="GC15" s="1">
        <f>(ER15-EZ15)+ET15-GB15</f>
        <v>4.7973519728310099E-2</v>
      </c>
      <c r="GD15" s="1">
        <f>ER15-EZ15</f>
        <v>0.12344574266048534</v>
      </c>
      <c r="GE15" s="1">
        <f>1-GA15</f>
        <v>0.86990197170549122</v>
      </c>
      <c r="GF15" s="1">
        <f>(GA15*ET15)-(GA15*(1-FY15))+GD15+(1-FY15)</f>
        <v>0.3094975494853654</v>
      </c>
      <c r="GG15" s="1">
        <f>-GD15*(1-FY15)</f>
        <v>-1.0463775771662947E-2</v>
      </c>
      <c r="GH15" s="1">
        <f>(-GF15+SQRT(GF15^2-4*GE15*GG15))/2*GE15</f>
        <v>2.352809207528777E-2</v>
      </c>
      <c r="GI15" s="1">
        <f>GH15</f>
        <v>2.352809207528777E-2</v>
      </c>
      <c r="GJ15" s="1">
        <f>GD15-GI15</f>
        <v>9.9917650585197582E-2</v>
      </c>
      <c r="GK15" s="1">
        <f>1-FY15-GI15</f>
        <v>6.1236076750214981E-2</v>
      </c>
      <c r="GL15" s="1">
        <f>ET15-GK15</f>
        <v>0.80207669367352208</v>
      </c>
      <c r="GM15" s="1">
        <f>IF(1-FY15&gt;0,EU15,1-EV15-EW15-ES15)</f>
        <v>0.89538644611278861</v>
      </c>
      <c r="GN15" s="1">
        <f>IF(1-FY15&gt;0,EV15,IF(EU15&gt;0,EV15,1-ES15))</f>
        <v>1.705536082466275E-2</v>
      </c>
      <c r="GO15" s="1">
        <f>11.864*GJ15+9.107*EZ15-18.375*EP15+11.794*EN15-1.4925*EX15+439.97*EU15+419.68*EV15+431.72*GK15+432.56*GI15+428.03*ES15-28.652*GK15^2-12.741*GI15^2</f>
        <v>439.56624386510964</v>
      </c>
      <c r="GP15" s="1">
        <f>-0.3085*EO15+0.813*GJ15-0.4173*EZ15-2.209*EP15-1.0864*EN15-0.8001*EX15+11.931*EU15+11.288*EV15+11.432*GK15+11.885*GI15+12.038*ES15+2.4355*GK15^2-1.661*GI15^2</f>
        <v>11.793669191640273</v>
      </c>
      <c r="GQ15" s="1">
        <f>3*(EZ15+EP15+EX15)+2*(GJ15+GL15)+4*EN15</f>
        <v>2.1647877715389576</v>
      </c>
      <c r="GR15" s="1">
        <f>32.9*(0.75*GQ15/6)*(10^-6)</f>
        <v>8.9026897104539619E-6</v>
      </c>
      <c r="GS15" s="1">
        <f>7500*GQ15/((1.4133+0.05601*GP15)^3)</f>
        <v>1820.2713801554285</v>
      </c>
      <c r="GT15" s="1">
        <f ca="1">GP15*((2+3*GR15*(D15-25))/(2-3*GR15*(D15-25))-1)</f>
        <v>0.36188674314024621</v>
      </c>
      <c r="GU15" s="2">
        <f ca="1">-57.9+0.0475*(FN15+273.15)-40.6*DD15-47.7*FC15+0.67*Q15-153*DA15*DG15+6.89*((EO15+EP15)/DC15)</f>
        <v>18.519730641164305</v>
      </c>
      <c r="GV15" s="4">
        <f ca="1">IA15</f>
        <v>2.6454353833791906</v>
      </c>
      <c r="GW15" s="4">
        <f ca="1">IC15</f>
        <v>1.956707315677054</v>
      </c>
      <c r="GX15" s="4">
        <f>M15+N15</f>
        <v>3.6999999999999997</v>
      </c>
      <c r="GY15" s="4">
        <f>6*10^-5*(F15^3)-0.0166*(F15^2)+1.5751*F15-39.978</f>
        <v>5.1694938600000029</v>
      </c>
      <c r="GZ15" s="4">
        <f ca="1">IF(GX15&gt;GY15,GW15,GV15)</f>
        <v>2.6454353833791906</v>
      </c>
      <c r="HA15" s="1">
        <f t="shared" ref="HA15:HB18" si="23">GO15</f>
        <v>439.56624386510964</v>
      </c>
      <c r="HB15" s="1">
        <f t="shared" si="23"/>
        <v>11.793669191640273</v>
      </c>
      <c r="HC15" s="4">
        <f>771.475-(1.323*HA15)-(16.064*HB15)</f>
        <v>0.47535747195061617</v>
      </c>
      <c r="HD15" s="4"/>
      <c r="HE15" s="6">
        <f>GI15+GJ15+ES15</f>
        <v>0.12623976689753125</v>
      </c>
      <c r="HF15" s="6">
        <f>GK15+GL15</f>
        <v>0.86331277042373711</v>
      </c>
      <c r="HG15" s="6">
        <f>IF(EV15&gt;EZ15,EZ15,EV15)</f>
        <v>1.705536082466275E-2</v>
      </c>
      <c r="HH15" s="6">
        <f>EV15-HG15</f>
        <v>0</v>
      </c>
      <c r="HI15" s="6">
        <f>EZ15-HG15</f>
        <v>1.8276150421022885E-2</v>
      </c>
      <c r="HJ15" s="6">
        <f>IF(HH15&gt;EP15,EP15,HH15)</f>
        <v>0</v>
      </c>
      <c r="HK15" s="6">
        <f>HH15-HJ15</f>
        <v>0</v>
      </c>
      <c r="HL15" s="6">
        <f>EP15-HJ15</f>
        <v>4.7430157714943189E-2</v>
      </c>
      <c r="HM15" s="6">
        <f>HL15+EX15+2*EN15</f>
        <v>9.4124749047583417E-2</v>
      </c>
      <c r="HN15" s="6">
        <f>HE15/(HE15+HF15)</f>
        <v>0.12757257663071023</v>
      </c>
      <c r="HO15" s="6">
        <f>(EU15-HM15-HI15)*(1-HN15)</f>
        <v>0.68309806299417886</v>
      </c>
      <c r="HP15" s="6">
        <f>(EU15-HM15-HI15)*HN15</f>
        <v>9.9887483650003481E-2</v>
      </c>
      <c r="HQ15" s="6">
        <f>(1-HG15-HJ15-HI15-HM15-HO15-HP15)*(1-HN15)</f>
        <v>7.6388168768430104E-2</v>
      </c>
      <c r="HR15" s="6">
        <f>(1-HG15-HJ15-HI15-HM15-HO15-HP15)*HN15</f>
        <v>1.1170024294118501E-2</v>
      </c>
      <c r="HS15" s="6">
        <f>HJ15+HG15</f>
        <v>1.705536082466275E-2</v>
      </c>
      <c r="HT15" s="6"/>
      <c r="HU15" s="15">
        <f>(-0.000000872*HO15)-(0.000000749*HQ15)-(0.000000993*HP15)-(0.00000087*(HM15+HI15))-(0.00000086*HS15)-(0.00000087*HR15)</f>
        <v>-8.7423883458571225E-7</v>
      </c>
      <c r="HV15" s="15">
        <f>(0.000000000001707*HO15)+(0.000000000000447*HQ15)+(0.0000000000014835*HP15)+(0.000000000002171*(HM15+HI15))+(0.000000000002149*HS15)+(0.0000000000002235*HR15)</f>
        <v>1.6315478105536119E-12</v>
      </c>
      <c r="HW15" s="15">
        <f>(0.000027795*HO15)+(0.000024656*HQ15)+(0.000031371*HP15)+(0.00002225*(HM15+HI15))+(0.000023118*HS15)+(0.000028232*HR15)</f>
        <v>2.7214265570254471E-5</v>
      </c>
      <c r="HX15" s="15">
        <f>(0.0000000083082*HO15)+(0.000000007467*HQ15)+(0.0000000083672*HP15)+(0.0000000052863*(HM15+HI15))+(0.0000000025785*HS15)+(0.000000007526*HR15)</f>
        <v>7.8037120619432373E-9</v>
      </c>
      <c r="HY15" s="6">
        <f>GQ15</f>
        <v>2.1647877715389576</v>
      </c>
      <c r="HZ15" s="6">
        <f ca="1">HA15+HA15*(HU15*(IA15-0.001)+HV15*(IA15-0.001)^2+HW15*(D15-25)+HX15*(D15-25)^2)</f>
        <v>457.49321309472333</v>
      </c>
      <c r="IA15" s="6">
        <f ca="1">IA$8+IA$9*IB15+IA$10*HB15+IA$11*ET15/(ET15+ER15)</f>
        <v>2.6454353833791906</v>
      </c>
      <c r="IB15" s="6">
        <f ca="1">HA15+HA15*(HU15*(IC15-0.001)+HV15*(IC15-0.001)^2+HW15*(D15-25)+HX15*(D15-25)^2)</f>
        <v>457.49347776092321</v>
      </c>
      <c r="IC15" s="6">
        <f ca="1">IC$8+IC$9*IB15+IC$10*HB15+IC$11*(ET15/(ET15+ER15))</f>
        <v>1.956707315677054</v>
      </c>
      <c r="ID15" s="6">
        <f ca="1">IF(GX15&gt;GY15,IC15,IA15)</f>
        <v>2.6454353833791906</v>
      </c>
      <c r="IE15" s="6">
        <f>-0.3085*EO1</f>
        <v>0</v>
      </c>
      <c r="IF15" s="2">
        <f>(1-EU15-EV15-EW15)*(1-0.5*(EQ15+EX15+EV15+EW15))</f>
        <v>7.8976994935931799E-2</v>
      </c>
      <c r="IG15" s="16">
        <f ca="1">D15-25</f>
        <v>1131.5368752259269</v>
      </c>
      <c r="IH15" s="16"/>
      <c r="II15" s="6">
        <f>1.4133+(0.05601*HB15)</f>
        <v>2.0738634114237717</v>
      </c>
      <c r="IJ15" s="16">
        <f>(7500*HY15)/II15^3</f>
        <v>1820.2713801554285</v>
      </c>
      <c r="IK15" s="15">
        <f>0.0000329*(0.75-HY15/6)</f>
        <v>1.280474705272805E-5</v>
      </c>
      <c r="IM15" s="1">
        <f>SUM(IN15:IP15)</f>
        <v>1</v>
      </c>
      <c r="IN15" s="1">
        <f>ET15/(ER15+ET15+EU15)</f>
        <v>0.45023382749746083</v>
      </c>
      <c r="IO15" s="1">
        <f>ER15/(ER15+ET15+EU15)</f>
        <v>8.280532061471052E-2</v>
      </c>
      <c r="IP15" s="1">
        <f>EU15/(EU15+ET15+ER15)</f>
        <v>0.46696085188782871</v>
      </c>
      <c r="IR15" s="141">
        <f>IO15/(COS(RADIANS(30)))+IP15*TAN(RADIANS(30))</f>
        <v>0.3652153218329276</v>
      </c>
      <c r="IS15" s="141">
        <f>IP15</f>
        <v>0.46696085188782871</v>
      </c>
      <c r="IU15" s="3">
        <v>0</v>
      </c>
      <c r="IV15" s="3">
        <v>1</v>
      </c>
      <c r="IW15" s="3">
        <v>0</v>
      </c>
      <c r="IX15" s="3"/>
      <c r="IY15" s="141">
        <f>IV15/(COS(RADIANS(30)))+IW15*TAN(RADIANS(30))</f>
        <v>1.1547005383792515</v>
      </c>
      <c r="IZ15" s="141">
        <f>IW15</f>
        <v>0</v>
      </c>
    </row>
    <row r="16" spans="1:260">
      <c r="A16" t="s">
        <v>201</v>
      </c>
      <c r="B16" t="s">
        <v>203</v>
      </c>
      <c r="C16" s="22">
        <f t="shared" ref="C16:C19" si="24">10*J16</f>
        <v>1.9</v>
      </c>
      <c r="D16" s="99">
        <f ca="1">AK16-273.15</f>
        <v>1115.2314457049829</v>
      </c>
      <c r="E16" s="14">
        <f ca="1">BL16-BT16</f>
        <v>-8.6355350625640925E-3</v>
      </c>
      <c r="F16" s="106">
        <v>51.5</v>
      </c>
      <c r="G16" s="106">
        <v>1.19</v>
      </c>
      <c r="H16" s="106">
        <v>19.2</v>
      </c>
      <c r="I16" s="106">
        <v>8.6999999999999993</v>
      </c>
      <c r="J16" s="106">
        <v>0.19</v>
      </c>
      <c r="K16" s="114">
        <v>4.9800000000000004</v>
      </c>
      <c r="L16" s="106">
        <v>10</v>
      </c>
      <c r="M16" s="106">
        <v>3.72</v>
      </c>
      <c r="N16" s="106">
        <v>0.42</v>
      </c>
      <c r="O16" s="106">
        <v>0</v>
      </c>
      <c r="P16" s="106">
        <v>0.14000000000000001</v>
      </c>
      <c r="Q16" s="106">
        <v>6.2</v>
      </c>
      <c r="R16" s="102">
        <f t="shared" ca="1" si="10"/>
        <v>4.8457944469974388</v>
      </c>
      <c r="T16" s="106">
        <v>50.3</v>
      </c>
      <c r="U16" s="106">
        <v>0.73</v>
      </c>
      <c r="V16" s="106">
        <v>4.12</v>
      </c>
      <c r="W16" s="106">
        <v>5.83</v>
      </c>
      <c r="X16" s="106">
        <v>0</v>
      </c>
      <c r="Y16" s="106">
        <v>15</v>
      </c>
      <c r="Z16" s="106">
        <v>22.7</v>
      </c>
      <c r="AA16" s="106">
        <v>0.24</v>
      </c>
      <c r="AB16" s="106">
        <v>0</v>
      </c>
      <c r="AC16" s="106">
        <v>0.28000000000000003</v>
      </c>
      <c r="AE16" s="98">
        <f ca="1">10^4/(7.53-0.14*FK16+0.07*Q16-14.9*DG16*DA16-0.08*LN(DB16)-3.62*(DH16+DI16)-1.1*DF16/(DF16+DD16)-0.18*LN(FG16)-0.027*AG16)</f>
        <v>1289.2408589429026</v>
      </c>
      <c r="AF16" s="140">
        <f ca="1">AE16-273.15</f>
        <v>1016.0908589429026</v>
      </c>
      <c r="AG16" s="140">
        <f ca="1">-26.2712+39.16138*AE16*FJ16/10^4-4.21676*LN(FI16)+78.43463*DC16+393.8126*(DH16+DI16)^2</f>
        <v>1.5837308153621108</v>
      </c>
      <c r="AH16" s="80">
        <f ca="1">AX16</f>
        <v>1410.5962433643192</v>
      </c>
      <c r="AI16" s="80">
        <f ca="1">AZ16</f>
        <v>1.7596442345133916</v>
      </c>
      <c r="AJ16" s="80"/>
      <c r="AK16" s="80">
        <f t="shared" ca="1" si="11"/>
        <v>1388.3814457049828</v>
      </c>
      <c r="AL16" s="80">
        <f t="shared" ca="1" si="11"/>
        <v>0.45396961058632002</v>
      </c>
      <c r="AM16" s="80"/>
      <c r="AN16" s="80">
        <f ca="1">10^4/(7.53-0.14*FK16+0.07*Q16-14.9*DG16*DA16-0.08*LN(DB16)-3.62*(DH16+DI16)-1.1*DF16/(DF16+DD16)-0.18*LN(FG16)-0.027*AP16)</f>
        <v>1267.1556703021745</v>
      </c>
      <c r="AO16" s="80">
        <f t="shared" ref="AO16:AO19" ca="1" si="25">AN16-273.15</f>
        <v>994.00567030217451</v>
      </c>
      <c r="AP16" s="80">
        <f ca="1">IF(ABS(FB16)&gt;0,-54.3+299*(AN16)/10^4+36.4*(AN16)*FJ16/10^4+367*DH16*DC16,0)</f>
        <v>-3.4232199032547186</v>
      </c>
      <c r="AQ16" s="80"/>
      <c r="AR16" s="80">
        <f ca="1">10^4/(6.39+0.076*Q16-5.55*DG16*DA16-0.386*LN(DF16)-0.046*AT16+2.2*10^-4*(AT16^2))</f>
        <v>1288.8216644914385</v>
      </c>
      <c r="AS16" s="80">
        <f t="shared" ref="AS16:AS19" ca="1" si="26">AR16-273.15</f>
        <v>1015.6716644914385</v>
      </c>
      <c r="AT16" s="36">
        <f t="shared" ref="AT16:AT19" ca="1" si="27">-54.3+299*(AR16)/10^4+36.4*(AR16)*FJ16/10^4+367*DH16*DC16</f>
        <v>-2.6403737259463078</v>
      </c>
      <c r="AV16" s="36">
        <f>IF(ABS(FB16)&gt;0,10^4/(6.73-0.26*FK16-0.86*LN(FM16)+0.52*LN(DG16)),0)</f>
        <v>1403.3541688642288</v>
      </c>
      <c r="AW16" s="36">
        <f>IF(AV16&gt;0,AV16-273.15,0)</f>
        <v>1130.2041688642289</v>
      </c>
      <c r="AX16" s="36">
        <f ca="1">IF(ABS(FB16)&gt;0,10^4/(6.59-0.16*FK16-0.65*LN(FM16)+0.23*LN(DG16)-0.02*AZ16),0)</f>
        <v>1410.5962433643192</v>
      </c>
      <c r="AY16" s="36">
        <f ca="1">IF(AX16&gt;0,AX16-273.15,0)</f>
        <v>1137.4462433643193</v>
      </c>
      <c r="AZ16" s="36">
        <f ca="1">IF(ABS(FB16)&gt;0,-54.3+299*(AX16)/10^4+36.4*(AX16)*FJ16/10^4+367*DH16*DC16,0)</f>
        <v>1.7596442345133916</v>
      </c>
      <c r="BA16" s="36"/>
      <c r="BB16" s="36">
        <f ca="1">IF(ABS(FB16)&gt;0,10^4/(4.6-0.437*FL16-0.654*LN(FM16)-0.326*LN(DH16)-0.92*LN(DA16)+0.274*LN(FB16)-0.00632*BC16),0)</f>
        <v>1388.3814457049828</v>
      </c>
      <c r="BC16" s="36">
        <f ca="1">IF(ABS(FB16)&gt;0,-88.3+0.00282*(BB16)*FJ16+0.0219*(BB16)-25.1*LN(DG16*DA16)+12.4*LN(DG16)+7.03*FM16,0)</f>
        <v>0.45396961058632002</v>
      </c>
      <c r="BD16" s="36">
        <f ca="1">BB16-273.15</f>
        <v>1115.2314457049829</v>
      </c>
      <c r="BE16" s="36">
        <f ca="1">-48.7+271.3*AH16/10^4+31.96*(AH16/10^4)*FJ16-8.2*LN(DD16)+4.6*LN(DF16)-0.96*LN(DI16)-2.2*LN(FI16)-31*FM16+56.2*(DH16+DI16)+0.76*Q16</f>
        <v>5.7133563403214911</v>
      </c>
      <c r="BF16" s="36">
        <f ca="1">-40.73+358*AH16/10^4+21.7*(AH16/10^4)*FJ16-106*DG16-166*(DH16+DI16)^2-50.2*DA16*(DD16+DF16)-3.2*LN(FI16)-2.2*LN(FG16)+0.86*LN(EQ16)+0.4*Q16</f>
        <v>7.2344104799515776</v>
      </c>
      <c r="BG16" s="36">
        <f ca="1">-273.15+10^4/(7.53+0.07*Q16-1.1*FM16-14.9*DG16*DA16-0.08*LN(DB16)-3.62*(DH16+DI16)-0.18*LN(FG16)-0.026*AI16-0.14*FL16)</f>
        <v>1016.5880340579228</v>
      </c>
      <c r="BH16" s="36">
        <f ca="1">-273.15+10^4/(6.39+0.076*Q16-5.55*DG16*DA16-0.386*LN(DF16)-0.046*FO16+2.2*10^-4*AI16^2)</f>
        <v>1050.3414439809308</v>
      </c>
      <c r="BI16" s="36">
        <f ca="1">-273.15+10^4/(6.39+0.076*Q16-5.55*(DG16*DA16)-0.386*LN(DF16)-0.046*AI16+0.00022*AI16^2)</f>
        <v>1050.3414439809308</v>
      </c>
      <c r="BJ16" s="36">
        <f ca="1">10^4/(3.12-0.0259*BC16-0.37*LN(DF16/(DF16+DD16))+0.47*LN(DG16*(DF16+DD16)*DA16^2)-0.78*LN((DF16+DD16)^2*DA16^2)-0.34*LN(DG16*DC16^2*DA16))-273.15</f>
        <v>1151.4905101457266</v>
      </c>
      <c r="BK16" s="62">
        <f ca="1">EXP(-9.8+0.24*LN(DG16*(DD16+DF16)*DA16^2)+17558/AE16+8.7*LN(AE16/1670)-4.61*10^3*(FG16^2/AE16))</f>
        <v>1.1514419075560551</v>
      </c>
      <c r="BL16" s="62">
        <f ca="1">EXP(-0.482-0.439*LN(DA16)+101.03*(DH16+DI16)^3-51.69*AG16/AE16-3742.5*FG16^2/AE16)</f>
        <v>0.81130306805535424</v>
      </c>
      <c r="BM16" s="62">
        <f ca="1">EXP(-6.96+18438/AE16+8*LN(AE16/1670)+0.66*LN((DD16+DF16)^2*DA16^2)-5.1*10^3*(FF16^2/AE16)+1.81*LN(DA16))</f>
        <v>9.4631397596101688E-2</v>
      </c>
      <c r="BN16" s="62">
        <f ca="1">EXP(2.58+0.12*AI16/AN16-9*10^-7*AI16^2/AN16+0.78*LN(DG16*DC16^2*DA16)-4.3*10^3*(FF16^2/AN16))</f>
        <v>1.0752143355776364E-2</v>
      </c>
      <c r="BO16" s="62">
        <f ca="1">EXP(-1.06+0.23*AI16/AN16-6*10^-7*AI16^2/AN16+1.02*LN(DH16*DC16*DA16^2)-0.8*LN(DC16)-2.2*LN(DA16))</f>
        <v>1.7420386751389298E-2</v>
      </c>
      <c r="BP16" s="62">
        <f ca="1">EXP(5.1+0.52*LN(DG16*DB16*DC16^2)+2.04*10^3*FF16^2/AN16-6.2*DA16+42.5*DH16*DC16-45.1*(DD16+DF16)*DC16)</f>
        <v>6.2338065534168062E-2</v>
      </c>
      <c r="BQ16" s="62">
        <f>EXP(12.8)*DG16*DJ16^2*DA16</f>
        <v>0</v>
      </c>
      <c r="BR16" s="36">
        <f ca="1">SUM(BL16:BQ16)</f>
        <v>0.99644506129278976</v>
      </c>
      <c r="BS16" s="47"/>
      <c r="BT16" s="62">
        <f>FF16</f>
        <v>0.81993860311791833</v>
      </c>
      <c r="BU16" s="62">
        <f t="shared" si="6"/>
        <v>9.7220166294938348E-2</v>
      </c>
      <c r="BV16" s="62">
        <f t="shared" si="7"/>
        <v>3.6816947960874952E-2</v>
      </c>
      <c r="BW16" s="62">
        <f t="shared" si="8"/>
        <v>1.7330029101953831E-2</v>
      </c>
      <c r="BX16" s="62">
        <f t="shared" si="9"/>
        <v>4.4938151136855245E-2</v>
      </c>
      <c r="BY16" s="62">
        <f t="shared" si="9"/>
        <v>4.1221283020399834E-3</v>
      </c>
      <c r="BZ16" s="62">
        <f>SUM(BT16:BY16)</f>
        <v>1.0203660259145808</v>
      </c>
      <c r="CA16" s="62">
        <f>(ER16/ET16)/($G$8*DD16/DF16)</f>
        <v>0.22247816091954029</v>
      </c>
      <c r="CB16" s="47"/>
      <c r="CC16" s="36"/>
      <c r="CD16" s="36">
        <f ca="1">3205-5.62*ET16+83.2*EV16+68.2*FI16+2.52*LN(EP16)-51.1*FI16^2+34.8*FG16^2+0.384*(AH16)-518*LN(AH16)</f>
        <v>1.5605645660134542</v>
      </c>
      <c r="CE16" s="36">
        <f ca="1">1458+0.197*(AH16)-241*LN(AH16)+0.453*Q16+55.5*EP16+8.05*ER16-277*EW16+18*FB16+44.1*FF16+2.2*LN(FB16)-27.7*EQ16^2+97.3*GI16^2+30.7*GK16^2-27.6*FF16^2</f>
        <v>3.71661791706941</v>
      </c>
      <c r="CF16" s="36">
        <f ca="1">-57.9+0.0475*(AH16)-40.6*DD16-47.7*FC16+0.67*Q16-153*DG16*DA16+6.89*(EQ16/DC16)</f>
        <v>7.5741126487404928</v>
      </c>
      <c r="CG16" s="36">
        <f ca="1">-273.15+(93100+544*AI16)/(61.1+36.6*EN16+10.9*ER16-0.95*(EQ16+EX16-EV16-EW16)+0.395*(LN(FT16))^2)</f>
        <v>1141.4464928566354</v>
      </c>
      <c r="CH16" s="48">
        <f ca="1">EXP(-0.107-1719/AH16)</f>
        <v>0.26563459557023961</v>
      </c>
      <c r="CJ16" s="36">
        <f>698.443+4.985*EO16-26.826*GJ16-3.764*EZ16+53.989*EP16+3.948*EN16+14.651*EX16-700.431*EU16-666.629*EV16-682.848*GK16-691.138*GI16-688.384*ES16-6.267*GK16^2-4.144*GI16^2</f>
        <v>0.19493110653448706</v>
      </c>
      <c r="CK16" s="36">
        <f>771.48+4.956*EO16-28.756*GJ16-5.345*EZ16+56.904*EP16+1.848*EN16+14.827*EX16-773.74*EU16-736.57*EV16-754.81*GK16-763.2*GI16-759.66*ES16-1.185*GK16^2-1.876*GI16^2</f>
        <v>-7.9605295924928446E-2</v>
      </c>
      <c r="CL16" s="36">
        <f ca="1">-273.15+(23166+39.28*AI16)/(13.25+15.35*EN16+4.5*ER16-1.55*(EQ16-EX16-EV16-EW16)+(LN(IF16))^2)</f>
        <v>817.96807994744438</v>
      </c>
      <c r="CM16" s="2"/>
      <c r="CN16" s="1">
        <f t="shared" si="12"/>
        <v>0.85712906699420643</v>
      </c>
      <c r="CO16" s="1">
        <f t="shared" si="12"/>
        <v>1.4897569818274685E-2</v>
      </c>
      <c r="CP16" s="1">
        <f>H16*2/CP$10</f>
        <v>0.37661458793067937</v>
      </c>
      <c r="CQ16" s="1">
        <f t="shared" si="13"/>
        <v>0.12109166221272046</v>
      </c>
      <c r="CR16" s="1">
        <f t="shared" si="13"/>
        <v>2.6784140969162997E-3</v>
      </c>
      <c r="CS16" s="1">
        <f t="shared" si="13"/>
        <v>0.12355971060231638</v>
      </c>
      <c r="CT16" s="1">
        <f t="shared" si="13"/>
        <v>0.1783249580044724</v>
      </c>
      <c r="CU16" s="1">
        <f t="shared" si="14"/>
        <v>0.12004085261274401</v>
      </c>
      <c r="CV16" s="1">
        <f t="shared" si="14"/>
        <v>8.917576117881864E-3</v>
      </c>
      <c r="CW16" s="1">
        <f t="shared" si="14"/>
        <v>0</v>
      </c>
      <c r="CX16" s="1">
        <f t="shared" si="14"/>
        <v>1.9727062006383114E-3</v>
      </c>
      <c r="CY16" s="1">
        <f>SUM(CN16:CX16)</f>
        <v>1.8052271045908503</v>
      </c>
      <c r="DA16" s="1">
        <f t="shared" si="15"/>
        <v>0.47480400932073991</v>
      </c>
      <c r="DB16" s="1">
        <f t="shared" si="15"/>
        <v>8.2524629618006863E-3</v>
      </c>
      <c r="DC16" s="1">
        <f t="shared" si="15"/>
        <v>0.20862449216107798</v>
      </c>
      <c r="DD16" s="1">
        <f t="shared" si="15"/>
        <v>6.7078353690111212E-2</v>
      </c>
      <c r="DE16" s="1">
        <f t="shared" si="15"/>
        <v>1.4836992476485969E-3</v>
      </c>
      <c r="DF16" s="1">
        <f t="shared" si="15"/>
        <v>6.8445521501473816E-2</v>
      </c>
      <c r="DG16" s="1">
        <f t="shared" si="15"/>
        <v>9.8782561790135129E-2</v>
      </c>
      <c r="DH16" s="1">
        <f t="shared" si="15"/>
        <v>6.6496260945489702E-2</v>
      </c>
      <c r="DI16" s="1">
        <f t="shared" si="15"/>
        <v>4.9398638515916853E-3</v>
      </c>
      <c r="DJ16" s="1">
        <f t="shared" si="15"/>
        <v>0</v>
      </c>
      <c r="DK16" s="1">
        <f t="shared" si="15"/>
        <v>1.0927745299311909E-3</v>
      </c>
      <c r="DL16" s="1">
        <f>SUM(DA16:DK16)</f>
        <v>0.99999999999999989</v>
      </c>
      <c r="DM16">
        <f t="shared" ref="DM16:DM19" si="28">100*DF16/(DF16+DD16)</f>
        <v>50.504401091479224</v>
      </c>
      <c r="DN16" s="1">
        <f t="shared" si="16"/>
        <v>0.83715712756909877</v>
      </c>
      <c r="DO16" s="1">
        <f t="shared" si="16"/>
        <v>9.1388453507063195E-3</v>
      </c>
      <c r="DP16" s="1">
        <f t="shared" si="16"/>
        <v>4.0407606830062476E-2</v>
      </c>
      <c r="DQ16" s="1">
        <f t="shared" si="16"/>
        <v>8.114533226438625E-2</v>
      </c>
      <c r="DR16" s="1">
        <f t="shared" si="16"/>
        <v>0</v>
      </c>
      <c r="DS16" s="1">
        <f t="shared" si="16"/>
        <v>0.37216780301902519</v>
      </c>
      <c r="DT16" s="1">
        <f t="shared" si="16"/>
        <v>0.40479765467015233</v>
      </c>
      <c r="DU16" s="1">
        <f t="shared" si="16"/>
        <v>3.8722855681530325E-3</v>
      </c>
      <c r="DV16" s="1">
        <f t="shared" si="16"/>
        <v>0</v>
      </c>
      <c r="DW16" s="1">
        <f t="shared" si="16"/>
        <v>1.8421270778206586E-3</v>
      </c>
      <c r="DX16" s="1">
        <f>SUM(DN16:DW16)</f>
        <v>1.7505287823494051</v>
      </c>
      <c r="DZ16" s="1">
        <f t="shared" si="17"/>
        <v>1.6743142551381975</v>
      </c>
      <c r="EA16" s="1">
        <f t="shared" si="17"/>
        <v>1.8277690701412639E-2</v>
      </c>
      <c r="EB16" s="1">
        <f>DP16*3</f>
        <v>0.12122282049018743</v>
      </c>
      <c r="EC16" s="1">
        <f t="shared" si="18"/>
        <v>8.114533226438625E-2</v>
      </c>
      <c r="ED16" s="1">
        <f t="shared" si="18"/>
        <v>0</v>
      </c>
      <c r="EE16" s="1">
        <f t="shared" si="18"/>
        <v>0.37216780301902519</v>
      </c>
      <c r="EF16" s="1">
        <f t="shared" si="18"/>
        <v>0.40479765467015233</v>
      </c>
      <c r="EG16" s="1">
        <f t="shared" si="18"/>
        <v>3.8722855681530325E-3</v>
      </c>
      <c r="EH16" s="1">
        <f t="shared" si="18"/>
        <v>0</v>
      </c>
      <c r="EI16" s="1">
        <f>DW16*3</f>
        <v>5.5263812334619758E-3</v>
      </c>
      <c r="EJ16" s="1">
        <f>SUM(DZ16:EI16)</f>
        <v>2.6813242230849763</v>
      </c>
      <c r="EK16" s="1">
        <f>6/EJ16</f>
        <v>2.2377002931397634</v>
      </c>
      <c r="EM16" s="1">
        <f t="shared" si="19"/>
        <v>1.8733067497654146</v>
      </c>
      <c r="EN16" s="1">
        <f t="shared" si="19"/>
        <v>2.0449996920234494E-2</v>
      </c>
      <c r="EO16" s="1">
        <f>2-EM16</f>
        <v>0.12669325023458544</v>
      </c>
      <c r="EP16" s="1">
        <f>IF(EQ16-EO16&lt;0,0,EQ16-EO16)</f>
        <v>5.4146977062828783E-2</v>
      </c>
      <c r="EQ16" s="1">
        <f>DP16*$EK16*2</f>
        <v>0.18084022729741422</v>
      </c>
      <c r="ER16" s="1">
        <f t="shared" si="20"/>
        <v>0.18157893379494061</v>
      </c>
      <c r="ES16" s="1">
        <f t="shared" si="20"/>
        <v>0</v>
      </c>
      <c r="ET16" s="1">
        <f t="shared" si="20"/>
        <v>0.83280000191285442</v>
      </c>
      <c r="EU16" s="1">
        <f t="shared" si="20"/>
        <v>0.90581583051768855</v>
      </c>
      <c r="EV16" s="1">
        <f t="shared" si="21"/>
        <v>1.7330029101953831E-2</v>
      </c>
      <c r="EW16" s="1">
        <f t="shared" si="21"/>
        <v>0</v>
      </c>
      <c r="EX16" s="1">
        <f t="shared" si="21"/>
        <v>8.2442566040799668E-3</v>
      </c>
      <c r="EY16" s="1">
        <f>EM16+EN16+EQ16+ER16+ES16+ET16+EU16+EV16+EW16+EX16</f>
        <v>4.0203660259145799</v>
      </c>
      <c r="EZ16" s="1">
        <f>IF(EV16+EO16-EP16-2*EN16-EX16&gt;0,EV16+EO16-EP16-2*EN16-EX16,0)</f>
        <v>4.0732051829161536E-2</v>
      </c>
      <c r="FA16" s="1">
        <f>12-48/EY16</f>
        <v>6.0788572333875024E-2</v>
      </c>
      <c r="FB16" s="1">
        <f>IF(EV16&lt;EP16,EV16,EP16)</f>
        <v>1.7330029101953831E-2</v>
      </c>
      <c r="FC16" s="1">
        <f>IF(EP16&gt;EV16,EP16-EV16,0)</f>
        <v>3.6816947960874952E-2</v>
      </c>
      <c r="FD16" s="1">
        <f>IF(EO16&gt;FC16,(EO16-FC16)/2,0)</f>
        <v>4.4938151136855245E-2</v>
      </c>
      <c r="FE16" s="1">
        <f>EX16/2</f>
        <v>4.1221283020399834E-3</v>
      </c>
      <c r="FF16" s="2">
        <f>IF(EU16-FD16-FC16-FE16&gt;0,EU16-FD16-FC16-FE16,0)</f>
        <v>0.81993860311791833</v>
      </c>
      <c r="FG16" s="1">
        <f>((ER16+ET16)-FF16)/2</f>
        <v>9.7220166294938348E-2</v>
      </c>
      <c r="FH16" s="1">
        <f>SUM(FB16:FG16)</f>
        <v>1.0203660259145808</v>
      </c>
      <c r="FI16" s="1">
        <f>EU16-FC16-FD16-FE16</f>
        <v>0.81993860311791833</v>
      </c>
      <c r="FJ16" s="1">
        <f>LN(FB16/(DA16^2*DH16*DC16))</f>
        <v>1.7122207386356436</v>
      </c>
      <c r="FK16" s="1">
        <f>LN(FB16*DG16*(DD16+DF16)/(FF16*DH16*DC16))</f>
        <v>-3.8924014331081289</v>
      </c>
      <c r="FL16" s="1">
        <f>LN((FB16*DG16*(DD16+DF16))/(DH16*DC16*FI16))</f>
        <v>-3.8924014331081289</v>
      </c>
      <c r="FM16" s="1">
        <f>DF16/(DF16+DD16)</f>
        <v>0.50504401091479223</v>
      </c>
      <c r="FN16" s="60">
        <f t="shared" ca="1" si="22"/>
        <v>1410.5962433643192</v>
      </c>
      <c r="FO16" s="60">
        <f t="shared" ca="1" si="22"/>
        <v>1.7596442345133916</v>
      </c>
      <c r="FP16" s="1">
        <f ca="1">(FN16)/10^4</f>
        <v>0.14105962433643193</v>
      </c>
      <c r="FQ16" s="2">
        <f ca="1">LN(ABS(BE16-FO16))</f>
        <v>1.3746549112245701</v>
      </c>
      <c r="FR16" s="2">
        <f ca="1">LN(ABS(BH16-FN16))</f>
        <v>5.8868115571597679</v>
      </c>
      <c r="FS16" s="1">
        <f ca="1">1458+0.45*Q16+0.197*(D16+273.15)-241*LN(D16+273.15)+55.5*EP16+8.05*ER16-276.6*EW16+18.01*FB16+44.09*FI16+2.17*LN(FB16)+97.3*GI16^2+30.38*GK16^2-27.59*FI16^2-17.7*EQ16^2</f>
        <v>3.5937858900548374</v>
      </c>
      <c r="FT16" s="1">
        <f>(1-EU16-EV16-EW16)*(1-0.5*(EQ16+EX16+EV16+EW16))</f>
        <v>6.8922235400902546E-2</v>
      </c>
      <c r="FU16" s="2">
        <f t="shared" ref="FU16:FU19" si="29">100*DS16/(DS16+DQ16)</f>
        <v>82.099496805082822</v>
      </c>
      <c r="FV16" s="2">
        <f ca="1">2446.5+0.309*(D16+273.15)-400*LN(D16+273.15)-5.98*ET16-20.5*EV16+112*FB16+61.5*FC16+71.1*FI16+1.66*LN(FI16)-43.5*FI16^2+43*FG16^2-26.2*EQ16^2</f>
        <v>8.2947585411526408</v>
      </c>
      <c r="FW16" s="2">
        <f ca="1">EXP(-0.107-1719/(D16+273.15))</f>
        <v>0.26050522434662443</v>
      </c>
      <c r="FX16" s="2">
        <f>(ER16/ET16)/(DD16/DF16)</f>
        <v>0.22247816091954029</v>
      </c>
      <c r="FY16" s="1">
        <f>EU16+EV16+ES16</f>
        <v>0.92314585961964235</v>
      </c>
      <c r="FZ16" s="1">
        <f>EP16+EN16+EX16+EZ16</f>
        <v>0.12357328241630479</v>
      </c>
      <c r="GA16" s="1">
        <f>EXP(0.238*FZ16+0.289*FY16-2.3315)</f>
        <v>0.13064123128324104</v>
      </c>
      <c r="GB16" s="1">
        <f>1-EN16-EP16</f>
        <v>0.92540302601693669</v>
      </c>
      <c r="GC16" s="1">
        <f>(ER16-EZ16)+ET16-GB16</f>
        <v>4.8243857861696826E-2</v>
      </c>
      <c r="GD16" s="1">
        <f>ER16-EZ16</f>
        <v>0.14084688196577907</v>
      </c>
      <c r="GE16" s="1">
        <f>1-GA16</f>
        <v>0.86935876871675899</v>
      </c>
      <c r="GF16" s="1">
        <f>(GA16*ET16)-(GA16*(1-FY16))+GD16+(1-FY16)</f>
        <v>0.31645872048021251</v>
      </c>
      <c r="GG16" s="1">
        <f>-GD16*(1-FY16)</f>
        <v>-1.0824666038733648E-2</v>
      </c>
      <c r="GH16" s="1">
        <f>(-GF16+SQRT(GF16^2-4*GE16*GG16))/2*GE16</f>
        <v>2.3794176797551657E-2</v>
      </c>
      <c r="GI16" s="1">
        <f>GH16</f>
        <v>2.3794176797551657E-2</v>
      </c>
      <c r="GJ16" s="1">
        <f>GD16-GI16</f>
        <v>0.11705270516822741</v>
      </c>
      <c r="GK16" s="1">
        <f>1-FY16-GI16</f>
        <v>5.3059963582805993E-2</v>
      </c>
      <c r="GL16" s="1">
        <f>ET16-GK16</f>
        <v>0.77974003833004846</v>
      </c>
      <c r="GM16" s="1">
        <f>IF(1-FY16&gt;0,EU16,1-EV16-EW16-ES16)</f>
        <v>0.90581583051768855</v>
      </c>
      <c r="GN16" s="1">
        <f>IF(1-FY16&gt;0,EV16,IF(EU16&gt;0,EV16,1-ES16))</f>
        <v>1.7330029101953831E-2</v>
      </c>
      <c r="GO16" s="1">
        <f>11.864*GJ16+9.107*EZ16-18.375*EP16+11.794*EN16-1.4925*EX16+439.97*EU16+419.68*EV16+431.72*GK16+432.56*GI16+428.03*ES16-28.652*GK16^2-12.741*GI16^2</f>
        <v>439.91002708917955</v>
      </c>
      <c r="GP16" s="1">
        <f>-0.3085*EO16+0.813*GJ16-0.4173*EZ16-2.209*EP16-1.0864*EN16-0.8001*EX16+11.931*EU16+11.288*EV16+11.432*GK16+11.885*GI16+12.038*ES16+2.4355*GK16^2-1.661*GI16^2</f>
        <v>11.788859467150782</v>
      </c>
      <c r="GQ16" s="1">
        <f>3*(EZ16+EP16+EX16)+2*(GJ16+GL16)+4*EN16</f>
        <v>2.1847553311657006</v>
      </c>
      <c r="GR16" s="1">
        <f>32.9*(0.75*GQ16/6)*(10^-6)</f>
        <v>8.9848062994189425E-6</v>
      </c>
      <c r="GS16" s="1">
        <f>7500*GQ16/((1.4133+0.05601*GP16)^3)</f>
        <v>1837.7772740133462</v>
      </c>
      <c r="GT16" s="1">
        <f ca="1">GP16*((2+3*GR16*(D16-25))/(2-3*GR16*(D16-25))-1)</f>
        <v>0.3516001263441631</v>
      </c>
      <c r="GU16" s="2">
        <f ca="1">-57.9+0.0475*(FN16+273.15)-40.6*DD16-47.7*FC16+0.67*Q16-153*DA16*DG16+6.89*((EO16+EP16)/DC16)</f>
        <v>20.548737648740492</v>
      </c>
      <c r="GV16" s="4">
        <f t="shared" ref="GV16:GV19" ca="1" si="30">IA16</f>
        <v>3.2160428276957553</v>
      </c>
      <c r="GW16" s="4">
        <f t="shared" ref="GW16:GW19" ca="1" si="31">IC16</f>
        <v>2.7374071329311978</v>
      </c>
      <c r="GX16" s="4">
        <f>M16+N16</f>
        <v>4.1400000000000006</v>
      </c>
      <c r="GY16" s="4">
        <f>6*10^-5*(F16^3)-0.0166*(F16^2)+1.5751*F16-39.978</f>
        <v>5.3077524999999994</v>
      </c>
      <c r="GZ16" s="4">
        <f ca="1">IF(GX16&gt;GY16,GW16,GV16)</f>
        <v>3.2160428276957553</v>
      </c>
      <c r="HA16" s="1">
        <f t="shared" si="23"/>
        <v>439.91002708917955</v>
      </c>
      <c r="HB16" s="1">
        <f t="shared" si="23"/>
        <v>11.788859467150782</v>
      </c>
      <c r="HC16" s="4">
        <f>771.475-(1.323*HA16)-(16.064*HB16)</f>
        <v>9.7795680705360155E-2</v>
      </c>
      <c r="HD16" s="4"/>
      <c r="HE16" s="6">
        <f>GI16+GJ16+ES16</f>
        <v>0.14084688196577907</v>
      </c>
      <c r="HF16" s="6">
        <f>GK16+GL16</f>
        <v>0.83280000191285442</v>
      </c>
      <c r="HG16" s="6">
        <f>IF(EV16&gt;EZ16,EZ16,EV16)</f>
        <v>1.7330029101953831E-2</v>
      </c>
      <c r="HH16" s="6">
        <f>EV16-HG16</f>
        <v>0</v>
      </c>
      <c r="HI16" s="6">
        <f>EZ16-HG16</f>
        <v>2.3402022727207705E-2</v>
      </c>
      <c r="HJ16" s="6">
        <f>IF(HH16&gt;EP16,EP16,HH16)</f>
        <v>0</v>
      </c>
      <c r="HK16" s="6">
        <f>HH16-HJ16</f>
        <v>0</v>
      </c>
      <c r="HL16" s="6">
        <f>EP16-HJ16</f>
        <v>5.4146977062828783E-2</v>
      </c>
      <c r="HM16" s="6">
        <f>HL16+EX16+2*EN16</f>
        <v>0.10329122750737774</v>
      </c>
      <c r="HN16" s="6">
        <f>HE16/(HE16+HF16)</f>
        <v>0.14465910002679763</v>
      </c>
      <c r="HO16" s="6">
        <f>(EU16-HM16-HI16)*(1-HN16)</f>
        <v>0.66641540900879304</v>
      </c>
      <c r="HP16" s="6">
        <f>(EU16-HM16-HI16)*HN16</f>
        <v>0.11270717127431008</v>
      </c>
      <c r="HQ16" s="6">
        <f>(1-HG16-HJ16-HI16-HM16-HO16-HP16)*(1-HN16)</f>
        <v>6.5736489599601933E-2</v>
      </c>
      <c r="HR16" s="6">
        <f>(1-HG16-HJ16-HI16-HM16-HO16-HP16)*HN16</f>
        <v>1.1117650780755703E-2</v>
      </c>
      <c r="HS16" s="6">
        <f>HJ16+HG16</f>
        <v>1.7330029101953831E-2</v>
      </c>
      <c r="HT16" s="6"/>
      <c r="HU16" s="15">
        <f>(-0.000000872*HO16)-(0.000000749*HQ16)-(0.000000993*HP16)-(0.00000087*(HM16+HI16))-(0.00000086*HS16)-(0.00000087*HR16)</f>
        <v>-8.770683973521862E-7</v>
      </c>
      <c r="HV16" s="15">
        <f>(0.000000000001707*HO16)+(0.000000000000447*HQ16)+(0.0000000000014835*HP16)+(0.000000000002171*(HM16+HI16))+(0.000000000002149*HS16)+(0.0000000000002235*HR16)</f>
        <v>1.6489344763633537E-12</v>
      </c>
      <c r="HW16" s="15">
        <f>(0.000027795*HO16)+(0.000024656*HQ16)+(0.000031371*HP16)+(0.00002225*(HM16+HI16))+(0.000023118*HS16)+(0.000028232*HR16)</f>
        <v>2.7212985798354358E-5</v>
      </c>
      <c r="HX16" s="15">
        <f>(0.0000000083082*HO16)+(0.000000007467*HQ16)+(0.0000000083672*HP16)+(0.0000000052863*(HM16+HI16))+(0.0000000025785*HS16)+(0.000000007526*HR16)</f>
        <v>7.7687057609839341E-9</v>
      </c>
      <c r="HY16" s="6">
        <f>GQ16</f>
        <v>2.1847553311657006</v>
      </c>
      <c r="HZ16" s="6">
        <f t="shared" ref="HZ16:HZ19" ca="1" si="32">HA16+HA16*(HU16*(IA16-0.001)+HV16*(IA16-0.001)^2+HW16*(D16-25)+HX16*(D16-25)^2)</f>
        <v>457.0223302820911</v>
      </c>
      <c r="IA16" s="6">
        <f t="shared" ref="IA16:IA19" ca="1" si="33">IA$8+IA$9*IB16+IA$10*HB16+IA$11*ET16/(ET16+ER16)</f>
        <v>3.2160428276957553</v>
      </c>
      <c r="IB16" s="6">
        <f t="shared" ref="IB16:IB19" ca="1" si="34">HA16+HA16*(HU16*(IC16-0.001)+HV16*(IC16-0.001)^2+HW16*(D16-25)+HX16*(D16-25)^2)</f>
        <v>457.02251495260089</v>
      </c>
      <c r="IC16" s="6">
        <f t="shared" ref="IC16:IC19" ca="1" si="35">IC$8+IC$9*IB16+IC$10*HB16+IC$11*(ET16/(ET16+ER16))</f>
        <v>2.7374071329311978</v>
      </c>
      <c r="ID16" s="6">
        <f t="shared" ref="ID16:ID19" ca="1" si="36">IF(GX16&gt;GY16,IC16,IA16)</f>
        <v>3.2160428276957553</v>
      </c>
      <c r="IE16" s="6"/>
      <c r="IF16" s="2">
        <f>(1-EU16-EV16-EW16)*(1-0.5*(EQ16+EX16+EV16+EW16))</f>
        <v>6.8922235400902546E-2</v>
      </c>
      <c r="IG16" s="16">
        <f ca="1">D16-25</f>
        <v>1090.2314457049829</v>
      </c>
      <c r="IH16" s="16"/>
      <c r="II16" s="6">
        <f>1.4133+(0.05601*HB16)</f>
        <v>2.0735940187551152</v>
      </c>
      <c r="IJ16" s="16">
        <f>(7500*HY16)/II16^3</f>
        <v>1837.7772740133462</v>
      </c>
      <c r="IK16" s="15">
        <f>0.0000329*(0.75-HY16/6)</f>
        <v>1.2695258267441407E-5</v>
      </c>
      <c r="IM16" s="1">
        <f t="shared" ref="IM16:IM17" si="37">SUM(IN16:IP16)</f>
        <v>1</v>
      </c>
      <c r="IN16" s="1">
        <f t="shared" ref="IN16:IN17" si="38">ET16/(ER16+ET16+EU16)</f>
        <v>0.43370600553707628</v>
      </c>
      <c r="IO16" s="1">
        <f t="shared" ref="IO16:IO17" si="39">ER16/(ER16+ET16+EU16)</f>
        <v>9.4562768834053929E-2</v>
      </c>
      <c r="IP16" s="1">
        <f t="shared" ref="IP16:IP17" si="40">EU16/(EU16+ET16+ER16)</f>
        <v>0.47173122562886988</v>
      </c>
      <c r="IR16" s="141">
        <f>IO16/(COS(RADIANS(30)))+IP16*TAN(RADIANS(30))</f>
        <v>0.38154583018529487</v>
      </c>
      <c r="IS16" s="141">
        <f>IP16</f>
        <v>0.47173122562886988</v>
      </c>
      <c r="IU16" s="3">
        <v>0.1</v>
      </c>
      <c r="IV16" s="3">
        <v>0.9</v>
      </c>
      <c r="IW16" s="3">
        <v>0</v>
      </c>
      <c r="IX16" s="3"/>
      <c r="IY16" s="141">
        <f>IV16/(COS(RADIANS(30)))+IW16*TAN(RADIANS(30))</f>
        <v>1.0392304845413263</v>
      </c>
      <c r="IZ16" s="141">
        <f>IW16</f>
        <v>0</v>
      </c>
    </row>
    <row r="17" spans="1:260">
      <c r="A17" t="s">
        <v>201</v>
      </c>
      <c r="B17" t="s">
        <v>204</v>
      </c>
      <c r="C17" s="22">
        <f t="shared" si="24"/>
        <v>1.9</v>
      </c>
      <c r="D17" s="99">
        <f ca="1">AK17-273.15</f>
        <v>1089.003722108444</v>
      </c>
      <c r="E17" s="14">
        <f ca="1">BL17-BT17</f>
        <v>6.4751879359012388E-2</v>
      </c>
      <c r="F17" s="106">
        <v>59.1</v>
      </c>
      <c r="G17" s="106">
        <v>0.54</v>
      </c>
      <c r="H17" s="106">
        <v>19.100000000000001</v>
      </c>
      <c r="I17" s="106">
        <v>5.22</v>
      </c>
      <c r="J17" s="106">
        <v>0.19</v>
      </c>
      <c r="K17" s="114">
        <v>3.25</v>
      </c>
      <c r="L17" s="106">
        <v>7.45</v>
      </c>
      <c r="M17" s="106">
        <v>4</v>
      </c>
      <c r="N17" s="106">
        <v>0.88</v>
      </c>
      <c r="O17" s="106">
        <v>0</v>
      </c>
      <c r="P17" s="106">
        <v>0.31</v>
      </c>
      <c r="Q17" s="106">
        <v>6.2</v>
      </c>
      <c r="R17" s="102">
        <f t="shared" ca="1" si="10"/>
        <v>1.0354737905498657</v>
      </c>
      <c r="T17" s="106">
        <v>47.3</v>
      </c>
      <c r="U17" s="106">
        <v>1.75</v>
      </c>
      <c r="V17" s="106">
        <v>7.85</v>
      </c>
      <c r="W17" s="106">
        <v>6.51</v>
      </c>
      <c r="X17" s="106">
        <v>0.14000000000000001</v>
      </c>
      <c r="Y17" s="106">
        <v>13.1</v>
      </c>
      <c r="Z17" s="106">
        <v>22.5</v>
      </c>
      <c r="AA17" s="106">
        <v>0.25</v>
      </c>
      <c r="AB17" s="106">
        <v>0</v>
      </c>
      <c r="AC17" s="106">
        <v>0.22</v>
      </c>
      <c r="AE17" s="98">
        <f ca="1">10^4/(7.53-0.14*FK17+0.07*Q17-14.9*DG17*DA17-0.08*LN(DB17)-3.62*(DH17+DI17)-1.1*DF17/(DF17+DD17)-0.18*LN(FG17)-0.027*AG17)</f>
        <v>1254.7612833982253</v>
      </c>
      <c r="AF17" s="140">
        <f ca="1">AE17-273.15</f>
        <v>981.61128339822528</v>
      </c>
      <c r="AG17" s="140">
        <f ca="1">-26.2712+39.16138*AE17*FJ17/10^4-4.21676*LN(FI17)+78.43463*DC17+393.8126*(DH17+DI17)^2</f>
        <v>0.89559739579306941</v>
      </c>
      <c r="AH17" s="80">
        <f ca="1">AX17</f>
        <v>1402.052416091813</v>
      </c>
      <c r="AI17" s="80">
        <f ca="1">AZ17</f>
        <v>0.27853428935678881</v>
      </c>
      <c r="AJ17" s="80"/>
      <c r="AK17" s="80">
        <f t="shared" ca="1" si="11"/>
        <v>1362.1537221084441</v>
      </c>
      <c r="AL17" s="80">
        <f t="shared" ca="1" si="11"/>
        <v>-0.9461725452654921</v>
      </c>
      <c r="AM17" s="80"/>
      <c r="AN17" s="80">
        <f ca="1">10^4/(7.53-0.14*FK17+0.07*Q17-14.9*DG17*DA17-0.08*LN(DB17)-3.62*(DH17+DI17)-1.1*DF17/(DF17+DD17)-0.18*LN(FG17)-0.027*AP17)</f>
        <v>1226.6508552912815</v>
      </c>
      <c r="AO17" s="80">
        <f t="shared" ca="1" si="25"/>
        <v>953.50085529128148</v>
      </c>
      <c r="AP17" s="80">
        <f ca="1">IF(ABS(FB17)&gt;0,-54.3+299*(AN17)/10^4+36.4*(AN17)*FJ17/10^4+367*DH17*DC17,0)</f>
        <v>-5.8686832800304467</v>
      </c>
      <c r="AQ17" s="80"/>
      <c r="AR17" s="80">
        <f ca="1">10^4/(6.39+0.076*Q17-5.55*DG17*DA17-0.386*LN(DF17)-0.046*AT17+2.2*10^-4*(AT17^2))</f>
        <v>1233.9615359070538</v>
      </c>
      <c r="AS17" s="80">
        <f t="shared" ca="1" si="26"/>
        <v>960.81153590705378</v>
      </c>
      <c r="AT17" s="36">
        <f t="shared" ca="1" si="27"/>
        <v>-5.6124692297087337</v>
      </c>
      <c r="AV17" s="36">
        <f>IF(ABS(FB17)&gt;0,10^4/(6.73-0.26*FK17-0.86*LN(FM17)+0.52*LN(DG17)),0)</f>
        <v>1405.9304586470664</v>
      </c>
      <c r="AW17" s="36">
        <f>IF(AV17&gt;0,AV17-273.15,0)</f>
        <v>1132.7804586470666</v>
      </c>
      <c r="AX17" s="36">
        <f ca="1">IF(ABS(FB17)&gt;0,10^4/(6.59-0.16*FK17-0.65*LN(FM17)+0.23*LN(DG17)-0.02*AZ17),0)</f>
        <v>1402.052416091813</v>
      </c>
      <c r="AY17" s="36">
        <f ca="1">IF(AX17&gt;0,AX17-273.15,0)</f>
        <v>1128.9024160918129</v>
      </c>
      <c r="AZ17" s="36">
        <f ca="1">IF(ABS(FB17)&gt;0,-54.3+299*(AX17)/10^4+36.4*(AX17)*FJ17/10^4+367*DH17*DC17,0)</f>
        <v>0.27853428935678881</v>
      </c>
      <c r="BA17" s="36"/>
      <c r="BB17" s="36">
        <f ca="1">IF(ABS(FB17)&gt;0,10^4/(4.6-0.437*FL17-0.654*LN(FM17)-0.326*LN(DH17)-0.92*LN(DA17)+0.274*LN(FB17)-0.00632*BC17),0)</f>
        <v>1362.1537221084441</v>
      </c>
      <c r="BC17" s="36">
        <f ca="1">IF(ABS(FB17)&gt;0,-88.3+0.00282*(BB17)*FJ17+0.0219*(BB17)-25.1*LN(DG17*DA17)+12.4*LN(DG17)+7.03*FM17,0)</f>
        <v>-0.9461725452654921</v>
      </c>
      <c r="BD17" s="36">
        <f ca="1">BB17-273.15</f>
        <v>1089.003722108444</v>
      </c>
      <c r="BE17" s="36">
        <f ca="1">-48.7+271.3*AH17/10^4+31.96*(AH17/10^4)*FJ17-8.2*LN(DD17)+4.6*LN(DF17)-0.96*LN(DI17)-2.2*LN(FI17)-31*FM17+56.2*(DH17+DI17)+0.76*Q17</f>
        <v>5.7957344827642148</v>
      </c>
      <c r="BF17" s="36">
        <f ca="1">-40.73+358*AH17/10^4+21.7*(AH17/10^4)*FJ17-106*DG17-166*(DH17+DI17)^2-50.2*DA17*(DD17+DF17)-3.2*LN(FI17)-2.2*LN(FG17)+0.86*LN(EQ17)+0.4*Q17</f>
        <v>10.171984881891774</v>
      </c>
      <c r="BG17" s="36">
        <f ca="1">-273.15+10^4/(7.53+0.07*Q17-1.1*FM17-14.9*DG17*DA17-0.08*LN(DB17)-3.62*(DH17+DI17)-0.18*LN(FG17)-0.026*AI17-0.14*FL17)</f>
        <v>978.9499824213716</v>
      </c>
      <c r="BH17" s="36">
        <f ca="1">-273.15+10^4/(6.39+0.076*Q17-5.55*DG17*DA17-0.386*LN(DF17)-0.046*FO17+2.2*10^-4*AI17^2)</f>
        <v>1004.628661682765</v>
      </c>
      <c r="BI17" s="36">
        <f ca="1">-273.15+10^4/(6.39+0.076*Q17-5.55*(DG17*DA17)-0.386*LN(DF17)-0.046*AI17+0.00022*AI17^2)</f>
        <v>1004.628661682765</v>
      </c>
      <c r="BJ17" s="36">
        <f ca="1">10^4/(3.12-0.0259*BC17-0.37*LN(DF17/(DF17+DD17))+0.47*LN(DG17*(DF17+DD17)*DA17^2)-0.78*LN((DF17+DD17)^2*DA17^2)-0.34*LN(DG17*DC17^2*DA17))-273.15</f>
        <v>1081.0732065728689</v>
      </c>
      <c r="BK17" s="62">
        <f ca="1">EXP(-9.8+0.24*LN(DG17*(DD17+DF17)*DA17^2)+17558/AE17+8.7*LN(AE17/1670)-4.61*10^3*(FG17^2/AE17))</f>
        <v>1.1730644621915556</v>
      </c>
      <c r="BL17" s="62">
        <f ca="1">EXP(-0.482-0.439*LN(DA17)+101.03*(DH17+DI17)^3-51.69*AG17/AE17-3742.5*FG17^2/AE17)</f>
        <v>0.7974226743968551</v>
      </c>
      <c r="BM17" s="62">
        <f ca="1">EXP(-6.96+18438/AE17+8*LN(AE17/1670)+0.66*LN((DD17+DF17)^2*DA17^2)-5.1*10^3*(FF17^2/AE17)+1.81*LN(DA17))</f>
        <v>0.15075184435524766</v>
      </c>
      <c r="BN17" s="62">
        <f ca="1">EXP(2.58+0.12*AI17/AN17-9*10^-7*AI17^2/AN17+0.78*LN(DG17*DC17^2*DA17)-4.3*10^3*(FF17^2/AN17))</f>
        <v>1.4053987278890241E-2</v>
      </c>
      <c r="BO17" s="62">
        <f ca="1">EXP(-1.06+0.23*AI17/AN17-6*10^-7*AI17^2/AN17+1.02*LN(DH17*DC17*DA17^2)-0.8*LN(DC17)-2.2*LN(DA17))</f>
        <v>1.8315943930553559E-2</v>
      </c>
      <c r="BP17" s="62">
        <f ca="1">EXP(5.1+0.52*LN(DG17*DB17*DC17^2)+2.04*10^3*FF17^2/AN17-6.2*DA17+42.5*DH17*DC17-45.1*(DD17+DF17)*DC17)</f>
        <v>3.1857436931426682E-2</v>
      </c>
      <c r="BQ17" s="62">
        <f>EXP(12.8)*DG17*DJ17^2*DA17</f>
        <v>0</v>
      </c>
      <c r="BR17" s="36">
        <f ca="1">SUM(BL17:BQ17)</f>
        <v>1.0124018868929734</v>
      </c>
      <c r="BS17" s="47"/>
      <c r="BT17" s="62">
        <f>FF17</f>
        <v>0.73267079503784271</v>
      </c>
      <c r="BU17" s="62">
        <f t="shared" si="6"/>
        <v>9.9544976148765063E-2</v>
      </c>
      <c r="BV17" s="62">
        <f t="shared" si="7"/>
        <v>9.1884663549011758E-2</v>
      </c>
      <c r="BW17" s="62">
        <f t="shared" si="8"/>
        <v>1.8084930967527724E-2</v>
      </c>
      <c r="BX17" s="62">
        <f t="shared" si="9"/>
        <v>7.166710610330454E-2</v>
      </c>
      <c r="BY17" s="62">
        <f t="shared" si="9"/>
        <v>3.2447030050030442E-3</v>
      </c>
      <c r="BZ17" s="62">
        <f>SUM(BT17:BY17)</f>
        <v>1.017097174811455</v>
      </c>
      <c r="CA17" s="62">
        <f>(ER17/ET17)/($G$8*DD17/DF17)</f>
        <v>0.3094015969114679</v>
      </c>
      <c r="CB17" s="47"/>
      <c r="CC17" s="36"/>
      <c r="CD17" s="36">
        <f ca="1">3205-5.62*ET17+83.2*EV17+68.2*FI17+2.52*LN(EP17)-51.1*FI17^2+34.8*FG17^2+0.384*(AH17)-518*LN(AH17)</f>
        <v>4.8483260885986965</v>
      </c>
      <c r="CE17" s="36">
        <f ca="1">1458+0.197*(AH17)-241*LN(AH17)+0.453*Q17+55.5*EP17+8.05*ER17-277*EW17+18*FB17+44.1*FF17+2.2*LN(FB17)-27.7*EQ17^2+97.3*GI17^2+30.7*GK17^2-27.6*FF17^2</f>
        <v>4.3819089010610792</v>
      </c>
      <c r="CF17" s="36">
        <f ca="1">-57.9+0.0475*(AH17)-40.6*DD17-47.7*FC17+0.67*Q17-153*DG17*DA17+6.89*(EQ17/DC17)</f>
        <v>12.169878382061086</v>
      </c>
      <c r="CG17" s="36">
        <f ca="1">-273.15+(93100+544*AI17)/(61.1+36.6*EN17+10.9*ER17-0.95*(EQ17+EX17-EV17-EW17)+0.395*(LN(FT17))^2)</f>
        <v>1104.7962896640865</v>
      </c>
      <c r="CH17" s="48">
        <f ca="1">EXP(-0.107-1719/AH17)</f>
        <v>0.26366927030219534</v>
      </c>
      <c r="CJ17" s="36">
        <f>698.443+4.985*EO17-26.826*GJ17-3.764*EZ17+53.989*EP17+3.948*EN17+14.651*EX17-700.431*EU17-666.629*EV17-682.848*GK17-691.138*GI17-688.384*ES17-6.267*GK17^2-4.144*GI17^2</f>
        <v>3.3658756863828527</v>
      </c>
      <c r="CK17" s="36">
        <f>771.48+4.956*EO17-28.756*GJ17-5.345*EZ17+56.904*EP17+1.848*EN17+14.827*EX17-773.74*EU17-736.57*EV17-754.81*GK17-763.2*GI17-759.66*ES17-1.185*GK17^2-1.876*GI17^2</f>
        <v>3.1660584264524116</v>
      </c>
      <c r="CL17" s="36">
        <f ca="1">-273.15+(23166+39.28*AI17)/(13.25+15.35*EN17+4.5*ER17-1.55*(EQ17-EX17-EV17-EW17)+(LN(IF17))^2)</f>
        <v>794.36741167671164</v>
      </c>
      <c r="CM17" s="2"/>
      <c r="CN17" s="1">
        <f t="shared" si="12"/>
        <v>0.98361801668655546</v>
      </c>
      <c r="CO17" s="1">
        <f t="shared" si="12"/>
        <v>6.7602417662759083E-3</v>
      </c>
      <c r="CP17" s="1">
        <f>H17*2/CP$10</f>
        <v>0.37465305361854045</v>
      </c>
      <c r="CQ17" s="1">
        <f t="shared" si="13"/>
        <v>7.2654997327632281E-2</v>
      </c>
      <c r="CR17" s="1">
        <f t="shared" si="13"/>
        <v>2.6784140969162997E-3</v>
      </c>
      <c r="CS17" s="1">
        <f t="shared" si="13"/>
        <v>8.063635732078879E-2</v>
      </c>
      <c r="CT17" s="1">
        <f t="shared" si="13"/>
        <v>0.13285209371333195</v>
      </c>
      <c r="CU17" s="1">
        <f t="shared" si="14"/>
        <v>0.12907618560510109</v>
      </c>
      <c r="CV17" s="1">
        <f t="shared" si="14"/>
        <v>1.8684445199371524E-2</v>
      </c>
      <c r="CW17" s="1">
        <f t="shared" si="14"/>
        <v>0</v>
      </c>
      <c r="CX17" s="1">
        <f t="shared" si="14"/>
        <v>4.3681351585562606E-3</v>
      </c>
      <c r="CY17" s="1">
        <f>SUM(CN17:CX17)</f>
        <v>1.8059819404930699</v>
      </c>
      <c r="DA17" s="1">
        <f t="shared" si="15"/>
        <v>0.54464443670904461</v>
      </c>
      <c r="DB17" s="1">
        <f t="shared" si="15"/>
        <v>3.7432499266466775E-3</v>
      </c>
      <c r="DC17" s="1">
        <f t="shared" si="15"/>
        <v>0.2074511628373496</v>
      </c>
      <c r="DD17" s="1">
        <f t="shared" si="15"/>
        <v>4.0230190401458824E-2</v>
      </c>
      <c r="DE17" s="1">
        <f t="shared" si="15"/>
        <v>1.4830791143930475E-3</v>
      </c>
      <c r="DF17" s="1">
        <f t="shared" si="15"/>
        <v>4.4649592287048796E-2</v>
      </c>
      <c r="DG17" s="1">
        <f t="shared" si="15"/>
        <v>7.3562249286424547E-2</v>
      </c>
      <c r="DH17" s="1">
        <f t="shared" si="15"/>
        <v>7.1471470844199386E-2</v>
      </c>
      <c r="DI17" s="1">
        <f t="shared" si="15"/>
        <v>1.0345864917270594E-2</v>
      </c>
      <c r="DJ17" s="1">
        <f t="shared" si="15"/>
        <v>0</v>
      </c>
      <c r="DK17" s="1">
        <f t="shared" si="15"/>
        <v>2.4187036761639325E-3</v>
      </c>
      <c r="DL17" s="1">
        <f>SUM(DA17:DK17)</f>
        <v>0.99999999999999989</v>
      </c>
      <c r="DM17">
        <f t="shared" si="28"/>
        <v>52.603330113254593</v>
      </c>
      <c r="DN17" s="1">
        <f t="shared" si="16"/>
        <v>0.78722727900632938</v>
      </c>
      <c r="DO17" s="1">
        <f t="shared" si="16"/>
        <v>2.1908190909227479E-2</v>
      </c>
      <c r="DP17" s="1">
        <f t="shared" si="16"/>
        <v>7.699022175145398E-2</v>
      </c>
      <c r="DQ17" s="1">
        <f t="shared" si="16"/>
        <v>9.0609967931587376E-2</v>
      </c>
      <c r="DR17" s="1">
        <f t="shared" si="16"/>
        <v>1.9735682819383262E-3</v>
      </c>
      <c r="DS17" s="1">
        <f t="shared" si="16"/>
        <v>0.32502654796994868</v>
      </c>
      <c r="DT17" s="1">
        <f t="shared" si="16"/>
        <v>0.40123115551006289</v>
      </c>
      <c r="DU17" s="1">
        <f t="shared" si="16"/>
        <v>4.0336308001594091E-3</v>
      </c>
      <c r="DV17" s="1">
        <f t="shared" si="16"/>
        <v>0</v>
      </c>
      <c r="DW17" s="1">
        <f t="shared" si="16"/>
        <v>1.447385561144803E-3</v>
      </c>
      <c r="DX17" s="1">
        <f>SUM(DN17:DW17)</f>
        <v>1.7104479477218524</v>
      </c>
      <c r="DZ17" s="1">
        <f t="shared" si="17"/>
        <v>1.5744545580126588</v>
      </c>
      <c r="EA17" s="1">
        <f t="shared" si="17"/>
        <v>4.3816381818454958E-2</v>
      </c>
      <c r="EB17" s="1">
        <f>DP17*3</f>
        <v>0.23097066525436194</v>
      </c>
      <c r="EC17" s="1">
        <f t="shared" si="18"/>
        <v>9.0609967931587376E-2</v>
      </c>
      <c r="ED17" s="1">
        <f t="shared" si="18"/>
        <v>1.9735682819383262E-3</v>
      </c>
      <c r="EE17" s="1">
        <f t="shared" si="18"/>
        <v>0.32502654796994868</v>
      </c>
      <c r="EF17" s="1">
        <f t="shared" si="18"/>
        <v>0.40123115551006289</v>
      </c>
      <c r="EG17" s="1">
        <f t="shared" si="18"/>
        <v>4.0336308001594091E-3</v>
      </c>
      <c r="EH17" s="1">
        <f t="shared" si="18"/>
        <v>0</v>
      </c>
      <c r="EI17" s="1">
        <f>DW17*3</f>
        <v>4.3421566834344087E-3</v>
      </c>
      <c r="EJ17" s="1">
        <f>SUM(DZ17:EI17)</f>
        <v>2.6764586322626069</v>
      </c>
      <c r="EK17" s="1">
        <f>6/EJ17</f>
        <v>2.2417682558866079</v>
      </c>
      <c r="EM17" s="1">
        <f t="shared" si="19"/>
        <v>1.7647811242443792</v>
      </c>
      <c r="EN17" s="1">
        <f t="shared" si="19"/>
        <v>4.9113086924209723E-2</v>
      </c>
      <c r="EO17" s="1">
        <f>2-EM17</f>
        <v>0.23521887575562084</v>
      </c>
      <c r="EP17" s="1">
        <f>IF(EQ17-EO17&lt;0,0,EQ17-EO17)</f>
        <v>0.10996959451653948</v>
      </c>
      <c r="EQ17" s="1">
        <f>DP17*$EK17*2</f>
        <v>0.34518847027216032</v>
      </c>
      <c r="ER17" s="1">
        <f t="shared" si="20"/>
        <v>0.20312654977593611</v>
      </c>
      <c r="ES17" s="1">
        <f t="shared" si="20"/>
        <v>4.4242827252740109E-3</v>
      </c>
      <c r="ET17" s="1">
        <f t="shared" si="20"/>
        <v>0.7286341975594367</v>
      </c>
      <c r="EU17" s="1">
        <f t="shared" si="20"/>
        <v>0.89946726769516205</v>
      </c>
      <c r="EV17" s="1">
        <f t="shared" si="21"/>
        <v>1.8084930967527724E-2</v>
      </c>
      <c r="EW17" s="1">
        <f t="shared" si="21"/>
        <v>0</v>
      </c>
      <c r="EX17" s="1">
        <f t="shared" si="21"/>
        <v>6.4894060100060885E-3</v>
      </c>
      <c r="EY17" s="1">
        <f>EM17+EN17+EQ17+ER17+ES17+ET17+EU17+EV17+EW17+EX17</f>
        <v>4.019309316174092</v>
      </c>
      <c r="EZ17" s="1">
        <f>IF(EV17+EO17-EP17-2*EN17-EX17&gt;0,EV17+EO17-EP17-2*EN17-EX17,0)</f>
        <v>3.8618632348183544E-2</v>
      </c>
      <c r="FA17" s="1">
        <f>12-48/EY17</f>
        <v>5.764965466993921E-2</v>
      </c>
      <c r="FB17" s="1">
        <f>IF(EV17&lt;EP17,EV17,EP17)</f>
        <v>1.8084930967527724E-2</v>
      </c>
      <c r="FC17" s="1">
        <f>IF(EP17&gt;EV17,EP17-EV17,0)</f>
        <v>9.1884663549011758E-2</v>
      </c>
      <c r="FD17" s="1">
        <f>IF(EO17&gt;FC17,(EO17-FC17)/2,0)</f>
        <v>7.166710610330454E-2</v>
      </c>
      <c r="FE17" s="1">
        <f>EX17/2</f>
        <v>3.2447030050030442E-3</v>
      </c>
      <c r="FF17" s="2">
        <f>IF(EU17-FD17-FC17-FE17&gt;0,EU17-FD17-FC17-FE17,0)</f>
        <v>0.73267079503784271</v>
      </c>
      <c r="FG17" s="1">
        <f>((ER17+ET17)-FF17)/2</f>
        <v>9.9544976148765063E-2</v>
      </c>
      <c r="FH17" s="1">
        <f>SUM(FB17:FG17)</f>
        <v>1.0170971748114548</v>
      </c>
      <c r="FI17" s="1">
        <f>EU17-FC17-FD17-FE17</f>
        <v>0.73267079503784271</v>
      </c>
      <c r="FJ17" s="1">
        <f>LN(FB17/(DA17^2*DH17*DC17))</f>
        <v>1.4138842280927311</v>
      </c>
      <c r="FK17" s="1">
        <f>LN(FB17*DG17*(DD17+DF17)/(FF17*DH17*DC17))</f>
        <v>-4.5664438348403324</v>
      </c>
      <c r="FL17" s="1">
        <f>LN((FB17*DG17*(DD17+DF17))/(DH17*DC17*FI17))</f>
        <v>-4.5664438348403324</v>
      </c>
      <c r="FM17" s="1">
        <f>DF17/(DF17+DD17)</f>
        <v>0.52603330113254598</v>
      </c>
      <c r="FN17" s="60">
        <f t="shared" ca="1" si="22"/>
        <v>1402.052416091813</v>
      </c>
      <c r="FO17" s="60">
        <f t="shared" ca="1" si="22"/>
        <v>0.27853428935678881</v>
      </c>
      <c r="FP17" s="1">
        <f ca="1">(FN17)/10^4</f>
        <v>0.1402052416091813</v>
      </c>
      <c r="FQ17" s="2">
        <f ca="1">LN(ABS(BE17-FO17))</f>
        <v>1.7078705202745861</v>
      </c>
      <c r="FR17" s="2">
        <f ca="1">LN(ABS(BH17-FN17))</f>
        <v>5.9850031028885313</v>
      </c>
      <c r="FS17" s="1">
        <f ca="1">1458+0.45*Q17+0.197*(D17+273.15)-241*LN(D17+273.15)+55.5*EP17+8.05*ER17-276.6*EW17+18.01*FB17+44.09*FI17+2.17*LN(FB17)+97.3*GI17^2+30.38*GK17^2-27.59*FI17^2-17.7*EQ17^2</f>
        <v>4.7702755810875921</v>
      </c>
      <c r="FT17" s="1">
        <f>(1-EU17-EV17-EW17)*(1-0.5*(EQ17+EX17+EV17+EW17))</f>
        <v>6.7204736100285767E-2</v>
      </c>
      <c r="FU17" s="2">
        <f t="shared" si="29"/>
        <v>78.199709490141913</v>
      </c>
      <c r="FV17" s="2">
        <f ca="1">2446.5+0.309*(D17+273.15)-400*LN(D17+273.15)-5.98*ET17-20.5*EV17+112*FB17+61.5*FC17+71.1*FI17+1.66*LN(FI17)-43.5*FI17^2+43*FG17^2-26.2*EQ17^2</f>
        <v>9.1546935314381912</v>
      </c>
      <c r="FW17" s="2">
        <f ca="1">EXP(-0.107-1719/(D17+273.15))</f>
        <v>0.25436828911690806</v>
      </c>
      <c r="FX17" s="2">
        <f>(ER17/ET17)/(DD17/DF17)</f>
        <v>0.3094015969114679</v>
      </c>
      <c r="FY17" s="1">
        <f>EU17+EV17+ES17</f>
        <v>0.92197648138796384</v>
      </c>
      <c r="FZ17" s="1">
        <f>EP17+EN17+EX17+EZ17</f>
        <v>0.20419071979893885</v>
      </c>
      <c r="GA17" s="1">
        <f>EXP(0.238*FZ17+0.289*FY17-2.3315)</f>
        <v>0.13312704174735426</v>
      </c>
      <c r="GB17" s="1">
        <f>1-EN17-EP17</f>
        <v>0.84091731855925089</v>
      </c>
      <c r="GC17" s="1">
        <f>(ER17-EZ17)+ET17-GB17</f>
        <v>5.2224796427938314E-2</v>
      </c>
      <c r="GD17" s="1">
        <f>ER17-EZ17</f>
        <v>0.16450791742775256</v>
      </c>
      <c r="GE17" s="1">
        <f>1-GA17</f>
        <v>0.86687295825264576</v>
      </c>
      <c r="GF17" s="1">
        <f>(GA17*ET17)-(GA17*(1-FY17))+GD17+(1-FY17)</f>
        <v>0.32914531105729383</v>
      </c>
      <c r="GG17" s="1">
        <f>-GD17*(1-FY17)</f>
        <v>-1.2835486557251559E-2</v>
      </c>
      <c r="GH17" s="1">
        <f>(-GF17+SQRT(GF17^2-4*GE17*GG17))/2*GE17</f>
        <v>2.6789337000552128E-2</v>
      </c>
      <c r="GI17" s="1">
        <f>GH17</f>
        <v>2.6789337000552128E-2</v>
      </c>
      <c r="GJ17" s="1">
        <f>GD17-GI17</f>
        <v>0.13771858042720042</v>
      </c>
      <c r="GK17" s="1">
        <f>1-FY17-GI17</f>
        <v>5.1234181611484034E-2</v>
      </c>
      <c r="GL17" s="1">
        <f>ET17-GK17</f>
        <v>0.67740001594795263</v>
      </c>
      <c r="GM17" s="1">
        <f>IF(1-FY17&gt;0,EU17,1-EV17-EW17-ES17)</f>
        <v>0.89946726769516205</v>
      </c>
      <c r="GN17" s="1">
        <f>IF(1-FY17&gt;0,EV17,IF(EU17&gt;0,EV17,1-ES17))</f>
        <v>1.8084930967527724E-2</v>
      </c>
      <c r="GO17" s="1">
        <f>11.864*GJ17+9.107*EZ17-18.375*EP17+11.794*EN17-1.4925*EX17+439.97*EU17+419.68*EV17+431.72*GK17+432.56*GI17+428.03*ES17-28.652*GK17^2-12.741*GI17^2</f>
        <v>439.37914232657624</v>
      </c>
      <c r="GP17" s="1">
        <f>-0.3085*EO17+0.813*GJ17-0.4173*EZ17-2.209*EP17-1.0864*EN17-0.8001*EX17+11.931*EU17+11.288*EV17+11.432*GK17+11.885*GI17+12.038*ES17+2.4355*GK17^2-1.661*GI17^2</f>
        <v>11.620060780470181</v>
      </c>
      <c r="GQ17" s="1">
        <f>3*(EZ17+EP17+EX17)+2*(GJ17+GL17)+4*EN17</f>
        <v>2.2919224390713322</v>
      </c>
      <c r="GR17" s="1">
        <f>32.9*(0.75*GQ17/6)*(10^-6)</f>
        <v>9.4255310306808526E-6</v>
      </c>
      <c r="GS17" s="1">
        <f>7500*GQ17/((1.4133+0.05601*GP17)^3)</f>
        <v>1954.5373772016726</v>
      </c>
      <c r="GT17" s="1">
        <f ca="1">GP17*((2+3*GR17*(D17-25))/(2-3*GR17*(D17-25))-1)</f>
        <v>0.35494531352730829</v>
      </c>
      <c r="GU17" s="2">
        <f ca="1">-57.9+0.0475*(FN17+273.15)-40.6*DD17-47.7*FC17+0.67*Q17-153*DA17*DG17+6.89*((EO17+EP17)/DC17)</f>
        <v>25.144503382061085</v>
      </c>
      <c r="GV17" s="4">
        <f t="shared" ca="1" si="30"/>
        <v>5.7929240474398771</v>
      </c>
      <c r="GW17" s="4">
        <f t="shared" ca="1" si="31"/>
        <v>5.6375781888021335</v>
      </c>
      <c r="GX17" s="4">
        <f>M17+N17</f>
        <v>4.88</v>
      </c>
      <c r="GY17" s="4">
        <f>6*10^-5*(F17^3)-0.0166*(F17^2)+1.5751*F17-39.978</f>
        <v>7.515268259999992</v>
      </c>
      <c r="GZ17" s="4">
        <f ca="1">IF(GX17&gt;GY17,GW17,GV17)</f>
        <v>5.7929240474398771</v>
      </c>
      <c r="HA17" s="1">
        <f t="shared" si="23"/>
        <v>439.37914232657624</v>
      </c>
      <c r="HB17" s="1">
        <f t="shared" si="23"/>
        <v>11.620060780470181</v>
      </c>
      <c r="HC17" s="4">
        <f>771.475-(1.323*HA17)-(16.064*HB17)</f>
        <v>3.5117383244666769</v>
      </c>
      <c r="HD17" s="4"/>
      <c r="HE17" s="6">
        <f>GI17+GJ17+ES17</f>
        <v>0.16893220015302657</v>
      </c>
      <c r="HF17" s="6">
        <f>GK17+GL17</f>
        <v>0.7286341975594367</v>
      </c>
      <c r="HG17" s="6">
        <f>IF(EV17&gt;EZ17,EZ17,EV17)</f>
        <v>1.8084930967527724E-2</v>
      </c>
      <c r="HH17" s="6">
        <f>EV17-HG17</f>
        <v>0</v>
      </c>
      <c r="HI17" s="6">
        <f>EZ17-HG17</f>
        <v>2.0533701380655821E-2</v>
      </c>
      <c r="HJ17" s="6">
        <f>IF(HH17&gt;EP17,EP17,HH17)</f>
        <v>0</v>
      </c>
      <c r="HK17" s="6">
        <f>HH17-HJ17</f>
        <v>0</v>
      </c>
      <c r="HL17" s="6">
        <f>EP17-HJ17</f>
        <v>0.10996959451653948</v>
      </c>
      <c r="HM17" s="6">
        <f>HL17+EX17+2*EN17</f>
        <v>0.21468517437496501</v>
      </c>
      <c r="HN17" s="6">
        <f>HE17/(HE17+HF17)</f>
        <v>0.18821136863363758</v>
      </c>
      <c r="HO17" s="6">
        <f>(EU17-HM17-HI17)*(1-HN17)</f>
        <v>0.53922929297990729</v>
      </c>
      <c r="HP17" s="6">
        <f>(EU17-HM17-HI17)*HN17</f>
        <v>0.12501909895963398</v>
      </c>
      <c r="HQ17" s="6">
        <f>(1-HG17-HJ17-HI17-HM17-HO17-HP17)*(1-HN17)</f>
        <v>6.6930187806780769E-2</v>
      </c>
      <c r="HR17" s="6">
        <f>(1-HG17-HJ17-HI17-HM17-HO17-HP17)*HN17</f>
        <v>1.5517613530529401E-2</v>
      </c>
      <c r="HS17" s="6">
        <f>HJ17+HG17</f>
        <v>1.8084930967527724E-2</v>
      </c>
      <c r="HT17" s="6"/>
      <c r="HU17" s="15">
        <f>(-0.000000872*HO17)-(0.000000749*HQ17)-(0.000000993*HP17)-(0.00000087*(HM17+HI17))-(0.00000086*HS17)-(0.00000087*HR17)</f>
        <v>-8.78176405723699E-7</v>
      </c>
      <c r="HV17" s="15">
        <f>(0.000000000001707*HO17)+(0.000000000000447*HQ17)+(0.0000000000014835*HP17)+(0.000000000002171*(HM17+HI17))+(0.000000000002149*HS17)+(0.0000000000002235*HR17)</f>
        <v>1.6888409129116928E-12</v>
      </c>
      <c r="HW17" s="15">
        <f>(0.000027795*HO17)+(0.000024656*HQ17)+(0.000031371*HP17)+(0.00002225*(HM17+HI17))+(0.000023118*HS17)+(0.000028232*HR17)</f>
        <v>2.6649883747266961E-5</v>
      </c>
      <c r="HX17" s="15">
        <f>(0.0000000083082*HO17)+(0.000000007467*HQ17)+(0.0000000083672*HP17)+(0.0000000052863*(HM17+HI17))+(0.0000000025785*HS17)+(0.000000007526*HR17)</f>
        <v>7.432707425941421E-9</v>
      </c>
      <c r="HY17" s="6">
        <f>GQ17</f>
        <v>2.2919224390713322</v>
      </c>
      <c r="HZ17" s="6">
        <f t="shared" ca="1" si="32"/>
        <v>455.53295447612015</v>
      </c>
      <c r="IA17" s="6">
        <f t="shared" ca="1" si="33"/>
        <v>5.7929240474398771</v>
      </c>
      <c r="IB17" s="6">
        <f t="shared" ca="1" si="34"/>
        <v>455.53301441537451</v>
      </c>
      <c r="IC17" s="6">
        <f t="shared" ca="1" si="35"/>
        <v>5.6375781888021335</v>
      </c>
      <c r="ID17" s="6">
        <f t="shared" ca="1" si="36"/>
        <v>5.7929240474398771</v>
      </c>
      <c r="IE17" s="6"/>
      <c r="IF17" s="2">
        <f>(1-EU17-EV17-EW17)*(1-0.5*(EQ17+EX17+EV17+EW17))</f>
        <v>6.7204736100285767E-2</v>
      </c>
      <c r="IG17" s="16">
        <f ca="1">D17-25</f>
        <v>1064.003722108444</v>
      </c>
      <c r="IH17" s="16"/>
      <c r="II17" s="6">
        <f>1.4133+(0.05601*HB17)</f>
        <v>2.0641396043141347</v>
      </c>
      <c r="IJ17" s="16">
        <f>(7500*HY17)/II17^3</f>
        <v>1954.5373772016726</v>
      </c>
      <c r="IK17" s="15">
        <f>0.0000329*(0.75-HY17/6)</f>
        <v>1.2107625292425529E-5</v>
      </c>
      <c r="IM17" s="1">
        <f t="shared" si="37"/>
        <v>1</v>
      </c>
      <c r="IN17" s="1">
        <f t="shared" si="38"/>
        <v>0.39789375849368874</v>
      </c>
      <c r="IO17" s="1">
        <f t="shared" si="39"/>
        <v>0.11092367968854445</v>
      </c>
      <c r="IP17" s="1">
        <f t="shared" si="40"/>
        <v>0.49118256181776676</v>
      </c>
      <c r="IR17" s="141">
        <f>IO17/(COS(RADIANS(30)))+IP17*TAN(RADIANS(30))</f>
        <v>0.41166801694210753</v>
      </c>
      <c r="IS17" s="141">
        <f>IP17</f>
        <v>0.49118256181776676</v>
      </c>
      <c r="IU17" s="3">
        <v>0</v>
      </c>
      <c r="IV17" s="3">
        <v>0.9</v>
      </c>
      <c r="IW17" s="3">
        <v>0.1</v>
      </c>
      <c r="IX17" s="3"/>
      <c r="IY17" s="141">
        <f>IV17/(COS(RADIANS(30)))+IW17*TAN(RADIANS(30))</f>
        <v>1.0969655114602888</v>
      </c>
      <c r="IZ17" s="141">
        <f>IW17</f>
        <v>0.1</v>
      </c>
    </row>
    <row r="18" spans="1:260">
      <c r="A18" t="s">
        <v>201</v>
      </c>
      <c r="B18" t="s">
        <v>202</v>
      </c>
      <c r="C18" s="22">
        <f t="shared" si="24"/>
        <v>2</v>
      </c>
      <c r="D18" s="99">
        <f ca="1">AK18-273.15</f>
        <v>1113.9864189380728</v>
      </c>
      <c r="E18" s="14">
        <f ca="1">BL18-BT18</f>
        <v>2.8429514155249191E-2</v>
      </c>
      <c r="F18" s="106">
        <v>52.5</v>
      </c>
      <c r="G18" s="106">
        <v>0.98</v>
      </c>
      <c r="H18" s="106">
        <v>19.2</v>
      </c>
      <c r="I18" s="106">
        <v>8.0399999999999991</v>
      </c>
      <c r="J18" s="106">
        <v>0.2</v>
      </c>
      <c r="K18" s="114">
        <v>4.99</v>
      </c>
      <c r="L18" s="106">
        <v>9.64</v>
      </c>
      <c r="M18" s="106">
        <v>4.1500000000000004</v>
      </c>
      <c r="N18" s="106">
        <v>0.21</v>
      </c>
      <c r="O18" s="106">
        <v>0</v>
      </c>
      <c r="P18" s="106">
        <v>0.14000000000000001</v>
      </c>
      <c r="Q18" s="106">
        <v>6.2</v>
      </c>
      <c r="R18" s="102">
        <f t="shared" ca="1" si="10"/>
        <v>3.8817599045884452</v>
      </c>
      <c r="T18" s="106">
        <v>51.1</v>
      </c>
      <c r="U18" s="106">
        <v>0.63</v>
      </c>
      <c r="V18" s="106">
        <v>4.41</v>
      </c>
      <c r="W18" s="106">
        <v>5.66</v>
      </c>
      <c r="X18" s="106">
        <v>0.13</v>
      </c>
      <c r="Y18" s="106">
        <v>15.6</v>
      </c>
      <c r="Z18" s="106">
        <v>22.6</v>
      </c>
      <c r="AA18" s="106">
        <v>0.23</v>
      </c>
      <c r="AB18" s="106">
        <v>0</v>
      </c>
      <c r="AC18" s="106">
        <v>0.27</v>
      </c>
      <c r="AE18" s="98">
        <f ca="1">10^4/(7.53-0.14*FK18+0.07*Q18-14.9*DG18*DA18-0.08*LN(DB18)-3.62*(DH18+DI18)-1.1*DF18/(DF18+DD18)-0.18*LN(FG18)-0.027*AG18)</f>
        <v>1287.3207490003197</v>
      </c>
      <c r="AF18" s="140">
        <f ca="1">AE18-273.15</f>
        <v>1014.1707490003197</v>
      </c>
      <c r="AG18" s="140">
        <f ca="1">-26.2712+39.16138*AE18*FJ18/10^4-4.21676*LN(FI18)+78.43463*DC18+393.8126*(DH18+DI18)^2</f>
        <v>0.9527080420877736</v>
      </c>
      <c r="AH18" s="80">
        <f ca="1">AX18</f>
        <v>1408.8075371298269</v>
      </c>
      <c r="AI18" s="80">
        <f ca="1">AZ18</f>
        <v>1.2637889101478059</v>
      </c>
      <c r="AJ18" s="80"/>
      <c r="AK18" s="80">
        <f t="shared" ca="1" si="11"/>
        <v>1387.1364189380727</v>
      </c>
      <c r="AL18" s="80">
        <f t="shared" ca="1" si="11"/>
        <v>-2.1440159209469289E-2</v>
      </c>
      <c r="AM18" s="80"/>
      <c r="AN18" s="80">
        <f ca="1">10^4/(7.53-0.14*FK18+0.07*Q18-14.9*DG18*DA18-0.08*LN(DB18)-3.62*(DH18+DI18)-1.1*DF18/(DF18+DD18)-0.18*LN(FG18)-0.027*AP18)</f>
        <v>1266.4833880034246</v>
      </c>
      <c r="AO18" s="80">
        <f t="shared" ca="1" si="25"/>
        <v>993.3333880034246</v>
      </c>
      <c r="AP18" s="80">
        <f ca="1">IF(ABS(FB18)&gt;0,-54.3+299*(AN18)/10^4+36.4*(AN18)*FJ18/10^4+367*DH18*DC18,0)</f>
        <v>-3.7809042565301674</v>
      </c>
      <c r="AQ18" s="80"/>
      <c r="AR18" s="80">
        <f ca="1">10^4/(6.39+0.076*Q18-5.55*DG18*DA18-0.386*LN(DF18)-0.046*AT18+2.2*10^-4*(AT18^2))</f>
        <v>1283.266495358735</v>
      </c>
      <c r="AS18" s="80">
        <f t="shared" ca="1" si="26"/>
        <v>1010.1164953587351</v>
      </c>
      <c r="AT18" s="36">
        <f t="shared" ca="1" si="27"/>
        <v>-3.1860254006884698</v>
      </c>
      <c r="AV18" s="36">
        <f>IF(ABS(FB18)&gt;0,10^4/(6.73-0.26*FK18-0.86*LN(FM18)+0.52*LN(DG18)),0)</f>
        <v>1403.3181652349751</v>
      </c>
      <c r="AW18" s="36">
        <f>IF(AV18&gt;0,AV18-273.15,0)</f>
        <v>1130.1681652349753</v>
      </c>
      <c r="AX18" s="36">
        <f ca="1">IF(ABS(FB18)&gt;0,10^4/(6.59-0.16*FK18-0.65*LN(FM18)+0.23*LN(DG18)-0.02*AZ18),0)</f>
        <v>1408.8075371298269</v>
      </c>
      <c r="AY18" s="36">
        <f ca="1">IF(AX18&gt;0,AX18-273.15,0)</f>
        <v>1135.6575371298268</v>
      </c>
      <c r="AZ18" s="36">
        <f ca="1">IF(ABS(FB18)&gt;0,-54.3+299*(AX18)/10^4+36.4*(AX18)*FJ18/10^4+367*DH18*DC18,0)</f>
        <v>1.2637889101478059</v>
      </c>
      <c r="BA18" s="36"/>
      <c r="BB18" s="36">
        <f ca="1">IF(ABS(FB18)&gt;0,10^4/(4.6-0.437*FL18-0.654*LN(FM18)-0.326*LN(DH18)-0.92*LN(DA18)+0.274*LN(FB18)-0.00632*BC18),0)</f>
        <v>1387.1364189380727</v>
      </c>
      <c r="BC18" s="36">
        <f ca="1">IF(ABS(FB18)&gt;0,-88.3+0.00282*(BB18)*FJ18+0.0219*(BB18)-25.1*LN(DG18*DA18)+12.4*LN(DG18)+7.03*FM18,0)</f>
        <v>-2.1440159209469289E-2</v>
      </c>
      <c r="BD18" s="36">
        <f ca="1">BB18-273.15</f>
        <v>1113.9864189380728</v>
      </c>
      <c r="BE18" s="36">
        <f ca="1">-48.7+271.3*AH18/10^4+31.96*(AH18/10^4)*FJ18-8.2*LN(DD18)+4.6*LN(DF18)-0.96*LN(DI18)-2.2*LN(FI18)-31*FM18+56.2*(DH18+DI18)+0.76*Q18</f>
        <v>5.8594387983387897</v>
      </c>
      <c r="BF18" s="36">
        <f ca="1">-40.73+358*AH18/10^4+21.7*(AH18/10^4)*FJ18-106*DG18-166*(DH18+DI18)^2-50.2*DA18*(DD18+DF18)-3.2*LN(FI18)-2.2*LN(FG18)+0.86*LN(EQ18)+0.4*Q18</f>
        <v>6.7530336496901162</v>
      </c>
      <c r="BG18" s="36">
        <f ca="1">-273.15+10^4/(7.53+0.07*Q18-1.1*FM18-14.9*DG18*DA18-0.08*LN(DB18)-3.62*(DH18+DI18)-0.18*LN(FG18)-0.026*AI18-0.14*FL18)</f>
        <v>1015.3543099721982</v>
      </c>
      <c r="BH18" s="36">
        <f ca="1">-273.15+10^4/(6.39+0.076*Q18-5.55*DG18*DA18-0.386*LN(DF18)-0.046*FO18+2.2*10^-4*AI18^2)</f>
        <v>1045.0606987280357</v>
      </c>
      <c r="BI18" s="36">
        <f ca="1">-273.15+10^4/(6.39+0.076*Q18-5.55*(DG18*DA18)-0.386*LN(DF18)-0.046*AI18+0.00022*AI18^2)</f>
        <v>1045.0606987280357</v>
      </c>
      <c r="BJ18" s="36">
        <f ca="1">10^4/(3.12-0.0259*BC18-0.37*LN(DF18/(DF18+DD18))+0.47*LN(DG18*(DF18+DD18)*DA18^2)-0.78*LN((DF18+DD18)^2*DA18^2)-0.34*LN(DG18*DC18^2*DA18))-273.15</f>
        <v>1146.0429467450385</v>
      </c>
      <c r="BK18" s="62">
        <f ca="1">EXP(-9.8+0.24*LN(DG18*(DD18+DF18)*DA18^2)+17558/AE18+8.7*LN(AE18/1670)-4.61*10^3*(FG18^2/AE18))</f>
        <v>1.130061694221981</v>
      </c>
      <c r="BL18" s="62">
        <f ca="1">EXP(-0.482-0.439*LN(DA18)+101.03*(DH18+DI18)^3-51.69*AG18/AE18-3742.5*FG18^2/AE18)</f>
        <v>0.82447830069610495</v>
      </c>
      <c r="BM18" s="62">
        <f ca="1">EXP(-6.96+18438/AE18+8*LN(AE18/1670)+0.66*LN((DD18+DF18)^2*DA18^2)-5.1*10^3*(FF18^2/AE18)+1.81*LN(DA18))</f>
        <v>0.10986343149152779</v>
      </c>
      <c r="BN18" s="62">
        <f ca="1">EXP(2.58+0.12*AI18/AN18-9*10^-7*AI18^2/AN18+0.78*LN(DG18*DC18^2*DA18)-4.3*10^3*(FF18^2/AN18))</f>
        <v>1.1907399205121873E-2</v>
      </c>
      <c r="BO18" s="62">
        <f ca="1">EXP(-1.06+0.23*AI18/AN18-6*10^-7*AI18^2/AN18+1.02*LN(DH18*DC18*DA18^2)-0.8*LN(DC18)-2.2*LN(DA18))</f>
        <v>1.932005083860059E-2</v>
      </c>
      <c r="BP18" s="62">
        <f ca="1">EXP(5.1+0.52*LN(DG18*DB18*DC18^2)+2.04*10^3*FF18^2/AN18-6.2*DA18+42.5*DH18*DC18-45.1*(DD18+DF18)*DC18)</f>
        <v>5.5579962577046629E-2</v>
      </c>
      <c r="BQ18" s="62">
        <f>EXP(12.8)*DG18*DJ18^2*DA18</f>
        <v>0</v>
      </c>
      <c r="BR18" s="36">
        <f ca="1">SUM(BL18:BQ18)</f>
        <v>1.0211491448084018</v>
      </c>
      <c r="BS18" s="47"/>
      <c r="BT18" s="62">
        <f>FF18</f>
        <v>0.79604878654085576</v>
      </c>
      <c r="BU18" s="62">
        <f t="shared" si="6"/>
        <v>0.1145955081439623</v>
      </c>
      <c r="BV18" s="62">
        <f t="shared" si="7"/>
        <v>4.5827315358557691E-2</v>
      </c>
      <c r="BW18" s="62">
        <f t="shared" si="8"/>
        <v>1.6334601092911297E-2</v>
      </c>
      <c r="BX18" s="62">
        <f t="shared" si="9"/>
        <v>4.1197081002489463E-2</v>
      </c>
      <c r="BY18" s="62">
        <f t="shared" si="9"/>
        <v>3.9094880024166884E-3</v>
      </c>
      <c r="BZ18" s="62">
        <f>SUM(BT18:BY18)</f>
        <v>1.0179127801411931</v>
      </c>
      <c r="CA18" s="62">
        <f>(ER18/ET18)/($G$8*DD18/DF18)</f>
        <v>0.22518337798188542</v>
      </c>
      <c r="CB18" s="47"/>
      <c r="CC18" s="36"/>
      <c r="CD18" s="36">
        <f ca="1">3205-5.62*ET18+83.2*EV18+68.2*FI18+2.52*LN(EP18)-51.1*FI18^2+34.8*FG18^2+0.384*(AH18)-518*LN(AH18)</f>
        <v>2.1604494270181931</v>
      </c>
      <c r="CE18" s="36">
        <f ca="1">1458+0.197*(AH18)-241*LN(AH18)+0.453*Q18+55.5*EP18+8.05*ER18-277*EW18+18*FB18+44.1*FF18+2.2*LN(FB18)-27.7*EQ18^2+97.3*GI18^2+30.7*GK18^2-27.6*FF18^2</f>
        <v>3.875650604655636</v>
      </c>
      <c r="CF18" s="36">
        <f ca="1">-57.9+0.0475*(AH18)-40.6*DD18-47.7*FC18+0.67*Q18-153*DG18*DA18+6.89*(EQ18/DC18)</f>
        <v>7.808893483357588</v>
      </c>
      <c r="CG18" s="36">
        <f ca="1">-273.15+(93100+544*AI18)/(61.1+36.6*EN18+10.9*ER18-0.95*(EQ18+EX18-EV18-EW18)+0.395*(LN(FT18))^2)</f>
        <v>1151.6941899432718</v>
      </c>
      <c r="CH18" s="48">
        <f ca="1">EXP(-0.107-1719/AH18)</f>
        <v>0.26522391022485453</v>
      </c>
      <c r="CJ18" s="36">
        <f>698.443+4.985*EO18-26.826*GJ18-3.764*EZ18+53.989*EP18+3.948*EN18+14.651*EX18-700.431*EU18-666.629*EV18-682.848*GK18-691.138*GI18-688.384*ES18-6.267*GK18^2-4.144*GI18^2</f>
        <v>1.1460946027634207</v>
      </c>
      <c r="CK18" s="36">
        <f>771.48+4.956*EO18-28.756*GJ18-5.345*EZ18+56.904*EP18+1.848*EN18+14.827*EX18-773.74*EU18-736.57*EV18-754.81*GK18-763.2*GI18-759.66*ES18-1.185*GK18^2-1.876*GI18^2</f>
        <v>0.9559260408480833</v>
      </c>
      <c r="CL18" s="36">
        <f ca="1">-273.15+(23166+39.28*AI18)/(13.25+15.35*EN18+4.5*ER18-1.55*(EQ18-EX18-EV18-EW18)+(LN(IF18))^2)</f>
        <v>885.28713770794332</v>
      </c>
      <c r="CM18" s="2"/>
      <c r="CN18" s="1">
        <f t="shared" si="12"/>
        <v>0.87377234984846297</v>
      </c>
      <c r="CO18" s="1">
        <f t="shared" si="12"/>
        <v>1.2268586909167389E-2</v>
      </c>
      <c r="CP18" s="1">
        <f>H18*2/CP$10</f>
        <v>0.37661458793067937</v>
      </c>
      <c r="CQ18" s="1">
        <f t="shared" si="13"/>
        <v>0.11190539818278994</v>
      </c>
      <c r="CR18" s="1">
        <f t="shared" si="13"/>
        <v>2.8193832599118945E-3</v>
      </c>
      <c r="CS18" s="1">
        <f t="shared" si="13"/>
        <v>0.12380782247099573</v>
      </c>
      <c r="CT18" s="1">
        <f t="shared" si="13"/>
        <v>0.17190525951631141</v>
      </c>
      <c r="CU18" s="1">
        <f t="shared" si="14"/>
        <v>0.1339165425652924</v>
      </c>
      <c r="CV18" s="1">
        <f t="shared" si="14"/>
        <v>4.458788058940932E-3</v>
      </c>
      <c r="CW18" s="1">
        <f t="shared" si="14"/>
        <v>0</v>
      </c>
      <c r="CX18" s="1">
        <f t="shared" si="14"/>
        <v>1.9727062006383114E-3</v>
      </c>
      <c r="CY18" s="1">
        <f>SUM(CN18:CX18)</f>
        <v>1.8134414249431905</v>
      </c>
      <c r="DA18" s="1">
        <f t="shared" si="15"/>
        <v>0.481831030123201</v>
      </c>
      <c r="DB18" s="1">
        <f t="shared" si="15"/>
        <v>6.7653615608520281E-3</v>
      </c>
      <c r="DC18" s="1">
        <f t="shared" si="15"/>
        <v>0.20767948870610892</v>
      </c>
      <c r="DD18" s="1">
        <f t="shared" si="15"/>
        <v>6.1708857338083359E-2</v>
      </c>
      <c r="DE18" s="1">
        <f t="shared" si="15"/>
        <v>1.5547142693071638E-3</v>
      </c>
      <c r="DF18" s="1">
        <f t="shared" si="15"/>
        <v>6.8272303019036987E-2</v>
      </c>
      <c r="DG18" s="1">
        <f t="shared" si="15"/>
        <v>9.4795043915850044E-2</v>
      </c>
      <c r="DH18" s="1">
        <f t="shared" si="15"/>
        <v>7.3846632553619743E-2</v>
      </c>
      <c r="DI18" s="1">
        <f t="shared" si="15"/>
        <v>2.458743909569956E-3</v>
      </c>
      <c r="DJ18" s="1">
        <f t="shared" si="15"/>
        <v>0</v>
      </c>
      <c r="DK18" s="1">
        <f t="shared" si="15"/>
        <v>1.0878246043707258E-3</v>
      </c>
      <c r="DL18" s="1">
        <f>SUM(DA18:DK18)</f>
        <v>0.99999999999999989</v>
      </c>
      <c r="DM18">
        <f t="shared" si="28"/>
        <v>52.524768075204399</v>
      </c>
      <c r="DN18" s="1">
        <f t="shared" si="16"/>
        <v>0.85047175385250395</v>
      </c>
      <c r="DO18" s="1">
        <f t="shared" si="16"/>
        <v>7.8869487273218932E-3</v>
      </c>
      <c r="DP18" s="1">
        <f t="shared" si="16"/>
        <v>4.3251831582663963E-2</v>
      </c>
      <c r="DQ18" s="1">
        <f t="shared" si="16"/>
        <v>7.8779173347585954E-2</v>
      </c>
      <c r="DR18" s="1">
        <f t="shared" si="16"/>
        <v>1.8325991189427314E-3</v>
      </c>
      <c r="DS18" s="1">
        <f t="shared" si="16"/>
        <v>0.38705451513978623</v>
      </c>
      <c r="DT18" s="1">
        <f t="shared" si="16"/>
        <v>0.40301440509010766</v>
      </c>
      <c r="DU18" s="1">
        <f t="shared" si="16"/>
        <v>3.7109403361466563E-3</v>
      </c>
      <c r="DV18" s="1">
        <f t="shared" si="16"/>
        <v>0</v>
      </c>
      <c r="DW18" s="1">
        <f t="shared" si="16"/>
        <v>1.7763368250413494E-3</v>
      </c>
      <c r="DX18" s="1">
        <f>SUM(DN18:DW18)</f>
        <v>1.7777785040201004</v>
      </c>
      <c r="DZ18" s="1">
        <f t="shared" si="17"/>
        <v>1.7009435077050079</v>
      </c>
      <c r="EA18" s="1">
        <f t="shared" si="17"/>
        <v>1.5773897454643786E-2</v>
      </c>
      <c r="EB18" s="1">
        <f>DP18*3</f>
        <v>0.12975549474799189</v>
      </c>
      <c r="EC18" s="1">
        <f t="shared" si="18"/>
        <v>7.8779173347585954E-2</v>
      </c>
      <c r="ED18" s="1">
        <f t="shared" si="18"/>
        <v>1.8325991189427314E-3</v>
      </c>
      <c r="EE18" s="1">
        <f t="shared" si="18"/>
        <v>0.38705451513978623</v>
      </c>
      <c r="EF18" s="1">
        <f t="shared" si="18"/>
        <v>0.40301440509010766</v>
      </c>
      <c r="EG18" s="1">
        <f t="shared" si="18"/>
        <v>3.7109403361466563E-3</v>
      </c>
      <c r="EH18" s="1">
        <f t="shared" si="18"/>
        <v>0</v>
      </c>
      <c r="EI18" s="1">
        <f>DW18*3</f>
        <v>5.3290104751240481E-3</v>
      </c>
      <c r="EJ18" s="1">
        <f>SUM(DZ18:EI18)</f>
        <v>2.7261935434153366</v>
      </c>
      <c r="EK18" s="1">
        <f>6/EJ18</f>
        <v>2.2008708862553044</v>
      </c>
      <c r="EM18" s="1">
        <f t="shared" si="19"/>
        <v>1.8717785226364634</v>
      </c>
      <c r="EN18" s="1">
        <f t="shared" si="19"/>
        <v>1.735815583535108E-2</v>
      </c>
      <c r="EO18" s="1">
        <f>2-EM18</f>
        <v>0.12822147736353662</v>
      </c>
      <c r="EP18" s="1">
        <f>IF(EQ18-EO18&lt;0,0,EQ18-EO18)</f>
        <v>6.2161916451468985E-2</v>
      </c>
      <c r="EQ18" s="1">
        <f>DP18*$EK18*2</f>
        <v>0.1903833938150056</v>
      </c>
      <c r="ER18" s="1">
        <f t="shared" si="20"/>
        <v>0.17338278906396176</v>
      </c>
      <c r="ES18" s="1">
        <f t="shared" si="20"/>
        <v>4.0333140470581791E-3</v>
      </c>
      <c r="ET18" s="1">
        <f t="shared" si="20"/>
        <v>0.85185701376481848</v>
      </c>
      <c r="EU18" s="1">
        <f t="shared" si="20"/>
        <v>0.88698267090431948</v>
      </c>
      <c r="EV18" s="1">
        <f t="shared" si="21"/>
        <v>1.6334601092911297E-2</v>
      </c>
      <c r="EW18" s="1">
        <f t="shared" si="21"/>
        <v>0</v>
      </c>
      <c r="EX18" s="1">
        <f t="shared" si="21"/>
        <v>7.8189760048333768E-3</v>
      </c>
      <c r="EY18" s="1">
        <f>EM18+EN18+EQ18+ER18+ES18+ET18+EU18+EV18+EW18+EX18</f>
        <v>4.0199294371647234</v>
      </c>
      <c r="EZ18" s="1">
        <f>IF(EV18+EO18-EP18-2*EN18-EX18&gt;0,EV18+EO18-EP18-2*EN18-EX18,0)</f>
        <v>3.9858874329443392E-2</v>
      </c>
      <c r="FA18" s="1">
        <f>12-48/EY18</f>
        <v>5.949190146615102E-2</v>
      </c>
      <c r="FB18" s="1">
        <f>IF(EV18&lt;EP18,EV18,EP18)</f>
        <v>1.6334601092911297E-2</v>
      </c>
      <c r="FC18" s="1">
        <f>IF(EP18&gt;EV18,EP18-EV18,0)</f>
        <v>4.5827315358557691E-2</v>
      </c>
      <c r="FD18" s="1">
        <f>IF(EO18&gt;FC18,(EO18-FC18)/2,0)</f>
        <v>4.1197081002489463E-2</v>
      </c>
      <c r="FE18" s="1">
        <f>EX18/2</f>
        <v>3.9094880024166884E-3</v>
      </c>
      <c r="FF18" s="2">
        <f>IF(EU18-FD18-FC18-FE18&gt;0,EU18-FD18-FC18-FE18,0)</f>
        <v>0.79604878654085576</v>
      </c>
      <c r="FG18" s="1">
        <f>((ER18+ET18)-FF18)/2</f>
        <v>0.1145955081439623</v>
      </c>
      <c r="FH18" s="1">
        <f>SUM(FB18:FG18)</f>
        <v>1.0179127801411931</v>
      </c>
      <c r="FI18" s="1">
        <f>EU18-FC18-FD18-FE18</f>
        <v>0.79604878654085576</v>
      </c>
      <c r="FJ18" s="1">
        <f>LN(FB18/(DA18^2*DH18*DC18))</f>
        <v>1.5233780948930093</v>
      </c>
      <c r="FK18" s="1">
        <f>LN(FB18*DG18*(DD18+DF18)/(FF18*DH18*DC18))</f>
        <v>-4.1052545821348989</v>
      </c>
      <c r="FL18" s="1">
        <f>LN((FB18*DG18*(DD18+DF18))/(DH18*DC18*FI18))</f>
        <v>-4.1052545821348989</v>
      </c>
      <c r="FM18" s="1">
        <f>DF18/(DF18+DD18)</f>
        <v>0.52524768075204398</v>
      </c>
      <c r="FN18" s="60">
        <f t="shared" ca="1" si="22"/>
        <v>1408.8075371298269</v>
      </c>
      <c r="FO18" s="60">
        <f t="shared" ca="1" si="22"/>
        <v>1.2637889101478059</v>
      </c>
      <c r="FP18" s="1">
        <f ca="1">(FN18)/10^4</f>
        <v>0.1408807537129827</v>
      </c>
      <c r="FQ18" s="2">
        <f ca="1">LN(ABS(BE18-FO18))</f>
        <v>1.5251101795807183</v>
      </c>
      <c r="FR18" s="2">
        <f ca="1">LN(ABS(BH18-FN18))</f>
        <v>5.896458126769005</v>
      </c>
      <c r="FS18" s="1">
        <f ca="1">1458+0.45*Q18+0.197*(D18+273.15)-241*LN(D18+273.15)+55.5*EP18+8.05*ER18-276.6*EW18+18.01*FB18+44.09*FI18+2.17*LN(FB18)+97.3*GI18^2+30.38*GK18^2-27.59*FI18^2-17.7*EQ18^2</f>
        <v>3.8068806557159292</v>
      </c>
      <c r="FT18" s="1">
        <f>(1-EU18-EV18-EW18)*(1-0.5*(EQ18+EX18+EV18+EW18))</f>
        <v>8.6311718200121498E-2</v>
      </c>
      <c r="FU18" s="2">
        <f t="shared" si="29"/>
        <v>83.088562443091433</v>
      </c>
      <c r="FV18" s="2">
        <f ca="1">2446.5+0.309*(D18+273.15)-400*LN(D18+273.15)-5.98*ET18-20.5*EV18+112*FB18+61.5*FC18+71.1*FI18+1.66*LN(FI18)-43.5*FI18^2+43*FG18^2-26.2*EQ18^2</f>
        <v>8.6151334212906665</v>
      </c>
      <c r="FW18" s="2">
        <f ca="1">EXP(-0.107-1719/(D18+273.15))</f>
        <v>0.26021588883744629</v>
      </c>
      <c r="FX18" s="2">
        <f>(ER18/ET18)/(DD18/DF18)</f>
        <v>0.22518337798188542</v>
      </c>
      <c r="FY18" s="1">
        <f>EU18+EV18+ES18</f>
        <v>0.90735058604428898</v>
      </c>
      <c r="FZ18" s="1">
        <f>EP18+EN18+EX18+EZ18</f>
        <v>0.12719792262109683</v>
      </c>
      <c r="GA18" s="1">
        <f>EXP(0.238*FZ18+0.289*FY18-2.3315)</f>
        <v>0.13015846946041909</v>
      </c>
      <c r="GB18" s="1">
        <f>1-EN18-EP18</f>
        <v>0.92047992771317999</v>
      </c>
      <c r="GC18" s="1">
        <f>(ER18-EZ18)+ET18-GB18</f>
        <v>6.4901000786156904E-2</v>
      </c>
      <c r="GD18" s="1">
        <f>ER18-EZ18</f>
        <v>0.13352391473451836</v>
      </c>
      <c r="GE18" s="1">
        <f>1-GA18</f>
        <v>0.86984153053958091</v>
      </c>
      <c r="GF18" s="1">
        <f>(GA18*ET18)-(GA18*(1-FY18))+GD18+(1-FY18)</f>
        <v>0.32499062788410116</v>
      </c>
      <c r="GG18" s="1">
        <f>-GD18*(1-FY18)</f>
        <v>-1.2370912449225453E-2</v>
      </c>
      <c r="GH18" s="1">
        <f>(-GF18+SQRT(GF18^2-4*GE18*GG18))/2*GE18</f>
        <v>2.6345882863133923E-2</v>
      </c>
      <c r="GI18" s="1">
        <f>GH18</f>
        <v>2.6345882863133923E-2</v>
      </c>
      <c r="GJ18" s="1">
        <f>GD18-GI18</f>
        <v>0.10717803187138443</v>
      </c>
      <c r="GK18" s="1">
        <f>1-FY18-GI18</f>
        <v>6.6303531092577098E-2</v>
      </c>
      <c r="GL18" s="1">
        <f>ET18-GK18</f>
        <v>0.78555348267224134</v>
      </c>
      <c r="GM18" s="1">
        <f>IF(1-FY18&gt;0,EU18,1-EV18-EW18-ES18)</f>
        <v>0.88698267090431948</v>
      </c>
      <c r="GN18" s="1">
        <f>IF(1-FY18&gt;0,EV18,IF(EU18&gt;0,EV18,1-ES18))</f>
        <v>1.6334601092911297E-2</v>
      </c>
      <c r="GO18" s="1">
        <f>11.864*GJ18+9.107*EZ18-18.375*EP18+11.794*EN18-1.4925*EX18+439.97*EU18+419.68*EV18+431.72*GK18+432.56*GI18+428.03*ES18-28.652*GK18^2-12.741*GI18^2</f>
        <v>439.39876571815984</v>
      </c>
      <c r="GP18" s="1">
        <f>-0.3085*EO18+0.813*GJ18-0.4173*EZ18-2.209*EP18-1.0864*EN18-0.8001*EX18+11.931*EU18+11.288*EV18+11.432*GK18+11.885*GI18+12.038*ES18+2.4355*GK18^2-1.661*GI18^2</f>
        <v>11.764701746792079</v>
      </c>
      <c r="GQ18" s="1">
        <f>3*(EZ18+EP18+EX18)+2*(GJ18+GL18)+4*EN18</f>
        <v>2.1844149527858931</v>
      </c>
      <c r="GR18" s="1">
        <f>32.9*(0.75*GQ18/6)*(10^-6)</f>
        <v>8.9834064933319844E-6</v>
      </c>
      <c r="GS18" s="1">
        <f>7500*GQ18/((1.4133+0.05601*GP18)^3)</f>
        <v>1841.0926848237059</v>
      </c>
      <c r="GT18" s="1">
        <f ca="1">GP18*((2+3*GR18*(D18-25))/(2-3*GR18*(D18-25))-1)</f>
        <v>0.35041754450844381</v>
      </c>
      <c r="GU18" s="2">
        <f ca="1">-57.9+0.0475*(FN18+273.15)-40.6*DD18-47.7*FC18+0.67*Q18-153*DA18*DG18+6.89*((EO18+EP18)/DC18)</f>
        <v>20.783518483357589</v>
      </c>
      <c r="GV18" s="4">
        <f t="shared" ca="1" si="30"/>
        <v>3.9400412653766343</v>
      </c>
      <c r="GW18" s="4">
        <f t="shared" ca="1" si="31"/>
        <v>3.5088329496210671</v>
      </c>
      <c r="GX18" s="4">
        <f>M18+N18</f>
        <v>4.3600000000000003</v>
      </c>
      <c r="GY18" s="4">
        <f>6*10^-5*(F18^3)-0.0166*(F18^2)+1.5751*F18-39.978</f>
        <v>5.6431875000000034</v>
      </c>
      <c r="GZ18" s="4">
        <f ca="1">IF(GX18&gt;GY18,GW18,GV18)</f>
        <v>3.9400412653766343</v>
      </c>
      <c r="HA18" s="1">
        <f t="shared" si="23"/>
        <v>439.39876571815984</v>
      </c>
      <c r="HB18" s="1">
        <f t="shared" si="23"/>
        <v>11.764701746792079</v>
      </c>
      <c r="HC18" s="4">
        <f>771.475-(1.323*HA18)-(16.064*HB18)</f>
        <v>1.1622640944065665</v>
      </c>
      <c r="HD18" s="4"/>
      <c r="HE18" s="6">
        <f>GI18+GJ18+ES18</f>
        <v>0.13755722878157653</v>
      </c>
      <c r="HF18" s="6">
        <f>GK18+GL18</f>
        <v>0.85185701376481848</v>
      </c>
      <c r="HG18" s="6">
        <f>IF(EV18&gt;EZ18,EZ18,EV18)</f>
        <v>1.6334601092911297E-2</v>
      </c>
      <c r="HH18" s="6">
        <f>EV18-HG18</f>
        <v>0</v>
      </c>
      <c r="HI18" s="6">
        <f>EZ18-HG18</f>
        <v>2.3524273236532094E-2</v>
      </c>
      <c r="HJ18" s="6">
        <f>IF(HH18&gt;EP18,EP18,HH18)</f>
        <v>0</v>
      </c>
      <c r="HK18" s="6">
        <f>HH18-HJ18</f>
        <v>0</v>
      </c>
      <c r="HL18" s="6">
        <f>EP18-HJ18</f>
        <v>6.2161916451468985E-2</v>
      </c>
      <c r="HM18" s="6">
        <f>HL18+EX18+2*EN18</f>
        <v>0.10469720412700452</v>
      </c>
      <c r="HN18" s="6">
        <f>HE18/(HE18+HF18)</f>
        <v>0.13902895558442124</v>
      </c>
      <c r="HO18" s="6">
        <f>(EU18-HM18-HI18)*(1-HN18)</f>
        <v>0.65327141726481885</v>
      </c>
      <c r="HP18" s="6">
        <f>(EU18-HM18-HI18)*HN18</f>
        <v>0.10548977627596395</v>
      </c>
      <c r="HQ18" s="6">
        <f>(1-HG18-HJ18-HI18-HM18-HO18-HP18)*(1-HN18)</f>
        <v>8.3241029305491585E-2</v>
      </c>
      <c r="HR18" s="6">
        <f>(1-HG18-HJ18-HI18-HM18-HO18-HP18)*HN18</f>
        <v>1.3441698697277691E-2</v>
      </c>
      <c r="HS18" s="6">
        <f>HJ18+HG18</f>
        <v>1.6334601092911297E-2</v>
      </c>
      <c r="HT18" s="6"/>
      <c r="HU18" s="15">
        <f>(-0.000000872*HO18)-(0.000000749*HQ18)-(0.000000993*HP18)-(0.00000087*(HM18+HI18))-(0.00000086*HS18)-(0.00000087*HR18)</f>
        <v>-8.7404627475957961E-7</v>
      </c>
      <c r="HV18" s="15">
        <f>(0.000000000001707*HO18)+(0.000000000000447*HQ18)+(0.0000000000014835*HP18)+(0.000000000002171*(HM18+HI18))+(0.000000000002149*HS18)+(0.0000000000002235*HR18)</f>
        <v>1.6253132372397391E-12</v>
      </c>
      <c r="HW18" s="15">
        <f>(0.000027795*HO18)+(0.000024656*HQ18)+(0.000031371*HP18)+(0.00002225*(HM18+HI18))+(0.000023118*HS18)+(0.000028232*HR18)</f>
        <v>2.712942685001127E-5</v>
      </c>
      <c r="HX18" s="15">
        <f>(0.0000000083082*HO18)+(0.000000007467*HQ18)+(0.0000000083672*HP18)+(0.0000000052863*(HM18+HI18))+(0.0000000025785*HS18)+(0.000000007526*HR18)</f>
        <v>7.7528225999005693E-9</v>
      </c>
      <c r="HY18" s="6">
        <f>GQ18</f>
        <v>2.1844149527858931</v>
      </c>
      <c r="HZ18" s="6">
        <f t="shared" ca="1" si="32"/>
        <v>456.41849916636613</v>
      </c>
      <c r="IA18" s="6">
        <f t="shared" ca="1" si="33"/>
        <v>3.9400412653766343</v>
      </c>
      <c r="IB18" s="6">
        <f t="shared" ca="1" si="34"/>
        <v>456.4186647717197</v>
      </c>
      <c r="IC18" s="6">
        <f t="shared" ca="1" si="35"/>
        <v>3.5088329496210671</v>
      </c>
      <c r="ID18" s="6">
        <f t="shared" ca="1" si="36"/>
        <v>3.9400412653766343</v>
      </c>
      <c r="IE18" s="6"/>
      <c r="IF18" s="2">
        <f>(1-EU18-EV18-EW18)*(1-0.5*(EQ18+EX18+EV18+EW18))</f>
        <v>8.6311718200121498E-2</v>
      </c>
      <c r="IG18" s="16">
        <f ca="1">D18-25</f>
        <v>1088.9864189380728</v>
      </c>
      <c r="IH18" s="16"/>
      <c r="II18" s="6">
        <f>1.4133+(0.05601*HB18)</f>
        <v>2.0722409448378243</v>
      </c>
      <c r="IJ18" s="16">
        <f>(7500*HY18)/II18^3</f>
        <v>1841.0926848237059</v>
      </c>
      <c r="IK18" s="15">
        <f>0.0000329*(0.75-HY18/6)</f>
        <v>1.2697124675557353E-5</v>
      </c>
      <c r="IM18" s="1">
        <f t="shared" ref="IM18:IM19" si="41">SUM(IN18:IP18)</f>
        <v>1</v>
      </c>
      <c r="IN18" s="1">
        <f t="shared" ref="IN18:IN19" si="42">ET18/(ER18+ET18+EU18)</f>
        <v>0.4454800764378618</v>
      </c>
      <c r="IO18" s="1">
        <f t="shared" ref="IO18:IO19" si="43">ER18/(ER18+ET18+EU18)</f>
        <v>9.0670824888632609E-2</v>
      </c>
      <c r="IP18" s="1">
        <f t="shared" ref="IP18:IP19" si="44">EU18/(EU18+ET18+ER18)</f>
        <v>0.46384909867350554</v>
      </c>
      <c r="IR18" s="141">
        <f t="shared" ref="IR18:IR19" si="45">IO18/(COS(RADIANS(30)))+IP18*TAN(RADIANS(30))</f>
        <v>0.3725010522967086</v>
      </c>
      <c r="IS18" s="141">
        <f t="shared" ref="IS18:IS19" si="46">IP18</f>
        <v>0.46384909867350554</v>
      </c>
      <c r="IU18" s="3">
        <v>0</v>
      </c>
      <c r="IV18" s="3">
        <v>0.9</v>
      </c>
      <c r="IW18" s="3">
        <v>0.1</v>
      </c>
      <c r="IX18" s="3"/>
      <c r="IY18" s="141">
        <f t="shared" ref="IY18:IY19" si="47">IV18/(COS(RADIANS(30)))+IW18*TAN(RADIANS(30))</f>
        <v>1.0969655114602888</v>
      </c>
      <c r="IZ18" s="141">
        <f t="shared" ref="IZ18:IZ19" si="48">IW18</f>
        <v>0.1</v>
      </c>
    </row>
    <row r="19" spans="1:260">
      <c r="A19" t="s">
        <v>201</v>
      </c>
      <c r="B19" t="s">
        <v>205</v>
      </c>
      <c r="C19" s="22">
        <f t="shared" si="24"/>
        <v>2</v>
      </c>
      <c r="D19" s="99">
        <f ca="1">AK19-273.15</f>
        <v>1034.5076545409379</v>
      </c>
      <c r="E19" s="14">
        <f ca="1">BL19-BT19</f>
        <v>8.5955901826140213E-3</v>
      </c>
      <c r="F19" s="106">
        <v>56.2</v>
      </c>
      <c r="G19" s="106">
        <v>0.34</v>
      </c>
      <c r="H19" s="106">
        <v>20.399999999999999</v>
      </c>
      <c r="I19" s="106">
        <v>5.88</v>
      </c>
      <c r="J19" s="106">
        <v>0.2</v>
      </c>
      <c r="K19" s="114">
        <v>2.58</v>
      </c>
      <c r="L19" s="106">
        <v>7.18</v>
      </c>
      <c r="M19" s="106">
        <v>6.02</v>
      </c>
      <c r="N19" s="106">
        <v>1.02</v>
      </c>
      <c r="O19" s="106">
        <v>0</v>
      </c>
      <c r="P19" s="106">
        <v>0.23</v>
      </c>
      <c r="Q19" s="106">
        <v>6.2</v>
      </c>
      <c r="R19" s="102">
        <f ca="1">0.7996+15.347*(AI19/10)^0.5-0.00233*(AH19-273.15)+0.06248*(N19+M19)</f>
        <v>5.1717845930272901</v>
      </c>
      <c r="T19" s="106">
        <v>51</v>
      </c>
      <c r="U19" s="106">
        <v>0.56000000000000005</v>
      </c>
      <c r="V19" s="106">
        <v>4.1399999999999997</v>
      </c>
      <c r="W19" s="106">
        <v>7.33</v>
      </c>
      <c r="X19" s="106">
        <v>0.2</v>
      </c>
      <c r="Y19" s="106">
        <v>14.4</v>
      </c>
      <c r="Z19" s="106">
        <v>22.4</v>
      </c>
      <c r="AA19" s="106">
        <v>0.31</v>
      </c>
      <c r="AB19" s="106">
        <v>0</v>
      </c>
      <c r="AC19" s="106">
        <v>0.09</v>
      </c>
      <c r="AE19" s="98">
        <f ca="1">10^4/(7.53-0.14*FK19+0.07*Q19-14.9*DG19*DA19-0.08*LN(DB19)-3.62*(DH19+DI19)-1.1*DF19/(DF19+DD19)-0.18*LN(FG19)-0.027*AG19)</f>
        <v>1246.895515051508</v>
      </c>
      <c r="AF19" s="140">
        <f t="shared" ref="AF19" ca="1" si="49">AE19-273.15</f>
        <v>973.74551505150805</v>
      </c>
      <c r="AG19" s="140">
        <f ca="1">-26.2712+39.16138*AE19*FJ19/10^4-4.21676*LN(FI19)+78.43463*DC19+393.8126*(DH19+DI19)^2</f>
        <v>3.5815691040872855</v>
      </c>
      <c r="AH19" s="80">
        <f ca="1">AX19</f>
        <v>1373.639596331624</v>
      </c>
      <c r="AI19" s="80">
        <f ca="1">AZ19</f>
        <v>1.7918736119682093</v>
      </c>
      <c r="AJ19" s="80"/>
      <c r="AK19" s="80">
        <f t="shared" ca="1" si="11"/>
        <v>1307.657654540938</v>
      </c>
      <c r="AL19" s="80">
        <f t="shared" ca="1" si="11"/>
        <v>-1.0028907061719696</v>
      </c>
      <c r="AM19" s="80"/>
      <c r="AN19" s="80">
        <f ca="1">10^4/(7.53-0.14*FK19+0.07*Q19-14.9*DG19*DA19-0.08*LN(DB19)-3.62*(DH19+DI19)-1.1*DF19/(DF19+DD19)-0.18*LN(FG19)-0.027*AP19)</f>
        <v>1217.3533398358118</v>
      </c>
      <c r="AO19" s="80">
        <f t="shared" ca="1" si="25"/>
        <v>944.20333983581179</v>
      </c>
      <c r="AP19" s="80">
        <f ca="1">IF(ABS(FB19)&gt;0,-54.3+299*(AN19)/10^4+36.4*(AN19)*FJ19/10^4+367*DH19*DC19,0)</f>
        <v>-3.6267165877393417</v>
      </c>
      <c r="AQ19" s="80"/>
      <c r="AR19" s="80">
        <f ca="1">10^4/(6.39+0.076*Q19-5.55*DG19*DA19-0.386*LN(DF19)-0.046*AT19+2.2*10^-4*(AT19^2))</f>
        <v>1234.4104991632109</v>
      </c>
      <c r="AS19" s="80">
        <f t="shared" ca="1" si="26"/>
        <v>961.26049916321097</v>
      </c>
      <c r="AT19" s="36">
        <f t="shared" ca="1" si="27"/>
        <v>-3.0353289735074291</v>
      </c>
      <c r="AV19" s="36">
        <f t="shared" ref="AV19" si="50">IF(ABS(FB19)&gt;0,10^4/(6.73-0.26*FK19-0.86*LN(FM19)+0.52*LN(DG19)),0)</f>
        <v>1359.0062272359787</v>
      </c>
      <c r="AW19" s="36">
        <f t="shared" ref="AW19" si="51">IF(AV19&gt;0,AV19-273.15,0)</f>
        <v>1085.8562272359786</v>
      </c>
      <c r="AX19" s="36">
        <f ca="1">IF(ABS(FB19)&gt;0,10^4/(6.59-0.16*FK19-0.65*LN(FM19)+0.23*LN(DG19)-0.02*AZ19),0)</f>
        <v>1373.639596331624</v>
      </c>
      <c r="AY19" s="36">
        <f t="shared" ref="AY19" ca="1" si="52">IF(AX19&gt;0,AX19-273.15,0)</f>
        <v>1100.4895963316239</v>
      </c>
      <c r="AZ19" s="36">
        <f ca="1">IF(ABS(FB19)&gt;0,-54.3+299*(AX19)/10^4+36.4*(AX19)*FJ19/10^4+367*DH19*DC19,0)</f>
        <v>1.7918736119682093</v>
      </c>
      <c r="BA19" s="36"/>
      <c r="BB19" s="36">
        <f ca="1">IF(ABS(FB19)&gt;0,10^4/(4.6-0.437*FL19-0.654*LN(FM19)-0.326*LN(DH19)-0.92*LN(DA19)+0.274*LN(FB19)-0.00632*BC19),0)</f>
        <v>1307.657654540938</v>
      </c>
      <c r="BC19" s="36">
        <f ca="1">IF(ABS(FB19)&gt;0,-88.3+0.00282*(BB19)*FJ19+0.0219*(BB19)-25.1*LN(DG19*DA19)+12.4*LN(DG19)+7.03*FM19,0)</f>
        <v>-1.0028907061719696</v>
      </c>
      <c r="BD19" s="36">
        <f t="shared" ref="BD19" ca="1" si="53">BB19-273.15</f>
        <v>1034.5076545409379</v>
      </c>
      <c r="BE19" s="36">
        <f ca="1">-48.7+271.3*AH19/10^4+31.96*(AH19/10^4)*FJ19-8.2*LN(DD19)+4.6*LN(DF19)-0.96*LN(DI19)-2.2*LN(FI19)-31*FM19+56.2*(DH19+DI19)+0.76*Q19</f>
        <v>6.8400750927357681</v>
      </c>
      <c r="BF19" s="36">
        <f ca="1">-40.73+358*AH19/10^4+21.7*(AH19/10^4)*FJ19-106*DG19-166*(DH19+DI19)^2-50.2*DA19*(DD19+DF19)-3.2*LN(FI19)-2.2*LN(FG19)+0.86*LN(EQ19)+0.4*Q19</f>
        <v>7.2486860825286445</v>
      </c>
      <c r="BG19" s="36">
        <f ca="1">-273.15+10^4/(7.53+0.07*Q19-1.1*FM19-14.9*DG19*DA19-0.08*LN(DB19)-3.62*(DH19+DI19)-0.18*LN(FG19)-0.026*AI19-0.14*FL19)</f>
        <v>966.00248637975949</v>
      </c>
      <c r="BH19" s="36">
        <f ca="1">-273.15+10^4/(6.39+0.076*Q19-5.55*DG19*DA19-0.386*LN(DF19)-0.046*FO19+2.2*10^-4*AI19^2)</f>
        <v>996.26231263617649</v>
      </c>
      <c r="BI19" s="36">
        <f ca="1">-273.15+10^4/(6.39+0.076*Q19-5.55*(DG19*DA19)-0.386*LN(DF19)-0.046*AI19+0.00022*AI19^2)</f>
        <v>996.26231263617649</v>
      </c>
      <c r="BJ19" s="36">
        <f ca="1">10^4/(3.12-0.0259*BC19-0.37*LN(DF19/(DF19+DD19))+0.47*LN(DG19*(DF19+DD19)*DA19^2)-0.78*LN((DF19+DD19)^2*DA19^2)-0.34*LN(DG19*DC19^2*DA19))-273.15</f>
        <v>1051.6922627717481</v>
      </c>
      <c r="BK19" s="62">
        <f ca="1">EXP(-9.8+0.24*LN(DG19*(DD19+DF19)*DA19^2)+17558/AE19+8.7*LN(AE19/1670)-4.61*10^3*(FG19^2/AE19))</f>
        <v>1.1353673458986895</v>
      </c>
      <c r="BL19" s="62">
        <f ca="1">EXP(-0.482-0.439*LN(DA19)+101.03*(DH19+DI19)^3-51.69*AG19/AE19-3742.5*FG19^2/AE19)</f>
        <v>0.81528921480177019</v>
      </c>
      <c r="BM19" s="62">
        <f ca="1">EXP(-6.96+18438/AE19+8*LN(AE19/1670)+0.66*LN((DD19+DF19)^2*DA19^2)-5.1*10^3*(FF19^2/AE19)+1.81*LN(DA19))</f>
        <v>7.2428622266528866E-2</v>
      </c>
      <c r="BN19" s="62">
        <f ca="1">EXP(2.58+0.12*AI19/AN19-9*10^-7*AI19^2/AN19+0.78*LN(DG19*DC19^2*DA19)-4.3*10^3*(FF19^2/AN19))</f>
        <v>9.1163349941311023E-3</v>
      </c>
      <c r="BO19" s="62">
        <f ca="1">EXP(-1.06+0.23*AI19/AN19-6*10^-7*AI19^2/AN19+1.02*LN(DH19*DC19*DA19^2)-0.8*LN(DC19)-2.2*LN(DA19))</f>
        <v>2.7937710393484964E-2</v>
      </c>
      <c r="BP19" s="62">
        <f ca="1">EXP(5.1+0.52*LN(DG19*DB19*DC19^2)+2.04*10^3*FF19^2/AN19-6.2*DA19+42.5*DH19*DC19-45.1*(DD19+DF19)*DC19)</f>
        <v>5.5408062065709904E-2</v>
      </c>
      <c r="BQ19" s="62">
        <f t="shared" ref="BQ19" si="54">EXP(12.8)*DG19*DJ19^2*DA19</f>
        <v>0</v>
      </c>
      <c r="BR19" s="36">
        <f t="shared" ref="BR19" ca="1" si="55">SUM(BL19:BQ19)</f>
        <v>0.98017994452162505</v>
      </c>
      <c r="BS19" s="47"/>
      <c r="BT19" s="62">
        <f t="shared" ref="BT19" si="56">FF19</f>
        <v>0.80669362461915617</v>
      </c>
      <c r="BU19" s="62">
        <f t="shared" ref="BU19" si="57">FG19</f>
        <v>0.10665186218694606</v>
      </c>
      <c r="BV19" s="62">
        <f t="shared" ref="BV19" si="58">FC19</f>
        <v>4.3110290586671068E-2</v>
      </c>
      <c r="BW19" s="62">
        <f t="shared" ref="BW19" si="59">FB19</f>
        <v>2.2215002217011448E-2</v>
      </c>
      <c r="BX19" s="62">
        <f t="shared" ref="BX19" si="60">FD19</f>
        <v>3.595277320074379E-2</v>
      </c>
      <c r="BY19" s="62">
        <f t="shared" ref="BY19" si="61">FE19</f>
        <v>1.3149298975326765E-3</v>
      </c>
      <c r="BZ19" s="62">
        <f t="shared" ref="BZ19" si="62">SUM(BT19:BY19)</f>
        <v>1.0159384827080611</v>
      </c>
      <c r="CA19" s="62">
        <f>(ER19/ET19)/($G$8*DD19/DF19)</f>
        <v>0.22334892290249428</v>
      </c>
      <c r="CB19" s="47"/>
      <c r="CC19" s="36"/>
      <c r="CD19" s="36">
        <f ca="1">3205-5.62*ET19+83.2*EV19+68.2*FI19+2.52*LN(EP19)-51.1*FI19^2+34.8*FG19^2+0.384*(AH19)-518*LN(AH19)</f>
        <v>2.4865789361983843</v>
      </c>
      <c r="CE19" s="36">
        <f ca="1">1458+0.197*(AH19)-241*LN(AH19)+0.453*Q19+55.5*EP19+8.05*ER19-277*EW19+18*FB19+44.1*FF19+2.2*LN(FB19)-27.7*EQ19^2+97.3*GI19^2+30.7*GK19^2-27.6*FF19^2</f>
        <v>4.5040358741330735</v>
      </c>
      <c r="CF19" s="36">
        <f ca="1">-57.9+0.0475*(AH19)-40.6*DD19-47.7*FC19+0.67*Q19-153*DG19*DA19+6.89*(EQ19/DC19)</f>
        <v>7.8974324807345813</v>
      </c>
      <c r="CG19" s="36">
        <f ca="1">-273.15+(93100+544*AI19)/(61.1+36.6*EN19+10.9*ER19-0.95*(EQ19+EX19-EV19-EW19)+0.395*(LN(FT19))^2)</f>
        <v>1142.1074879083444</v>
      </c>
      <c r="CH19" s="48">
        <f ca="1">EXP(-0.107-1719/AH19)</f>
        <v>0.25706663342392488</v>
      </c>
      <c r="CJ19" s="36">
        <f t="shared" ref="CJ19" si="63">698.443+4.985*EO19-26.826*GJ19-3.764*EZ19+53.989*EP19+3.948*EN19+14.651*EX19-700.431*EU19-666.629*EV19-682.848*GK19-691.138*GI19-688.384*ES19-6.267*GK19^2-4.144*GI19^2</f>
        <v>-0.1392070298915197</v>
      </c>
      <c r="CK19" s="36">
        <f t="shared" ref="CK19" si="64">771.48+4.956*EO19-28.756*GJ19-5.345*EZ19+56.904*EP19+1.848*EN19+14.827*EX19-773.74*EU19-736.57*EV19-754.81*GK19-763.2*GI19-759.66*ES19-1.185*GK19^2-1.876*GI19^2</f>
        <v>-0.40685688956204485</v>
      </c>
      <c r="CL19" s="36">
        <f ca="1">-273.15+(23166+39.28*AI19)/(13.25+15.35*EN19+4.5*ER19-1.55*(EQ19-EX19-EV19-EW19)+(LN(IF19))^2)</f>
        <v>857.07575045431724</v>
      </c>
      <c r="CM19" s="2"/>
      <c r="CN19" s="1">
        <f t="shared" si="12"/>
        <v>0.93535249640921181</v>
      </c>
      <c r="CO19" s="1">
        <f t="shared" si="12"/>
        <v>4.2564485195070532E-3</v>
      </c>
      <c r="CP19" s="1">
        <f>H19*2/CP$10</f>
        <v>0.40015299967634682</v>
      </c>
      <c r="CQ19" s="1">
        <f t="shared" si="13"/>
        <v>8.1841261357562797E-2</v>
      </c>
      <c r="CR19" s="1">
        <f t="shared" si="13"/>
        <v>2.8193832599118945E-3</v>
      </c>
      <c r="CS19" s="1">
        <f t="shared" si="13"/>
        <v>6.4012862119272332E-2</v>
      </c>
      <c r="CT19" s="1">
        <f t="shared" si="13"/>
        <v>0.12803731984721117</v>
      </c>
      <c r="CU19" s="1">
        <f t="shared" si="14"/>
        <v>0.19425965933567713</v>
      </c>
      <c r="CV19" s="1">
        <f t="shared" si="14"/>
        <v>2.1656970571998811E-2</v>
      </c>
      <c r="CW19" s="1">
        <f t="shared" si="14"/>
        <v>0</v>
      </c>
      <c r="CX19" s="1">
        <f t="shared" si="14"/>
        <v>3.2408744724772257E-3</v>
      </c>
      <c r="CY19" s="1">
        <f t="shared" ref="CY19" si="65">SUM(CN19:CX19)</f>
        <v>1.8356302755691771</v>
      </c>
      <c r="DA19" s="1">
        <f t="shared" si="15"/>
        <v>0.50955386215733744</v>
      </c>
      <c r="DB19" s="1">
        <f t="shared" si="15"/>
        <v>2.3187940274014321E-3</v>
      </c>
      <c r="DC19" s="1">
        <f t="shared" si="15"/>
        <v>0.21799215506634126</v>
      </c>
      <c r="DD19" s="1">
        <f t="shared" si="15"/>
        <v>4.4584828680811629E-2</v>
      </c>
      <c r="DE19" s="1">
        <f t="shared" si="15"/>
        <v>1.5359210933899438E-3</v>
      </c>
      <c r="DF19" s="1">
        <f t="shared" si="15"/>
        <v>3.4872415742556735E-2</v>
      </c>
      <c r="DG19" s="1">
        <f t="shared" si="15"/>
        <v>6.9751148448186501E-2</v>
      </c>
      <c r="DH19" s="1">
        <f t="shared" si="15"/>
        <v>0.10582722562442085</v>
      </c>
      <c r="DI19" s="1">
        <f t="shared" si="15"/>
        <v>1.1798111449912534E-2</v>
      </c>
      <c r="DJ19" s="1">
        <f t="shared" si="15"/>
        <v>0</v>
      </c>
      <c r="DK19" s="1">
        <f t="shared" si="15"/>
        <v>1.7655377096416228E-3</v>
      </c>
      <c r="DL19" s="1">
        <f t="shared" ref="DL19" si="66">SUM(DA19:DK19)</f>
        <v>0.99999999999999989</v>
      </c>
      <c r="DM19">
        <f t="shared" si="28"/>
        <v>43.888277268649858</v>
      </c>
      <c r="DN19" s="1">
        <f t="shared" si="16"/>
        <v>0.84880742556707822</v>
      </c>
      <c r="DO19" s="1">
        <f t="shared" si="16"/>
        <v>7.0106210909527946E-3</v>
      </c>
      <c r="DP19" s="1">
        <f t="shared" si="16"/>
        <v>4.0603760261276371E-2</v>
      </c>
      <c r="DQ19" s="1">
        <f t="shared" si="16"/>
        <v>0.10202320505968288</v>
      </c>
      <c r="DR19" s="1">
        <f t="shared" si="16"/>
        <v>2.8193832599118945E-3</v>
      </c>
      <c r="DS19" s="1">
        <f t="shared" si="16"/>
        <v>0.35728109089826421</v>
      </c>
      <c r="DT19" s="1">
        <f t="shared" si="16"/>
        <v>0.39944790593001817</v>
      </c>
      <c r="DU19" s="1">
        <f t="shared" si="16"/>
        <v>5.0017021921976669E-3</v>
      </c>
      <c r="DV19" s="1">
        <f t="shared" si="16"/>
        <v>0</v>
      </c>
      <c r="DW19" s="1">
        <f t="shared" si="16"/>
        <v>5.9211227501378301E-4</v>
      </c>
      <c r="DX19" s="1">
        <f t="shared" ref="DX19" si="67">SUM(DN19:DW19)</f>
        <v>1.763587206534396</v>
      </c>
      <c r="DZ19" s="1">
        <f t="shared" ref="DZ19" si="68">DN19*2</f>
        <v>1.6976148511341564</v>
      </c>
      <c r="EA19" s="1">
        <f t="shared" ref="EA19" si="69">DO19*2</f>
        <v>1.4021242181905589E-2</v>
      </c>
      <c r="EB19" s="1">
        <f t="shared" ref="EB19" si="70">DP19*3</f>
        <v>0.12181128078382911</v>
      </c>
      <c r="EC19" s="1">
        <f t="shared" ref="EC19" si="71">DQ19</f>
        <v>0.10202320505968288</v>
      </c>
      <c r="ED19" s="1">
        <f t="shared" ref="ED19" si="72">DR19</f>
        <v>2.8193832599118945E-3</v>
      </c>
      <c r="EE19" s="1">
        <f t="shared" ref="EE19" si="73">DS19</f>
        <v>0.35728109089826421</v>
      </c>
      <c r="EF19" s="1">
        <f t="shared" ref="EF19" si="74">DT19</f>
        <v>0.39944790593001817</v>
      </c>
      <c r="EG19" s="1">
        <f t="shared" ref="EG19" si="75">DU19</f>
        <v>5.0017021921976669E-3</v>
      </c>
      <c r="EH19" s="1">
        <f t="shared" ref="EH19" si="76">DV19</f>
        <v>0</v>
      </c>
      <c r="EI19" s="1">
        <f t="shared" ref="EI19" si="77">DW19*3</f>
        <v>1.7763368250413489E-3</v>
      </c>
      <c r="EJ19" s="1">
        <f t="shared" ref="EJ19" si="78">SUM(DZ19:EI19)</f>
        <v>2.701796998265007</v>
      </c>
      <c r="EK19" s="1">
        <f t="shared" ref="EK19" si="79">6/EJ19</f>
        <v>2.220744195012792</v>
      </c>
      <c r="EM19" s="1">
        <f t="shared" si="19"/>
        <v>1.8849841630118414</v>
      </c>
      <c r="EN19" s="1">
        <f t="shared" si="19"/>
        <v>1.5568796091167665E-2</v>
      </c>
      <c r="EO19" s="1">
        <f t="shared" ref="EO19" si="80">2-EM19</f>
        <v>0.11501583698815865</v>
      </c>
      <c r="EP19" s="1">
        <f t="shared" ref="EP19" si="81">IF(EQ19-EO19&lt;0,0,EQ19-EO19)</f>
        <v>6.5325292803682516E-2</v>
      </c>
      <c r="EQ19" s="1">
        <f>DP19*$EK19*2</f>
        <v>0.18034112979184116</v>
      </c>
      <c r="ER19" s="1">
        <f t="shared" si="20"/>
        <v>0.22656744039289045</v>
      </c>
      <c r="ES19" s="1">
        <f t="shared" si="20"/>
        <v>6.2611290079655811E-3</v>
      </c>
      <c r="ET19" s="1">
        <f t="shared" si="20"/>
        <v>0.79342990860015794</v>
      </c>
      <c r="EU19" s="1">
        <f t="shared" si="20"/>
        <v>0.88707161830410364</v>
      </c>
      <c r="EV19" s="1">
        <f t="shared" si="21"/>
        <v>2.2215002217011448E-2</v>
      </c>
      <c r="EW19" s="1">
        <f t="shared" si="21"/>
        <v>0</v>
      </c>
      <c r="EX19" s="1">
        <f t="shared" si="21"/>
        <v>2.629859795065353E-3</v>
      </c>
      <c r="EY19" s="1">
        <f t="shared" ref="EY19" si="82">EM19+EN19+EQ19+ER19+ES19+ET19+EU19+EV19+EW19+EX19</f>
        <v>4.0190690472120441</v>
      </c>
      <c r="EZ19" s="1">
        <f t="shared" ref="EZ19" si="83">IF(EV19+EO19-EP19-2*EN19-EX19&gt;0,EV19+EO19-EP19-2*EN19-EX19,0)</f>
        <v>3.8138094424086895E-2</v>
      </c>
      <c r="FA19" s="1">
        <f t="shared" ref="FA19" si="84">12-48/EY19</f>
        <v>5.6935714180690766E-2</v>
      </c>
      <c r="FB19" s="1">
        <f t="shared" ref="FB19" si="85">IF(EV19&lt;EP19,EV19,EP19)</f>
        <v>2.2215002217011448E-2</v>
      </c>
      <c r="FC19" s="1">
        <f t="shared" ref="FC19" si="86">IF(EP19&gt;EV19,EP19-EV19,0)</f>
        <v>4.3110290586671068E-2</v>
      </c>
      <c r="FD19" s="1">
        <f t="shared" ref="FD19" si="87">IF(EO19&gt;FC19,(EO19-FC19)/2,0)</f>
        <v>3.595277320074379E-2</v>
      </c>
      <c r="FE19" s="1">
        <f t="shared" ref="FE19" si="88">EX19/2</f>
        <v>1.3149298975326765E-3</v>
      </c>
      <c r="FF19" s="2">
        <f t="shared" ref="FF19" si="89">IF(EU19-FD19-FC19-FE19&gt;0,EU19-FD19-FC19-FE19,0)</f>
        <v>0.80669362461915617</v>
      </c>
      <c r="FG19" s="1">
        <f t="shared" ref="FG19" si="90">((ER19+ET19)-FF19)/2</f>
        <v>0.10665186218694606</v>
      </c>
      <c r="FH19" s="1">
        <f t="shared" ref="FH19" si="91">SUM(FB19:FG19)</f>
        <v>1.0159384827080613</v>
      </c>
      <c r="FI19" s="1">
        <f t="shared" ref="FI19" si="92">EU19-FC19-FD19-FE19</f>
        <v>0.80669362461915617</v>
      </c>
      <c r="FJ19" s="1">
        <f t="shared" ref="FJ19" si="93">LN(FB19/(DA19^2*DH19*DC19))</f>
        <v>1.3106956539782686</v>
      </c>
      <c r="FK19" s="1">
        <f t="shared" ref="FK19" si="94">LN(FB19*DG19*(DD19+DF19)/(FF19*DH19*DC19))</f>
        <v>-5.018290049490755</v>
      </c>
      <c r="FL19" s="1">
        <f t="shared" ref="FL19" si="95">LN((FB19*DG19*(DD19+DF19))/(DH19*DC19*FI19))</f>
        <v>-5.018290049490755</v>
      </c>
      <c r="FM19" s="1">
        <f t="shared" ref="FM19" si="96">DF19/(DF19+DD19)</f>
        <v>0.43888277268649861</v>
      </c>
      <c r="FN19" s="60">
        <f t="shared" ca="1" si="22"/>
        <v>1373.639596331624</v>
      </c>
      <c r="FO19" s="60">
        <f t="shared" ca="1" si="22"/>
        <v>1.7918736119682093</v>
      </c>
      <c r="FP19" s="1">
        <f t="shared" ref="FP19" ca="1" si="97">(FN19)/10^4</f>
        <v>0.13736395963316239</v>
      </c>
      <c r="FQ19" s="2">
        <f ca="1">LN(ABS(BE19-FO19))</f>
        <v>1.619032037431229</v>
      </c>
      <c r="FR19" s="2">
        <f ca="1">LN(ABS(BH19-FN19))</f>
        <v>5.9332454395368739</v>
      </c>
      <c r="FS19" s="1">
        <f ca="1">1458+0.45*Q19+0.197*(D19+273.15)-241*LN(D19+273.15)+55.5*EP19+8.05*ER19-276.6*EW19+18.01*FB19+44.09*FI19+2.17*LN(FB19)+97.3*GI19^2+30.38*GK19^2-27.59*FI19^2-17.7*EQ19^2</f>
        <v>3.7877048602701255</v>
      </c>
      <c r="FT19" s="1">
        <f t="shared" ref="FT19" si="98">(1-EU19-EV19-EW19)*(1-0.5*(EQ19+EX19+EV19+EW19))</f>
        <v>8.140682210975482E-2</v>
      </c>
      <c r="FU19" s="2">
        <f t="shared" si="29"/>
        <v>77.78744811282499</v>
      </c>
      <c r="FV19" s="2">
        <f ca="1">2446.5+0.309*(D19+273.15)-400*LN(D19+273.15)-5.98*ET19-20.5*EV19+112*FB19+61.5*FC19+71.1*FI19+1.66*LN(FI19)-43.5*FI19^2+43*FG19^2-26.2*EQ19^2</f>
        <v>8.4368663616092778</v>
      </c>
      <c r="FW19" s="2">
        <f ca="1">EXP(-0.107-1719/(D19+273.15))</f>
        <v>0.24133621203380115</v>
      </c>
      <c r="FX19" s="2">
        <f t="shared" ref="FX19" si="99">(ER19/ET19)/(DD19/DF19)</f>
        <v>0.22334892290249428</v>
      </c>
      <c r="FY19" s="1">
        <f t="shared" ref="FY19" si="100">EU19+EV19+ES19</f>
        <v>0.91554774952908069</v>
      </c>
      <c r="FZ19" s="1">
        <f t="shared" ref="FZ19" si="101">EP19+EN19+EX19+EZ19</f>
        <v>0.12166204311400244</v>
      </c>
      <c r="GA19" s="1">
        <f t="shared" ref="GA19" si="102">EXP(0.238*FZ19+0.289*FY19-2.3315)</f>
        <v>0.13029539537400914</v>
      </c>
      <c r="GB19" s="1">
        <f t="shared" ref="GB19" si="103">1-EN19-EP19</f>
        <v>0.91910591110514983</v>
      </c>
      <c r="GC19" s="1">
        <f t="shared" ref="GC19" si="104">(ER19-EZ19)+ET19-GB19</f>
        <v>6.2753343463811673E-2</v>
      </c>
      <c r="GD19" s="1">
        <f t="shared" ref="GD19" si="105">ER19-EZ19</f>
        <v>0.18842934596880356</v>
      </c>
      <c r="GE19" s="1">
        <f t="shared" ref="GE19" si="106">1-GA19</f>
        <v>0.86970460462599086</v>
      </c>
      <c r="GF19" s="1">
        <f t="shared" ref="GF19" si="107">(GA19*ET19)-(GA19*(1-FY19))+GD19+(1-FY19)</f>
        <v>0.36525812071701114</v>
      </c>
      <c r="GG19" s="1">
        <f t="shared" ref="GG19" si="108">-GD19*(1-FY19)</f>
        <v>-1.5913282321828908E-2</v>
      </c>
      <c r="GH19" s="1">
        <f t="shared" ref="GH19" si="109">(-GF19+SQRT(GF19^2-4*GE19*GG19))/2*GE19</f>
        <v>3.0101315590363185E-2</v>
      </c>
      <c r="GI19" s="1">
        <f t="shared" ref="GI19" si="110">GH19</f>
        <v>3.0101315590363185E-2</v>
      </c>
      <c r="GJ19" s="1">
        <f t="shared" ref="GJ19" si="111">GD19-GI19</f>
        <v>0.15832803037844037</v>
      </c>
      <c r="GK19" s="1">
        <f t="shared" ref="GK19" si="112">1-FY19-GI19</f>
        <v>5.4350934880556125E-2</v>
      </c>
      <c r="GL19" s="1">
        <f t="shared" ref="GL19" si="113">ET19-GK19</f>
        <v>0.73907897371960185</v>
      </c>
      <c r="GM19" s="1">
        <f t="shared" ref="GM19" si="114">IF(1-FY19&gt;0,EU19,1-EV19-EW19-ES19)</f>
        <v>0.88707161830410364</v>
      </c>
      <c r="GN19" s="1">
        <f t="shared" ref="GN19" si="115">IF(1-FY19&gt;0,EV19,IF(EU19&gt;0,EV19,1-ES19))</f>
        <v>2.2215002217011448E-2</v>
      </c>
      <c r="GO19" s="1">
        <f t="shared" ref="GO19" si="116">11.864*GJ19+9.107*EZ19-18.375*EP19+11.794*EN19-1.4925*EX19+439.97*EU19+419.68*EV19+431.72*GK19+432.56*GI19+428.03*ES19-28.652*GK19^2-12.741*GI19^2</f>
        <v>439.88193902013461</v>
      </c>
      <c r="GP19" s="1">
        <f t="shared" ref="GP19" si="117">-0.3085*EO19+0.813*GJ19-0.4173*EZ19-2.209*EP19-1.0864*EN19-0.8001*EX19+11.931*EU19+11.288*EV19+11.432*GK19+11.885*GI19+12.038*ES19+2.4355*GK19^2-1.661*GI19^2</f>
        <v>11.808571042429035</v>
      </c>
      <c r="GQ19" s="1">
        <f t="shared" ref="GQ19" si="118">3*(EZ19+EP19+EX19)+2*(GJ19+GL19)+4*EN19</f>
        <v>2.1753689336292594</v>
      </c>
      <c r="GR19" s="1">
        <f t="shared" ref="GR19" si="119">32.9*(0.75*GQ19/6)*(10^-6)</f>
        <v>8.9462047395503278E-6</v>
      </c>
      <c r="GS19" s="1">
        <f t="shared" ref="GS19" si="120">7500*GQ19/((1.4133+0.05601*GP19)^3)</f>
        <v>1826.9618572528918</v>
      </c>
      <c r="GT19" s="1">
        <f ca="1">GP19*((2+3*GR19*(D19-25))/(2-3*GR19*(D19-25))-1)</f>
        <v>0.32433260171889033</v>
      </c>
      <c r="GU19" s="2">
        <f ca="1">-57.9+0.0475*(FN19+273.15)-40.6*DD19-47.7*FC19+0.67*Q19-153*DA19*DG19+6.89*((EO19+EP19)/DC19)</f>
        <v>20.872057480734583</v>
      </c>
      <c r="GV19" s="4">
        <f t="shared" ca="1" si="30"/>
        <v>4.7510091202546878</v>
      </c>
      <c r="GW19" s="4">
        <f t="shared" ca="1" si="31"/>
        <v>4.8159765108176797</v>
      </c>
      <c r="GX19" s="4">
        <f>M19+N19</f>
        <v>7.0399999999999991</v>
      </c>
      <c r="GY19" s="4">
        <f>6*10^-5*(F19^3)-0.0166*(F19^2)+1.5751*F19-39.978</f>
        <v>6.7627756800000043</v>
      </c>
      <c r="GZ19" s="4">
        <f t="shared" ref="GZ19" ca="1" si="121">IF(GX19&gt;GY19,GW19,GV19)</f>
        <v>4.8159765108176797</v>
      </c>
      <c r="HA19" s="1">
        <f t="shared" ref="HA19" si="122">GO19</f>
        <v>439.88193902013461</v>
      </c>
      <c r="HB19" s="1">
        <f t="shared" ref="HB19" si="123">GP19</f>
        <v>11.808571042429035</v>
      </c>
      <c r="HC19" s="4">
        <f t="shared" ref="HC19" si="124">771.475-(1.323*HA19)-(16.064*HB19)</f>
        <v>-0.18169054921810357</v>
      </c>
      <c r="HD19" s="4"/>
      <c r="HE19" s="6">
        <f t="shared" ref="HE19" si="125">GI19+GJ19+ES19</f>
        <v>0.19469047497676914</v>
      </c>
      <c r="HF19" s="6">
        <f t="shared" ref="HF19" si="126">GK19+GL19</f>
        <v>0.79342990860015794</v>
      </c>
      <c r="HG19" s="6">
        <f t="shared" ref="HG19" si="127">IF(EV19&gt;EZ19,EZ19,EV19)</f>
        <v>2.2215002217011448E-2</v>
      </c>
      <c r="HH19" s="6">
        <f t="shared" ref="HH19" si="128">EV19-HG19</f>
        <v>0</v>
      </c>
      <c r="HI19" s="6">
        <f t="shared" ref="HI19" si="129">EZ19-HG19</f>
        <v>1.5923092207075447E-2</v>
      </c>
      <c r="HJ19" s="6">
        <f t="shared" ref="HJ19" si="130">IF(HH19&gt;EP19,EP19,HH19)</f>
        <v>0</v>
      </c>
      <c r="HK19" s="6">
        <f t="shared" ref="HK19" si="131">HH19-HJ19</f>
        <v>0</v>
      </c>
      <c r="HL19" s="6">
        <f t="shared" ref="HL19" si="132">EP19-HJ19</f>
        <v>6.5325292803682516E-2</v>
      </c>
      <c r="HM19" s="6">
        <f t="shared" ref="HM19" si="133">HL19+EX19+2*EN19</f>
        <v>9.9092744781083208E-2</v>
      </c>
      <c r="HN19" s="6">
        <f t="shared" ref="HN19" si="134">HE19/(HE19+HF19)</f>
        <v>0.19703112921525123</v>
      </c>
      <c r="HO19" s="6">
        <f t="shared" ref="HO19" si="135">(EU19-HM19-HI19)*(1-HN19)</f>
        <v>0.61993675890610134</v>
      </c>
      <c r="HP19" s="6">
        <f t="shared" ref="HP19" si="136">(EU19-HM19-HI19)*HN19</f>
        <v>0.15211902240984371</v>
      </c>
      <c r="HQ19" s="6">
        <f t="shared" ref="HQ19" si="137">(1-HG19-HJ19-HI19-HM19-HO19-HP19)*(1-HN19)</f>
        <v>7.2840019885228577E-2</v>
      </c>
      <c r="HR19" s="6">
        <f t="shared" ref="HR19" si="138">(1-HG19-HJ19-HI19-HM19-HO19-HP19)*HN19</f>
        <v>1.7873359593656282E-2</v>
      </c>
      <c r="HS19" s="6">
        <f t="shared" ref="HS19" si="139">HJ19+HG19</f>
        <v>2.2215002217011448E-2</v>
      </c>
      <c r="HT19" s="6"/>
      <c r="HU19" s="15">
        <f t="shared" ref="HU19" si="140">(-0.000000872*HO19)-(0.000000749*HQ19)-(0.000000993*HP19)-(0.00000087*(HM19+HI19))-(0.00000086*HS19)-(0.00000087*HR19)</f>
        <v>-8.8091472084594021E-7</v>
      </c>
      <c r="HV19" s="15">
        <f t="shared" ref="HV19" si="141">(0.000000000001707*HO19)+(0.000000000000447*HQ19)+(0.0000000000014835*HP19)+(0.000000000002171*(HM19+HI19))+(0.000000000002149*HS19)+(0.0000000000002235*HR19)</f>
        <v>1.6178942238212475E-12</v>
      </c>
      <c r="HW19" s="15">
        <f t="shared" ref="HW19" si="142">(0.000027795*HO19)+(0.000024656*HQ19)+(0.000031371*HP19)+(0.00002225*(HM19+HI19))+(0.000023118*HS19)+(0.000028232*HR19)</f>
        <v>2.7376481078391994E-5</v>
      </c>
      <c r="HX19" s="15">
        <f t="shared" ref="HX19" si="143">(0.0000000083082*HO19)+(0.000000007467*HQ19)+(0.0000000083672*HP19)+(0.0000000052863*(HM19+HI19))+(0.0000000025785*HS19)+(0.000000007526*HR19)</f>
        <v>7.7670697997232403E-9</v>
      </c>
      <c r="HY19" s="6">
        <f t="shared" ref="HY19" si="144">GQ19</f>
        <v>2.1753689336292594</v>
      </c>
      <c r="HZ19" s="6">
        <f t="shared" ca="1" si="32"/>
        <v>455.51888331477357</v>
      </c>
      <c r="IA19" s="6">
        <f t="shared" ca="1" si="33"/>
        <v>4.7510091202546878</v>
      </c>
      <c r="IB19" s="6">
        <f t="shared" ca="1" si="34"/>
        <v>455.51885814045102</v>
      </c>
      <c r="IC19" s="6">
        <f t="shared" ca="1" si="35"/>
        <v>4.8159765108176797</v>
      </c>
      <c r="ID19" s="6">
        <f t="shared" ca="1" si="36"/>
        <v>4.8159765108176797</v>
      </c>
      <c r="IE19" s="6"/>
      <c r="IF19" s="2">
        <f t="shared" ref="IF19" si="145">(1-EU19-EV19-EW19)*(1-0.5*(EQ19+EX19+EV19+EW19))</f>
        <v>8.140682210975482E-2</v>
      </c>
      <c r="IG19" s="16">
        <f ca="1">D19-25</f>
        <v>1009.5076545409379</v>
      </c>
      <c r="IH19" s="16"/>
      <c r="II19" s="6">
        <f t="shared" ref="II19" si="146">1.4133+(0.05601*HB19)</f>
        <v>2.0746980640864501</v>
      </c>
      <c r="IJ19" s="16">
        <f t="shared" ref="IJ19" si="147">(7500*HY19)/II19^3</f>
        <v>1826.9618572528918</v>
      </c>
      <c r="IK19" s="15">
        <f t="shared" ref="IK19" si="148">0.0000329*(0.75-HY19/6)</f>
        <v>1.2746727013932894E-5</v>
      </c>
      <c r="IM19" s="1">
        <f t="shared" si="41"/>
        <v>1</v>
      </c>
      <c r="IN19" s="1">
        <f t="shared" si="42"/>
        <v>0.41604678289357788</v>
      </c>
      <c r="IO19" s="1">
        <f t="shared" si="43"/>
        <v>0.11880400985917129</v>
      </c>
      <c r="IP19" s="1">
        <f t="shared" si="44"/>
        <v>0.4651492072472509</v>
      </c>
      <c r="IR19" s="141">
        <f t="shared" si="45"/>
        <v>0.40573707416354032</v>
      </c>
      <c r="IS19" s="141">
        <f t="shared" si="46"/>
        <v>0.4651492072472509</v>
      </c>
      <c r="IU19" s="3">
        <v>0</v>
      </c>
      <c r="IV19" s="3">
        <v>0.9</v>
      </c>
      <c r="IW19" s="3">
        <v>0.1</v>
      </c>
      <c r="IX19" s="3"/>
      <c r="IY19" s="141">
        <f t="shared" si="47"/>
        <v>1.0969655114602888</v>
      </c>
      <c r="IZ19" s="141">
        <f t="shared" si="48"/>
        <v>0.1</v>
      </c>
    </row>
    <row r="20" spans="1:260">
      <c r="IN20"/>
      <c r="IO20"/>
      <c r="IP20"/>
      <c r="IQ20"/>
      <c r="IR20"/>
      <c r="IS20"/>
      <c r="IU20" s="3"/>
      <c r="IV20" s="3"/>
      <c r="IW20" s="3"/>
      <c r="IX20" s="3"/>
      <c r="IY20" s="3"/>
      <c r="IZ20" s="3"/>
    </row>
    <row r="21" spans="1:260">
      <c r="IN21"/>
      <c r="IO21"/>
      <c r="IP21"/>
      <c r="IQ21"/>
      <c r="IR21"/>
      <c r="IS21"/>
      <c r="IU21" s="3"/>
      <c r="IV21" s="3"/>
      <c r="IW21" s="3"/>
      <c r="IX21" s="3"/>
      <c r="IY21" s="3"/>
      <c r="IZ21" s="3"/>
    </row>
    <row r="22" spans="1:260">
      <c r="IN22"/>
      <c r="IO22"/>
      <c r="IP22"/>
      <c r="IQ22"/>
      <c r="IR22"/>
      <c r="IS22"/>
      <c r="IU22" s="3"/>
      <c r="IV22" s="3"/>
      <c r="IW22" s="3"/>
      <c r="IX22" s="3"/>
      <c r="IY22" s="3"/>
      <c r="IZ22" s="3"/>
    </row>
    <row r="23" spans="1:260">
      <c r="IN23"/>
      <c r="IO23"/>
      <c r="IP23"/>
      <c r="IQ23"/>
      <c r="IR23"/>
      <c r="IS23"/>
      <c r="IU23" s="3"/>
      <c r="IV23" s="3"/>
      <c r="IW23" s="3"/>
      <c r="IX23" s="3"/>
      <c r="IY23" s="3"/>
      <c r="IZ23" s="3"/>
    </row>
    <row r="24" spans="1:260">
      <c r="IN24"/>
      <c r="IO24"/>
      <c r="IP24"/>
      <c r="IQ24"/>
      <c r="IR24"/>
      <c r="IS24"/>
      <c r="IU24" s="3"/>
      <c r="IV24" s="3"/>
      <c r="IW24" s="3"/>
      <c r="IX24" s="3"/>
      <c r="IY24" s="3"/>
      <c r="IZ24" s="3"/>
    </row>
    <row r="25" spans="1:260">
      <c r="IN25"/>
      <c r="IO25"/>
      <c r="IP25"/>
      <c r="IQ25"/>
      <c r="IR25"/>
      <c r="IS25"/>
      <c r="IU25" s="3"/>
      <c r="IV25" s="3"/>
      <c r="IW25" s="3"/>
      <c r="IX25" s="3"/>
      <c r="IY25" s="3"/>
      <c r="IZ25" s="3"/>
    </row>
    <row r="26" spans="1:260">
      <c r="IN26"/>
      <c r="IO26"/>
      <c r="IP26"/>
      <c r="IQ26"/>
      <c r="IR26"/>
      <c r="IS26"/>
      <c r="IU26" s="3"/>
      <c r="IV26" s="3"/>
      <c r="IW26" s="3"/>
      <c r="IX26" s="3"/>
      <c r="IY26" s="3"/>
      <c r="IZ26" s="3"/>
    </row>
    <row r="27" spans="1:260">
      <c r="IN27"/>
      <c r="IO27"/>
      <c r="IP27"/>
      <c r="IQ27"/>
      <c r="IR27"/>
      <c r="IS27"/>
      <c r="IU27" s="3"/>
      <c r="IV27" s="3"/>
      <c r="IW27" s="3"/>
      <c r="IX27" s="3"/>
      <c r="IY27" s="3"/>
      <c r="IZ27" s="3"/>
    </row>
    <row r="28" spans="1:260">
      <c r="IN28"/>
      <c r="IO28"/>
      <c r="IP28"/>
      <c r="IQ28"/>
      <c r="IR28"/>
      <c r="IS28"/>
      <c r="IU28" s="3"/>
      <c r="IV28" s="3"/>
      <c r="IW28" s="3"/>
      <c r="IX28" s="3"/>
      <c r="IY28" s="3"/>
      <c r="IZ28" s="3"/>
    </row>
    <row r="29" spans="1:260">
      <c r="IN29"/>
      <c r="IO29"/>
      <c r="IP29"/>
      <c r="IQ29"/>
      <c r="IR29"/>
      <c r="IS29"/>
      <c r="IU29" s="3"/>
      <c r="IV29" s="3"/>
      <c r="IW29" s="3"/>
      <c r="IX29" s="3"/>
      <c r="IY29" s="3"/>
      <c r="IZ29" s="3"/>
    </row>
    <row r="30" spans="1:260">
      <c r="IN30"/>
      <c r="IO30"/>
      <c r="IP30"/>
      <c r="IQ30"/>
      <c r="IR30"/>
      <c r="IS30"/>
      <c r="IU30" s="3"/>
      <c r="IV30" s="3"/>
      <c r="IW30" s="3"/>
      <c r="IX30" s="3"/>
      <c r="IY30" s="3"/>
      <c r="IZ30" s="3"/>
    </row>
    <row r="31" spans="1:260">
      <c r="IN31"/>
      <c r="IO31"/>
      <c r="IP31"/>
      <c r="IQ31"/>
      <c r="IR31"/>
      <c r="IS31"/>
      <c r="IU31" s="3"/>
      <c r="IV31" s="3"/>
      <c r="IW31" s="3"/>
      <c r="IX31" s="3"/>
      <c r="IY31" s="3"/>
      <c r="IZ31" s="3"/>
    </row>
    <row r="32" spans="1:260">
      <c r="IN32"/>
      <c r="IO32"/>
      <c r="IP32"/>
      <c r="IQ32"/>
      <c r="IR32"/>
      <c r="IS32"/>
      <c r="IU32" s="3"/>
      <c r="IV32" s="3"/>
      <c r="IW32" s="3"/>
      <c r="IX32" s="3"/>
      <c r="IY32" s="3"/>
      <c r="IZ32" s="3"/>
    </row>
    <row r="33" spans="248:260">
      <c r="IN33"/>
      <c r="IO33"/>
      <c r="IP33"/>
      <c r="IQ33"/>
      <c r="IR33"/>
      <c r="IS33"/>
      <c r="IU33" s="3"/>
      <c r="IV33" s="3"/>
      <c r="IW33" s="3"/>
      <c r="IX33" s="3"/>
      <c r="IY33" s="3"/>
      <c r="IZ33" s="3"/>
    </row>
    <row r="34" spans="248:260">
      <c r="IN34"/>
      <c r="IO34"/>
      <c r="IP34"/>
      <c r="IQ34"/>
      <c r="IR34"/>
      <c r="IS34"/>
      <c r="IU34" s="3"/>
      <c r="IV34" s="3"/>
      <c r="IW34" s="3"/>
      <c r="IX34" s="3"/>
      <c r="IY34" s="3"/>
      <c r="IZ34" s="3"/>
    </row>
    <row r="35" spans="248:260">
      <c r="IN35"/>
      <c r="IO35"/>
      <c r="IP35"/>
      <c r="IQ35"/>
      <c r="IR35"/>
      <c r="IS35"/>
      <c r="IU35" s="3"/>
      <c r="IV35" s="3"/>
      <c r="IW35" s="3"/>
      <c r="IX35" s="3"/>
      <c r="IY35" s="3"/>
      <c r="IZ35" s="3"/>
    </row>
    <row r="36" spans="248:260">
      <c r="IN36"/>
      <c r="IO36"/>
      <c r="IP36"/>
      <c r="IQ36"/>
      <c r="IR36"/>
      <c r="IS36"/>
      <c r="IU36" s="3"/>
      <c r="IV36" s="3"/>
      <c r="IW36" s="3"/>
      <c r="IX36" s="3"/>
      <c r="IY36" s="3"/>
      <c r="IZ36" s="3"/>
    </row>
    <row r="37" spans="248:260">
      <c r="IN37"/>
      <c r="IO37"/>
      <c r="IP37"/>
      <c r="IQ37"/>
      <c r="IR37"/>
      <c r="IS37"/>
    </row>
    <row r="38" spans="248:260">
      <c r="IN38"/>
      <c r="IO38"/>
      <c r="IP38"/>
      <c r="IQ38"/>
      <c r="IR38"/>
      <c r="IS38"/>
    </row>
    <row r="39" spans="248:260">
      <c r="IN39"/>
      <c r="IO39"/>
      <c r="IP39"/>
      <c r="IQ39"/>
      <c r="IR39"/>
      <c r="IS39"/>
    </row>
    <row r="40" spans="248:260">
      <c r="IN40"/>
      <c r="IO40"/>
      <c r="IP40"/>
      <c r="IQ40"/>
      <c r="IR40"/>
      <c r="IS40"/>
    </row>
    <row r="41" spans="248:260">
      <c r="IN41"/>
      <c r="IO41"/>
      <c r="IP41"/>
      <c r="IQ41"/>
      <c r="IR41"/>
      <c r="IS41"/>
    </row>
    <row r="42" spans="248:260">
      <c r="IN42"/>
      <c r="IO42"/>
      <c r="IP42"/>
      <c r="IQ42"/>
      <c r="IR42"/>
      <c r="IS42"/>
    </row>
    <row r="43" spans="248:260">
      <c r="IN43"/>
      <c r="IO43"/>
      <c r="IP43"/>
      <c r="IQ43"/>
      <c r="IR43"/>
      <c r="IS43"/>
    </row>
  </sheetData>
  <phoneticPr fontId="3"/>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1563A-BA8E-48F5-A8AB-88B398F6FA83}">
  <dimension ref="B1:X6"/>
  <sheetViews>
    <sheetView topLeftCell="E1" workbookViewId="0">
      <selection activeCell="Q1" sqref="Q1"/>
    </sheetView>
  </sheetViews>
  <sheetFormatPr defaultRowHeight="13.5"/>
  <sheetData>
    <row r="1" spans="2:24" ht="14">
      <c r="B1" s="21" t="s">
        <v>244</v>
      </c>
      <c r="C1" s="21" t="s">
        <v>245</v>
      </c>
      <c r="D1" s="21" t="s">
        <v>246</v>
      </c>
      <c r="E1" s="21" t="s">
        <v>247</v>
      </c>
      <c r="F1" s="21" t="s">
        <v>248</v>
      </c>
      <c r="G1" s="21" t="s">
        <v>249</v>
      </c>
      <c r="H1" s="21" t="s">
        <v>250</v>
      </c>
      <c r="I1" s="21" t="s">
        <v>251</v>
      </c>
      <c r="J1" s="21" t="s">
        <v>252</v>
      </c>
      <c r="K1" s="21" t="s">
        <v>253</v>
      </c>
      <c r="L1" s="21" t="s">
        <v>254</v>
      </c>
      <c r="M1" s="21" t="s">
        <v>255</v>
      </c>
      <c r="N1" s="21" t="s">
        <v>256</v>
      </c>
      <c r="O1" s="21" t="s">
        <v>257</v>
      </c>
      <c r="P1" s="21" t="s">
        <v>258</v>
      </c>
      <c r="Q1" s="21" t="s">
        <v>259</v>
      </c>
      <c r="R1" s="21" t="s">
        <v>260</v>
      </c>
      <c r="S1" s="21" t="s">
        <v>261</v>
      </c>
      <c r="T1" s="21" t="s">
        <v>262</v>
      </c>
      <c r="U1" s="21" t="s">
        <v>263</v>
      </c>
      <c r="V1" s="21" t="s">
        <v>264</v>
      </c>
      <c r="W1" s="21" t="s">
        <v>265</v>
      </c>
      <c r="X1" s="110" t="s">
        <v>266</v>
      </c>
    </row>
    <row r="2" spans="2:24">
      <c r="B2" s="106">
        <v>51.1</v>
      </c>
      <c r="C2" s="106">
        <v>0.93</v>
      </c>
      <c r="D2" s="106">
        <v>17.5</v>
      </c>
      <c r="E2" s="106">
        <v>8.91</v>
      </c>
      <c r="F2" s="106">
        <v>0.18</v>
      </c>
      <c r="G2" s="114">
        <v>6.09</v>
      </c>
      <c r="H2" s="106">
        <v>11.5</v>
      </c>
      <c r="I2" s="106">
        <v>3.53</v>
      </c>
      <c r="J2" s="106">
        <v>0.17</v>
      </c>
      <c r="K2" s="106">
        <v>0</v>
      </c>
      <c r="L2" s="106">
        <v>0.15</v>
      </c>
      <c r="M2" s="106">
        <v>3.8</v>
      </c>
      <c r="N2" s="106">
        <v>51.5</v>
      </c>
      <c r="O2" s="106">
        <v>0.5</v>
      </c>
      <c r="P2" s="106">
        <v>3.7</v>
      </c>
      <c r="Q2" s="106">
        <v>5.18</v>
      </c>
      <c r="R2" s="106">
        <v>0.09</v>
      </c>
      <c r="S2" s="106">
        <v>15.8</v>
      </c>
      <c r="T2" s="106">
        <v>22.8</v>
      </c>
      <c r="U2" s="106">
        <v>0.24</v>
      </c>
      <c r="V2" s="106">
        <v>0</v>
      </c>
      <c r="W2" s="106">
        <v>0.66</v>
      </c>
      <c r="X2">
        <v>5.5451056411643203</v>
      </c>
    </row>
    <row r="3" spans="2:24">
      <c r="B3" s="106">
        <v>51.5</v>
      </c>
      <c r="C3" s="106">
        <v>1.19</v>
      </c>
      <c r="D3" s="106">
        <v>19.2</v>
      </c>
      <c r="E3" s="106">
        <v>8.6999999999999993</v>
      </c>
      <c r="F3" s="106">
        <v>0.19</v>
      </c>
      <c r="G3" s="114">
        <v>4.9800000000000004</v>
      </c>
      <c r="H3" s="106">
        <v>10</v>
      </c>
      <c r="I3" s="106">
        <v>3.72</v>
      </c>
      <c r="J3" s="106">
        <v>0.42</v>
      </c>
      <c r="K3" s="106">
        <v>0</v>
      </c>
      <c r="L3" s="106">
        <v>0.14000000000000001</v>
      </c>
      <c r="M3" s="106">
        <v>6.2</v>
      </c>
      <c r="N3" s="106">
        <v>50.3</v>
      </c>
      <c r="O3" s="106">
        <v>0.73</v>
      </c>
      <c r="P3" s="106">
        <v>4.12</v>
      </c>
      <c r="Q3" s="106">
        <v>5.83</v>
      </c>
      <c r="R3" s="106">
        <v>0</v>
      </c>
      <c r="S3" s="106">
        <v>15</v>
      </c>
      <c r="T3" s="106">
        <v>22.7</v>
      </c>
      <c r="U3" s="106">
        <v>0.24</v>
      </c>
      <c r="V3" s="106">
        <v>0</v>
      </c>
      <c r="W3" s="106">
        <v>0.28000000000000003</v>
      </c>
      <c r="X3">
        <v>7.5741126487404928</v>
      </c>
    </row>
    <row r="4" spans="2:24">
      <c r="B4" s="106">
        <v>59.1</v>
      </c>
      <c r="C4" s="106">
        <v>0.54</v>
      </c>
      <c r="D4" s="106">
        <v>19.100000000000001</v>
      </c>
      <c r="E4" s="106">
        <v>5.22</v>
      </c>
      <c r="F4" s="106">
        <v>0.19</v>
      </c>
      <c r="G4" s="114">
        <v>3.25</v>
      </c>
      <c r="H4" s="106">
        <v>7.45</v>
      </c>
      <c r="I4" s="106">
        <v>4</v>
      </c>
      <c r="J4" s="106">
        <v>0.88</v>
      </c>
      <c r="K4" s="106">
        <v>0</v>
      </c>
      <c r="L4" s="106">
        <v>0.31</v>
      </c>
      <c r="M4" s="106">
        <v>6.2</v>
      </c>
      <c r="N4" s="106">
        <v>47.3</v>
      </c>
      <c r="O4" s="106">
        <v>1.75</v>
      </c>
      <c r="P4" s="106">
        <v>7.85</v>
      </c>
      <c r="Q4" s="106">
        <v>6.51</v>
      </c>
      <c r="R4" s="106">
        <v>0.14000000000000001</v>
      </c>
      <c r="S4" s="106">
        <v>13.1</v>
      </c>
      <c r="T4" s="106">
        <v>22.5</v>
      </c>
      <c r="U4" s="106">
        <v>0.25</v>
      </c>
      <c r="V4" s="106">
        <v>0</v>
      </c>
      <c r="W4" s="106">
        <v>0.22</v>
      </c>
      <c r="X4">
        <v>12.169878382061086</v>
      </c>
    </row>
    <row r="5" spans="2:24">
      <c r="B5" s="106">
        <v>52.5</v>
      </c>
      <c r="C5" s="106">
        <v>0.98</v>
      </c>
      <c r="D5" s="106">
        <v>19.2</v>
      </c>
      <c r="E5" s="106">
        <v>8.0399999999999991</v>
      </c>
      <c r="F5" s="106">
        <v>0.2</v>
      </c>
      <c r="G5" s="114">
        <v>4.99</v>
      </c>
      <c r="H5" s="106">
        <v>9.64</v>
      </c>
      <c r="I5" s="106">
        <v>4.1500000000000004</v>
      </c>
      <c r="J5" s="106">
        <v>0.21</v>
      </c>
      <c r="K5" s="106">
        <v>0</v>
      </c>
      <c r="L5" s="106">
        <v>0.14000000000000001</v>
      </c>
      <c r="M5" s="106">
        <v>6.2</v>
      </c>
      <c r="N5" s="106">
        <v>51.1</v>
      </c>
      <c r="O5" s="106">
        <v>0.63</v>
      </c>
      <c r="P5" s="106">
        <v>4.41</v>
      </c>
      <c r="Q5" s="106">
        <v>5.66</v>
      </c>
      <c r="R5" s="106">
        <v>0.13</v>
      </c>
      <c r="S5" s="106">
        <v>15.6</v>
      </c>
      <c r="T5" s="106">
        <v>22.6</v>
      </c>
      <c r="U5" s="106">
        <v>0.23</v>
      </c>
      <c r="V5" s="106">
        <v>0</v>
      </c>
      <c r="W5" s="106">
        <v>0.27</v>
      </c>
      <c r="X5">
        <v>7.808893483357588</v>
      </c>
    </row>
    <row r="6" spans="2:24">
      <c r="B6" s="106">
        <v>56.2</v>
      </c>
      <c r="C6" s="106">
        <v>0.34</v>
      </c>
      <c r="D6" s="106">
        <v>20.399999999999999</v>
      </c>
      <c r="E6" s="106">
        <v>5.88</v>
      </c>
      <c r="F6" s="106">
        <v>0.2</v>
      </c>
      <c r="G6" s="114">
        <v>2.58</v>
      </c>
      <c r="H6" s="106">
        <v>7.18</v>
      </c>
      <c r="I6" s="106">
        <v>6.02</v>
      </c>
      <c r="J6" s="106">
        <v>1.02</v>
      </c>
      <c r="K6" s="106">
        <v>0</v>
      </c>
      <c r="L6" s="106">
        <v>0.23</v>
      </c>
      <c r="M6" s="106">
        <v>6.2</v>
      </c>
      <c r="N6" s="106">
        <v>51</v>
      </c>
      <c r="O6" s="106">
        <v>0.56000000000000005</v>
      </c>
      <c r="P6" s="106">
        <v>4.1399999999999997</v>
      </c>
      <c r="Q6" s="106">
        <v>7.33</v>
      </c>
      <c r="R6" s="106">
        <v>0.2</v>
      </c>
      <c r="S6" s="106">
        <v>14.4</v>
      </c>
      <c r="T6" s="106">
        <v>22.4</v>
      </c>
      <c r="U6" s="106">
        <v>0.31</v>
      </c>
      <c r="V6" s="106">
        <v>0</v>
      </c>
      <c r="W6" s="106">
        <v>0.09</v>
      </c>
      <c r="X6">
        <v>7.8974324807345813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T162"/>
  <sheetViews>
    <sheetView workbookViewId="0">
      <selection activeCell="C4" sqref="C4"/>
    </sheetView>
  </sheetViews>
  <sheetFormatPr defaultColWidth="11.07421875" defaultRowHeight="13.5"/>
  <cols>
    <col min="3" max="3" width="14.4609375" customWidth="1"/>
    <col min="5" max="5" width="7" customWidth="1"/>
    <col min="10" max="10" width="4.4609375" customWidth="1"/>
  </cols>
  <sheetData>
    <row r="1" spans="1:14" ht="23">
      <c r="A1" s="122" t="s">
        <v>234</v>
      </c>
    </row>
    <row r="3" spans="1:14" ht="18" thickBot="1">
      <c r="B3" s="123" t="s">
        <v>225</v>
      </c>
      <c r="C3" s="124"/>
      <c r="D3" s="125"/>
    </row>
    <row r="4" spans="1:14" ht="18" thickBot="1">
      <c r="B4" s="126"/>
      <c r="C4" s="127">
        <v>0.27</v>
      </c>
      <c r="D4" s="128"/>
    </row>
    <row r="5" spans="1:14" ht="18" thickBot="1">
      <c r="B5" s="123" t="s">
        <v>226</v>
      </c>
      <c r="C5" s="129"/>
      <c r="D5" s="125"/>
      <c r="G5" s="130" t="s">
        <v>227</v>
      </c>
      <c r="L5" s="130" t="s">
        <v>228</v>
      </c>
    </row>
    <row r="6" spans="1:14" ht="18" thickBot="1">
      <c r="B6" s="131"/>
      <c r="C6" s="127">
        <v>0.03</v>
      </c>
      <c r="D6" s="128"/>
      <c r="G6" s="132">
        <f>C4-C6</f>
        <v>0.24000000000000002</v>
      </c>
      <c r="L6" s="132">
        <f>C4+C6</f>
        <v>0.30000000000000004</v>
      </c>
    </row>
    <row r="7" spans="1:14" ht="15">
      <c r="A7" s="130"/>
      <c r="B7" s="130"/>
    </row>
    <row r="8" spans="1:14">
      <c r="C8" t="s">
        <v>229</v>
      </c>
      <c r="D8" t="s">
        <v>229</v>
      </c>
      <c r="H8" t="s">
        <v>229</v>
      </c>
      <c r="I8" t="s">
        <v>229</v>
      </c>
      <c r="M8" t="s">
        <v>229</v>
      </c>
      <c r="N8" t="s">
        <v>229</v>
      </c>
    </row>
    <row r="9" spans="1:14">
      <c r="A9" s="56" t="s">
        <v>230</v>
      </c>
      <c r="B9" s="56" t="s">
        <v>231</v>
      </c>
      <c r="C9" s="56" t="s">
        <v>232</v>
      </c>
      <c r="D9" s="56" t="s">
        <v>233</v>
      </c>
      <c r="F9" s="56" t="s">
        <v>230</v>
      </c>
      <c r="G9" s="56" t="s">
        <v>231</v>
      </c>
      <c r="H9" s="56" t="s">
        <v>232</v>
      </c>
      <c r="I9" s="56" t="s">
        <v>233</v>
      </c>
      <c r="K9" s="56" t="s">
        <v>230</v>
      </c>
      <c r="L9" s="56" t="s">
        <v>231</v>
      </c>
      <c r="M9" s="56" t="s">
        <v>232</v>
      </c>
      <c r="N9" s="56" t="s">
        <v>233</v>
      </c>
    </row>
    <row r="10" spans="1:14" ht="15">
      <c r="A10">
        <v>0</v>
      </c>
      <c r="B10">
        <f t="shared" ref="B10:B41" si="0">$C$4*A10</f>
        <v>0</v>
      </c>
      <c r="C10" s="130">
        <f>100*B10/(B10+1)</f>
        <v>0</v>
      </c>
      <c r="D10" s="130">
        <f>100*A10/(A10+1)</f>
        <v>0</v>
      </c>
      <c r="F10">
        <f>A10</f>
        <v>0</v>
      </c>
      <c r="G10">
        <f t="shared" ref="G10:G41" si="1">$G$6*A10</f>
        <v>0</v>
      </c>
      <c r="H10" s="130">
        <f t="shared" ref="H10:H40" si="2">100*G10/(G10+1)</f>
        <v>0</v>
      </c>
      <c r="I10" s="130">
        <f t="shared" ref="I10:I41" si="3">100*F10/(F10+1)</f>
        <v>0</v>
      </c>
      <c r="K10">
        <f>A10</f>
        <v>0</v>
      </c>
      <c r="L10">
        <f t="shared" ref="L10:L41" si="4">$L$6*K10</f>
        <v>0</v>
      </c>
      <c r="M10" s="130">
        <f>100*L10/(L10+1)</f>
        <v>0</v>
      </c>
      <c r="N10" s="130">
        <f>100*K10/(K10+1)</f>
        <v>0</v>
      </c>
    </row>
    <row r="11" spans="1:14" ht="15">
      <c r="A11">
        <v>0.1</v>
      </c>
      <c r="B11">
        <f t="shared" si="0"/>
        <v>2.7000000000000003E-2</v>
      </c>
      <c r="C11" s="130">
        <f t="shared" ref="C11:C41" si="5">100*B11/(B11+1)</f>
        <v>2.6290165530671863</v>
      </c>
      <c r="D11" s="130">
        <f t="shared" ref="D11:D41" si="6">100*A11/(A11+1)</f>
        <v>9.0909090909090899</v>
      </c>
      <c r="F11">
        <f t="shared" ref="F11:F41" si="7">A11</f>
        <v>0.1</v>
      </c>
      <c r="G11">
        <f t="shared" si="1"/>
        <v>2.4000000000000004E-2</v>
      </c>
      <c r="H11" s="130">
        <f t="shared" si="2"/>
        <v>2.3437500000000004</v>
      </c>
      <c r="I11" s="130">
        <f t="shared" si="3"/>
        <v>9.0909090909090899</v>
      </c>
      <c r="K11">
        <f t="shared" ref="K11:K41" si="8">A11</f>
        <v>0.1</v>
      </c>
      <c r="L11">
        <f t="shared" si="4"/>
        <v>3.0000000000000006E-2</v>
      </c>
      <c r="M11" s="130">
        <f t="shared" ref="M11:M41" si="9">100*L11/(L11+1)</f>
        <v>2.9126213592233015</v>
      </c>
      <c r="N11" s="130">
        <f t="shared" ref="N11:N41" si="10">100*K11/(K11+1)</f>
        <v>9.0909090909090899</v>
      </c>
    </row>
    <row r="12" spans="1:14" ht="15">
      <c r="A12">
        <v>0.2</v>
      </c>
      <c r="B12">
        <f t="shared" si="0"/>
        <v>5.4000000000000006E-2</v>
      </c>
      <c r="C12" s="130">
        <f t="shared" si="5"/>
        <v>5.1233396584440225</v>
      </c>
      <c r="D12" s="130">
        <f t="shared" si="6"/>
        <v>16.666666666666668</v>
      </c>
      <c r="F12">
        <f t="shared" si="7"/>
        <v>0.2</v>
      </c>
      <c r="G12">
        <f t="shared" si="1"/>
        <v>4.8000000000000008E-2</v>
      </c>
      <c r="H12" s="130">
        <f t="shared" si="2"/>
        <v>4.5801526717557257</v>
      </c>
      <c r="I12" s="130">
        <f t="shared" si="3"/>
        <v>16.666666666666668</v>
      </c>
      <c r="K12">
        <f t="shared" si="8"/>
        <v>0.2</v>
      </c>
      <c r="L12">
        <f t="shared" si="4"/>
        <v>6.0000000000000012E-2</v>
      </c>
      <c r="M12" s="130">
        <f t="shared" si="9"/>
        <v>5.6603773584905666</v>
      </c>
      <c r="N12" s="130">
        <f t="shared" si="10"/>
        <v>16.666666666666668</v>
      </c>
    </row>
    <row r="13" spans="1:14" ht="15">
      <c r="A13">
        <v>0.3</v>
      </c>
      <c r="B13">
        <f t="shared" si="0"/>
        <v>8.1000000000000003E-2</v>
      </c>
      <c r="C13" s="130">
        <f>100*B13/(B13+1)</f>
        <v>7.4930619796484734</v>
      </c>
      <c r="D13" s="130">
        <f t="shared" si="6"/>
        <v>23.076923076923077</v>
      </c>
      <c r="F13">
        <f t="shared" si="7"/>
        <v>0.3</v>
      </c>
      <c r="G13">
        <f t="shared" si="1"/>
        <v>7.2000000000000008E-2</v>
      </c>
      <c r="H13" s="130">
        <f t="shared" si="2"/>
        <v>6.7164179104477615</v>
      </c>
      <c r="I13" s="130">
        <f t="shared" si="3"/>
        <v>23.076923076923077</v>
      </c>
      <c r="K13">
        <f t="shared" si="8"/>
        <v>0.3</v>
      </c>
      <c r="L13">
        <f t="shared" si="4"/>
        <v>9.0000000000000011E-2</v>
      </c>
      <c r="M13" s="130">
        <f t="shared" si="9"/>
        <v>8.2568807339449553</v>
      </c>
      <c r="N13" s="130">
        <f t="shared" si="10"/>
        <v>23.076923076923077</v>
      </c>
    </row>
    <row r="14" spans="1:14" ht="15">
      <c r="A14">
        <v>0.4</v>
      </c>
      <c r="B14">
        <f t="shared" si="0"/>
        <v>0.10800000000000001</v>
      </c>
      <c r="C14" s="130">
        <f t="shared" si="5"/>
        <v>9.7472924187725631</v>
      </c>
      <c r="D14" s="130">
        <f t="shared" si="6"/>
        <v>28.571428571428573</v>
      </c>
      <c r="F14">
        <f t="shared" si="7"/>
        <v>0.4</v>
      </c>
      <c r="G14">
        <f t="shared" si="1"/>
        <v>9.6000000000000016E-2</v>
      </c>
      <c r="H14" s="130">
        <f t="shared" si="2"/>
        <v>8.7591240875912408</v>
      </c>
      <c r="I14" s="130">
        <f t="shared" si="3"/>
        <v>28.571428571428573</v>
      </c>
      <c r="K14">
        <f t="shared" si="8"/>
        <v>0.4</v>
      </c>
      <c r="L14">
        <f t="shared" si="4"/>
        <v>0.12000000000000002</v>
      </c>
      <c r="M14" s="130">
        <f t="shared" si="9"/>
        <v>10.714285714285715</v>
      </c>
      <c r="N14" s="130">
        <f t="shared" si="10"/>
        <v>28.571428571428573</v>
      </c>
    </row>
    <row r="15" spans="1:14" ht="15">
      <c r="A15">
        <v>0.5</v>
      </c>
      <c r="B15">
        <f t="shared" si="0"/>
        <v>0.13500000000000001</v>
      </c>
      <c r="C15" s="130">
        <f t="shared" si="5"/>
        <v>11.894273127753303</v>
      </c>
      <c r="D15" s="130">
        <f t="shared" si="6"/>
        <v>33.333333333333336</v>
      </c>
      <c r="F15">
        <f t="shared" si="7"/>
        <v>0.5</v>
      </c>
      <c r="G15">
        <f t="shared" si="1"/>
        <v>0.12000000000000001</v>
      </c>
      <c r="H15" s="130">
        <f t="shared" si="2"/>
        <v>10.714285714285715</v>
      </c>
      <c r="I15" s="130">
        <f t="shared" si="3"/>
        <v>33.333333333333336</v>
      </c>
      <c r="K15">
        <f t="shared" si="8"/>
        <v>0.5</v>
      </c>
      <c r="L15">
        <f t="shared" si="4"/>
        <v>0.15000000000000002</v>
      </c>
      <c r="M15" s="130">
        <f t="shared" si="9"/>
        <v>13.043478260869568</v>
      </c>
      <c r="N15" s="130">
        <f t="shared" si="10"/>
        <v>33.333333333333336</v>
      </c>
    </row>
    <row r="16" spans="1:14" ht="15">
      <c r="A16">
        <v>0.6</v>
      </c>
      <c r="B16">
        <f t="shared" si="0"/>
        <v>0.16200000000000001</v>
      </c>
      <c r="C16" s="130">
        <f t="shared" si="5"/>
        <v>13.941480206540447</v>
      </c>
      <c r="D16" s="130">
        <f t="shared" si="6"/>
        <v>37.5</v>
      </c>
      <c r="F16">
        <f t="shared" si="7"/>
        <v>0.6</v>
      </c>
      <c r="G16">
        <f t="shared" si="1"/>
        <v>0.14400000000000002</v>
      </c>
      <c r="H16" s="130">
        <f t="shared" si="2"/>
        <v>12.587412587412588</v>
      </c>
      <c r="I16" s="130">
        <f t="shared" si="3"/>
        <v>37.5</v>
      </c>
      <c r="K16">
        <f t="shared" si="8"/>
        <v>0.6</v>
      </c>
      <c r="L16">
        <f t="shared" si="4"/>
        <v>0.18000000000000002</v>
      </c>
      <c r="M16" s="130">
        <f t="shared" si="9"/>
        <v>15.254237288135597</v>
      </c>
      <c r="N16" s="130">
        <f t="shared" si="10"/>
        <v>37.5</v>
      </c>
    </row>
    <row r="17" spans="1:14" ht="15">
      <c r="A17">
        <v>0.7</v>
      </c>
      <c r="B17">
        <f t="shared" si="0"/>
        <v>0.189</v>
      </c>
      <c r="C17" s="130">
        <f t="shared" si="5"/>
        <v>15.895710681244742</v>
      </c>
      <c r="D17" s="130">
        <f t="shared" si="6"/>
        <v>41.176470588235297</v>
      </c>
      <c r="F17">
        <f t="shared" si="7"/>
        <v>0.7</v>
      </c>
      <c r="G17">
        <f t="shared" si="1"/>
        <v>0.16800000000000001</v>
      </c>
      <c r="H17" s="130">
        <f t="shared" si="2"/>
        <v>14.383561643835618</v>
      </c>
      <c r="I17" s="130">
        <f t="shared" si="3"/>
        <v>41.176470588235297</v>
      </c>
      <c r="K17">
        <f t="shared" si="8"/>
        <v>0.7</v>
      </c>
      <c r="L17">
        <f t="shared" si="4"/>
        <v>0.21000000000000002</v>
      </c>
      <c r="M17" s="130">
        <f t="shared" si="9"/>
        <v>17.355371900826448</v>
      </c>
      <c r="N17" s="130">
        <f t="shared" si="10"/>
        <v>41.176470588235297</v>
      </c>
    </row>
    <row r="18" spans="1:14" ht="15">
      <c r="A18">
        <v>0.8</v>
      </c>
      <c r="B18">
        <f t="shared" si="0"/>
        <v>0.21600000000000003</v>
      </c>
      <c r="C18" s="130">
        <f t="shared" si="5"/>
        <v>17.763157894736842</v>
      </c>
      <c r="D18" s="130">
        <f t="shared" si="6"/>
        <v>44.444444444444443</v>
      </c>
      <c r="F18">
        <f t="shared" si="7"/>
        <v>0.8</v>
      </c>
      <c r="G18">
        <f t="shared" si="1"/>
        <v>0.19200000000000003</v>
      </c>
      <c r="H18" s="130">
        <f t="shared" si="2"/>
        <v>16.107382550335572</v>
      </c>
      <c r="I18" s="130">
        <f t="shared" si="3"/>
        <v>44.444444444444443</v>
      </c>
      <c r="K18">
        <f t="shared" si="8"/>
        <v>0.8</v>
      </c>
      <c r="L18">
        <f t="shared" si="4"/>
        <v>0.24000000000000005</v>
      </c>
      <c r="M18" s="130">
        <f t="shared" si="9"/>
        <v>19.354838709677423</v>
      </c>
      <c r="N18" s="130">
        <f t="shared" si="10"/>
        <v>44.444444444444443</v>
      </c>
    </row>
    <row r="19" spans="1:14" ht="15">
      <c r="A19">
        <v>0.9</v>
      </c>
      <c r="B19">
        <f t="shared" si="0"/>
        <v>0.24300000000000002</v>
      </c>
      <c r="C19" s="130">
        <f t="shared" si="5"/>
        <v>19.549477071600965</v>
      </c>
      <c r="D19" s="130">
        <f t="shared" si="6"/>
        <v>47.368421052631582</v>
      </c>
      <c r="F19">
        <f t="shared" si="7"/>
        <v>0.9</v>
      </c>
      <c r="G19">
        <f t="shared" si="1"/>
        <v>0.21600000000000003</v>
      </c>
      <c r="H19" s="130">
        <f t="shared" si="2"/>
        <v>17.763157894736842</v>
      </c>
      <c r="I19" s="130">
        <f t="shared" si="3"/>
        <v>47.368421052631582</v>
      </c>
      <c r="K19">
        <f t="shared" si="8"/>
        <v>0.9</v>
      </c>
      <c r="L19">
        <f t="shared" si="4"/>
        <v>0.27000000000000007</v>
      </c>
      <c r="M19" s="130">
        <f t="shared" si="9"/>
        <v>21.259842519685044</v>
      </c>
      <c r="N19" s="130">
        <f t="shared" si="10"/>
        <v>47.368421052631582</v>
      </c>
    </row>
    <row r="20" spans="1:14" ht="15">
      <c r="A20">
        <v>1</v>
      </c>
      <c r="B20">
        <f t="shared" si="0"/>
        <v>0.27</v>
      </c>
      <c r="C20" s="130">
        <f t="shared" si="5"/>
        <v>21.259842519685041</v>
      </c>
      <c r="D20" s="130">
        <f t="shared" si="6"/>
        <v>50</v>
      </c>
      <c r="F20">
        <f t="shared" si="7"/>
        <v>1</v>
      </c>
      <c r="G20">
        <f t="shared" si="1"/>
        <v>0.24000000000000002</v>
      </c>
      <c r="H20" s="130">
        <f t="shared" si="2"/>
        <v>19.354838709677423</v>
      </c>
      <c r="I20" s="130">
        <f t="shared" si="3"/>
        <v>50</v>
      </c>
      <c r="K20">
        <f t="shared" si="8"/>
        <v>1</v>
      </c>
      <c r="L20">
        <f t="shared" si="4"/>
        <v>0.30000000000000004</v>
      </c>
      <c r="M20" s="130">
        <f t="shared" si="9"/>
        <v>23.07692307692308</v>
      </c>
      <c r="N20" s="130">
        <f t="shared" si="10"/>
        <v>50</v>
      </c>
    </row>
    <row r="21" spans="1:14" ht="15">
      <c r="A21">
        <v>1.1000000000000001</v>
      </c>
      <c r="B21">
        <f t="shared" si="0"/>
        <v>0.29700000000000004</v>
      </c>
      <c r="C21" s="130">
        <f t="shared" si="5"/>
        <v>22.898997686969931</v>
      </c>
      <c r="D21" s="130">
        <f t="shared" si="6"/>
        <v>52.380952380952387</v>
      </c>
      <c r="F21">
        <f t="shared" si="7"/>
        <v>1.1000000000000001</v>
      </c>
      <c r="G21">
        <f t="shared" si="1"/>
        <v>0.26400000000000007</v>
      </c>
      <c r="H21" s="130">
        <f t="shared" si="2"/>
        <v>20.886075949367093</v>
      </c>
      <c r="I21" s="130">
        <f t="shared" si="3"/>
        <v>52.380952380952387</v>
      </c>
      <c r="K21">
        <f t="shared" si="8"/>
        <v>1.1000000000000001</v>
      </c>
      <c r="L21">
        <f t="shared" si="4"/>
        <v>0.33000000000000007</v>
      </c>
      <c r="M21" s="130">
        <f t="shared" si="9"/>
        <v>24.812030075187973</v>
      </c>
      <c r="N21" s="130">
        <f t="shared" si="10"/>
        <v>52.380952380952387</v>
      </c>
    </row>
    <row r="22" spans="1:14" ht="15">
      <c r="A22">
        <v>1.2</v>
      </c>
      <c r="B22">
        <f t="shared" si="0"/>
        <v>0.32400000000000001</v>
      </c>
      <c r="C22" s="130">
        <f t="shared" si="5"/>
        <v>24.471299093655588</v>
      </c>
      <c r="D22" s="130">
        <f t="shared" si="6"/>
        <v>54.54545454545454</v>
      </c>
      <c r="F22">
        <f t="shared" si="7"/>
        <v>1.2</v>
      </c>
      <c r="G22">
        <f t="shared" si="1"/>
        <v>0.28800000000000003</v>
      </c>
      <c r="H22" s="130">
        <f t="shared" si="2"/>
        <v>22.36024844720497</v>
      </c>
      <c r="I22" s="130">
        <f t="shared" si="3"/>
        <v>54.54545454545454</v>
      </c>
      <c r="K22">
        <f t="shared" si="8"/>
        <v>1.2</v>
      </c>
      <c r="L22">
        <f t="shared" si="4"/>
        <v>0.36000000000000004</v>
      </c>
      <c r="M22" s="130">
        <f t="shared" si="9"/>
        <v>26.47058823529412</v>
      </c>
      <c r="N22" s="130">
        <f t="shared" si="10"/>
        <v>54.54545454545454</v>
      </c>
    </row>
    <row r="23" spans="1:14" ht="15">
      <c r="A23">
        <v>1.3</v>
      </c>
      <c r="B23">
        <f t="shared" si="0"/>
        <v>0.35100000000000003</v>
      </c>
      <c r="C23" s="130">
        <f t="shared" si="5"/>
        <v>25.980754996299041</v>
      </c>
      <c r="D23" s="130">
        <f t="shared" si="6"/>
        <v>56.521739130434788</v>
      </c>
      <c r="F23">
        <f t="shared" si="7"/>
        <v>1.3</v>
      </c>
      <c r="G23">
        <f t="shared" si="1"/>
        <v>0.31200000000000006</v>
      </c>
      <c r="H23" s="130">
        <f t="shared" si="2"/>
        <v>23.780487804878053</v>
      </c>
      <c r="I23" s="130">
        <f t="shared" si="3"/>
        <v>56.521739130434788</v>
      </c>
      <c r="K23">
        <f t="shared" si="8"/>
        <v>1.3</v>
      </c>
      <c r="L23">
        <f t="shared" si="4"/>
        <v>0.39000000000000007</v>
      </c>
      <c r="M23" s="130">
        <f t="shared" si="9"/>
        <v>28.057553956834536</v>
      </c>
      <c r="N23" s="130">
        <f t="shared" si="10"/>
        <v>56.521739130434788</v>
      </c>
    </row>
    <row r="24" spans="1:14" ht="15">
      <c r="A24">
        <v>1.4</v>
      </c>
      <c r="B24">
        <f t="shared" si="0"/>
        <v>0.378</v>
      </c>
      <c r="C24" s="130">
        <f t="shared" si="5"/>
        <v>27.431059506531199</v>
      </c>
      <c r="D24" s="130">
        <f t="shared" si="6"/>
        <v>58.333333333333336</v>
      </c>
      <c r="F24">
        <f t="shared" si="7"/>
        <v>1.4</v>
      </c>
      <c r="G24">
        <f t="shared" si="1"/>
        <v>0.33600000000000002</v>
      </c>
      <c r="H24" s="130">
        <f t="shared" si="2"/>
        <v>25.149700598802394</v>
      </c>
      <c r="I24" s="130">
        <f t="shared" si="3"/>
        <v>58.333333333333336</v>
      </c>
      <c r="K24">
        <f t="shared" si="8"/>
        <v>1.4</v>
      </c>
      <c r="L24">
        <f t="shared" si="4"/>
        <v>0.42000000000000004</v>
      </c>
      <c r="M24" s="130">
        <f t="shared" si="9"/>
        <v>29.577464788732399</v>
      </c>
      <c r="N24" s="130">
        <f t="shared" si="10"/>
        <v>58.333333333333336</v>
      </c>
    </row>
    <row r="25" spans="1:14" ht="15">
      <c r="A25">
        <v>1.5</v>
      </c>
      <c r="B25">
        <f t="shared" si="0"/>
        <v>0.40500000000000003</v>
      </c>
      <c r="C25" s="130">
        <f t="shared" si="5"/>
        <v>28.82562277580071</v>
      </c>
      <c r="D25" s="130">
        <f t="shared" si="6"/>
        <v>60</v>
      </c>
      <c r="F25">
        <f t="shared" si="7"/>
        <v>1.5</v>
      </c>
      <c r="G25">
        <f t="shared" si="1"/>
        <v>0.36000000000000004</v>
      </c>
      <c r="H25" s="130">
        <f t="shared" si="2"/>
        <v>26.47058823529412</v>
      </c>
      <c r="I25" s="130">
        <f t="shared" si="3"/>
        <v>60</v>
      </c>
      <c r="K25">
        <f t="shared" si="8"/>
        <v>1.5</v>
      </c>
      <c r="L25">
        <f t="shared" si="4"/>
        <v>0.45000000000000007</v>
      </c>
      <c r="M25" s="130">
        <f t="shared" si="9"/>
        <v>31.03448275862069</v>
      </c>
      <c r="N25" s="130">
        <f t="shared" si="10"/>
        <v>60</v>
      </c>
    </row>
    <row r="26" spans="1:14" ht="15">
      <c r="A26">
        <v>1.6</v>
      </c>
      <c r="B26">
        <f t="shared" si="0"/>
        <v>0.43200000000000005</v>
      </c>
      <c r="C26" s="130">
        <f t="shared" si="5"/>
        <v>30.16759776536313</v>
      </c>
      <c r="D26" s="130">
        <f t="shared" si="6"/>
        <v>61.538461538461533</v>
      </c>
      <c r="F26">
        <f t="shared" si="7"/>
        <v>1.6</v>
      </c>
      <c r="G26">
        <f t="shared" si="1"/>
        <v>0.38400000000000006</v>
      </c>
      <c r="H26" s="130">
        <f t="shared" si="2"/>
        <v>27.745664739884393</v>
      </c>
      <c r="I26" s="130">
        <f t="shared" si="3"/>
        <v>61.538461538461533</v>
      </c>
      <c r="K26">
        <f t="shared" si="8"/>
        <v>1.6</v>
      </c>
      <c r="L26">
        <f t="shared" si="4"/>
        <v>0.48000000000000009</v>
      </c>
      <c r="M26" s="130">
        <f t="shared" si="9"/>
        <v>32.432432432432435</v>
      </c>
      <c r="N26" s="130">
        <f t="shared" si="10"/>
        <v>61.538461538461533</v>
      </c>
    </row>
    <row r="27" spans="1:14" ht="15">
      <c r="A27">
        <v>1.7</v>
      </c>
      <c r="B27">
        <f t="shared" si="0"/>
        <v>0.45900000000000002</v>
      </c>
      <c r="C27" s="130">
        <f t="shared" si="5"/>
        <v>31.459904043865659</v>
      </c>
      <c r="D27" s="130">
        <f t="shared" si="6"/>
        <v>62.962962962962962</v>
      </c>
      <c r="F27">
        <f t="shared" si="7"/>
        <v>1.7</v>
      </c>
      <c r="G27">
        <f t="shared" si="1"/>
        <v>0.40800000000000003</v>
      </c>
      <c r="H27" s="130">
        <f t="shared" si="2"/>
        <v>28.977272727272734</v>
      </c>
      <c r="I27" s="130">
        <f t="shared" si="3"/>
        <v>62.962962962962962</v>
      </c>
      <c r="K27">
        <f t="shared" si="8"/>
        <v>1.7</v>
      </c>
      <c r="L27">
        <f t="shared" si="4"/>
        <v>0.51</v>
      </c>
      <c r="M27" s="130">
        <f t="shared" si="9"/>
        <v>33.774834437086092</v>
      </c>
      <c r="N27" s="130">
        <f t="shared" si="10"/>
        <v>62.962962962962962</v>
      </c>
    </row>
    <row r="28" spans="1:14" ht="15">
      <c r="A28">
        <v>2.2000000000000002</v>
      </c>
      <c r="B28">
        <f t="shared" si="0"/>
        <v>0.59400000000000008</v>
      </c>
      <c r="C28" s="130">
        <f t="shared" si="5"/>
        <v>37.264742785445421</v>
      </c>
      <c r="D28" s="130">
        <f t="shared" si="6"/>
        <v>68.75</v>
      </c>
      <c r="F28">
        <f t="shared" si="7"/>
        <v>2.2000000000000002</v>
      </c>
      <c r="G28">
        <f t="shared" si="1"/>
        <v>0.52800000000000014</v>
      </c>
      <c r="H28" s="130">
        <f t="shared" si="2"/>
        <v>34.554973821989535</v>
      </c>
      <c r="I28" s="130">
        <f t="shared" si="3"/>
        <v>68.75</v>
      </c>
      <c r="K28">
        <f t="shared" si="8"/>
        <v>2.2000000000000002</v>
      </c>
      <c r="L28">
        <f t="shared" si="4"/>
        <v>0.66000000000000014</v>
      </c>
      <c r="M28" s="130">
        <f t="shared" si="9"/>
        <v>39.759036144578317</v>
      </c>
      <c r="N28" s="130">
        <f t="shared" si="10"/>
        <v>68.75</v>
      </c>
    </row>
    <row r="29" spans="1:14" ht="15">
      <c r="A29">
        <v>2.7</v>
      </c>
      <c r="B29">
        <f t="shared" si="0"/>
        <v>0.72900000000000009</v>
      </c>
      <c r="C29" s="130">
        <f t="shared" si="5"/>
        <v>42.1631000578369</v>
      </c>
      <c r="D29" s="130">
        <f t="shared" si="6"/>
        <v>72.972972972972968</v>
      </c>
      <c r="F29">
        <f t="shared" si="7"/>
        <v>2.7</v>
      </c>
      <c r="G29">
        <f t="shared" si="1"/>
        <v>0.64800000000000013</v>
      </c>
      <c r="H29" s="130">
        <f t="shared" si="2"/>
        <v>39.320388349514566</v>
      </c>
      <c r="I29" s="130">
        <f t="shared" si="3"/>
        <v>72.972972972972968</v>
      </c>
      <c r="K29">
        <f t="shared" si="8"/>
        <v>2.7</v>
      </c>
      <c r="L29">
        <f t="shared" si="4"/>
        <v>0.81000000000000016</v>
      </c>
      <c r="M29" s="130">
        <f t="shared" si="9"/>
        <v>44.751381215469621</v>
      </c>
      <c r="N29" s="130">
        <f t="shared" si="10"/>
        <v>72.972972972972968</v>
      </c>
    </row>
    <row r="30" spans="1:14" ht="15">
      <c r="A30">
        <v>3.2</v>
      </c>
      <c r="B30">
        <f t="shared" si="0"/>
        <v>0.8640000000000001</v>
      </c>
      <c r="C30" s="130">
        <f t="shared" si="5"/>
        <v>46.351931330472105</v>
      </c>
      <c r="D30" s="130">
        <f t="shared" si="6"/>
        <v>76.19047619047619</v>
      </c>
      <c r="F30">
        <f t="shared" si="7"/>
        <v>3.2</v>
      </c>
      <c r="G30">
        <f t="shared" si="1"/>
        <v>0.76800000000000013</v>
      </c>
      <c r="H30" s="130">
        <f t="shared" si="2"/>
        <v>43.438914027149323</v>
      </c>
      <c r="I30" s="130">
        <f t="shared" si="3"/>
        <v>76.19047619047619</v>
      </c>
      <c r="K30">
        <f t="shared" si="8"/>
        <v>3.2</v>
      </c>
      <c r="L30">
        <f t="shared" si="4"/>
        <v>0.96000000000000019</v>
      </c>
      <c r="M30" s="130">
        <f t="shared" si="9"/>
        <v>48.979591836734699</v>
      </c>
      <c r="N30" s="130">
        <f t="shared" si="10"/>
        <v>76.19047619047619</v>
      </c>
    </row>
    <row r="31" spans="1:14" ht="15">
      <c r="A31">
        <v>3.7</v>
      </c>
      <c r="B31">
        <f t="shared" si="0"/>
        <v>0.99900000000000011</v>
      </c>
      <c r="C31" s="130">
        <f t="shared" si="5"/>
        <v>49.974987493746873</v>
      </c>
      <c r="D31" s="130">
        <f t="shared" si="6"/>
        <v>78.723404255319153</v>
      </c>
      <c r="F31">
        <f t="shared" si="7"/>
        <v>3.7</v>
      </c>
      <c r="G31">
        <f t="shared" si="1"/>
        <v>0.88800000000000012</v>
      </c>
      <c r="H31" s="130">
        <f t="shared" si="2"/>
        <v>47.033898305084747</v>
      </c>
      <c r="I31" s="130">
        <f t="shared" si="3"/>
        <v>78.723404255319153</v>
      </c>
      <c r="K31">
        <f t="shared" si="8"/>
        <v>3.7</v>
      </c>
      <c r="L31">
        <f t="shared" si="4"/>
        <v>1.1100000000000003</v>
      </c>
      <c r="M31" s="130">
        <f t="shared" si="9"/>
        <v>52.606635071090054</v>
      </c>
      <c r="N31" s="130">
        <f t="shared" si="10"/>
        <v>78.723404255319153</v>
      </c>
    </row>
    <row r="32" spans="1:14" ht="15">
      <c r="A32">
        <v>4.2</v>
      </c>
      <c r="B32">
        <f t="shared" si="0"/>
        <v>1.1340000000000001</v>
      </c>
      <c r="C32" s="130">
        <f t="shared" si="5"/>
        <v>53.139643861293337</v>
      </c>
      <c r="D32" s="130">
        <f t="shared" si="6"/>
        <v>80.769230769230759</v>
      </c>
      <c r="F32">
        <f t="shared" si="7"/>
        <v>4.2</v>
      </c>
      <c r="G32">
        <f t="shared" si="1"/>
        <v>1.0080000000000002</v>
      </c>
      <c r="H32" s="130">
        <f t="shared" si="2"/>
        <v>50.199203187251008</v>
      </c>
      <c r="I32" s="130">
        <f t="shared" si="3"/>
        <v>80.769230769230759</v>
      </c>
      <c r="K32">
        <f t="shared" si="8"/>
        <v>4.2</v>
      </c>
      <c r="L32">
        <f t="shared" si="4"/>
        <v>1.2600000000000002</v>
      </c>
      <c r="M32" s="130">
        <f t="shared" si="9"/>
        <v>55.752212389380539</v>
      </c>
      <c r="N32" s="130">
        <f t="shared" si="10"/>
        <v>80.769230769230759</v>
      </c>
    </row>
    <row r="33" spans="1:14" ht="15">
      <c r="A33">
        <v>5.2</v>
      </c>
      <c r="B33">
        <f t="shared" si="0"/>
        <v>1.4040000000000001</v>
      </c>
      <c r="C33" s="130">
        <f t="shared" si="5"/>
        <v>58.402662229617306</v>
      </c>
      <c r="D33" s="130">
        <f t="shared" si="6"/>
        <v>83.870967741935488</v>
      </c>
      <c r="F33">
        <f t="shared" si="7"/>
        <v>5.2</v>
      </c>
      <c r="G33">
        <f t="shared" si="1"/>
        <v>1.2480000000000002</v>
      </c>
      <c r="H33" s="130">
        <f t="shared" si="2"/>
        <v>55.516014234875449</v>
      </c>
      <c r="I33" s="130">
        <f t="shared" si="3"/>
        <v>83.870967741935488</v>
      </c>
      <c r="K33">
        <f t="shared" si="8"/>
        <v>5.2</v>
      </c>
      <c r="L33">
        <f t="shared" si="4"/>
        <v>1.5600000000000003</v>
      </c>
      <c r="M33" s="130">
        <f t="shared" si="9"/>
        <v>60.9375</v>
      </c>
      <c r="N33" s="130">
        <f t="shared" si="10"/>
        <v>83.870967741935488</v>
      </c>
    </row>
    <row r="34" spans="1:14" ht="15">
      <c r="A34">
        <v>6.2</v>
      </c>
      <c r="B34">
        <f t="shared" si="0"/>
        <v>1.6740000000000002</v>
      </c>
      <c r="C34" s="130">
        <f t="shared" si="5"/>
        <v>62.602842183994007</v>
      </c>
      <c r="D34" s="130">
        <f t="shared" si="6"/>
        <v>86.111111111111114</v>
      </c>
      <c r="F34">
        <f t="shared" si="7"/>
        <v>6.2</v>
      </c>
      <c r="G34">
        <f t="shared" si="1"/>
        <v>1.4880000000000002</v>
      </c>
      <c r="H34" s="130">
        <f t="shared" si="2"/>
        <v>59.80707395498392</v>
      </c>
      <c r="I34" s="130">
        <f t="shared" si="3"/>
        <v>86.111111111111114</v>
      </c>
      <c r="K34">
        <f t="shared" si="8"/>
        <v>6.2</v>
      </c>
      <c r="L34">
        <f t="shared" si="4"/>
        <v>1.8600000000000003</v>
      </c>
      <c r="M34" s="130">
        <f t="shared" si="9"/>
        <v>65.03496503496504</v>
      </c>
      <c r="N34" s="130">
        <f t="shared" si="10"/>
        <v>86.111111111111114</v>
      </c>
    </row>
    <row r="35" spans="1:14" ht="15">
      <c r="A35">
        <v>7.2</v>
      </c>
      <c r="B35">
        <f t="shared" si="0"/>
        <v>1.9440000000000002</v>
      </c>
      <c r="C35" s="130">
        <f t="shared" si="5"/>
        <v>66.032608695652172</v>
      </c>
      <c r="D35" s="130">
        <f t="shared" si="6"/>
        <v>87.804878048780495</v>
      </c>
      <c r="F35">
        <f t="shared" si="7"/>
        <v>7.2</v>
      </c>
      <c r="G35">
        <f t="shared" si="1"/>
        <v>1.7280000000000002</v>
      </c>
      <c r="H35" s="130">
        <f t="shared" si="2"/>
        <v>63.343108504398828</v>
      </c>
      <c r="I35" s="130">
        <f t="shared" si="3"/>
        <v>87.804878048780495</v>
      </c>
      <c r="K35">
        <f t="shared" si="8"/>
        <v>7.2</v>
      </c>
      <c r="L35">
        <f t="shared" si="4"/>
        <v>2.1600000000000006</v>
      </c>
      <c r="M35" s="130">
        <f t="shared" si="9"/>
        <v>68.354430379746844</v>
      </c>
      <c r="N35" s="130">
        <f t="shared" si="10"/>
        <v>87.804878048780495</v>
      </c>
    </row>
    <row r="36" spans="1:14" ht="15">
      <c r="A36">
        <v>10</v>
      </c>
      <c r="B36">
        <f t="shared" si="0"/>
        <v>2.7</v>
      </c>
      <c r="C36" s="130">
        <f t="shared" si="5"/>
        <v>72.972972972972968</v>
      </c>
      <c r="D36" s="130">
        <f t="shared" si="6"/>
        <v>90.909090909090907</v>
      </c>
      <c r="F36">
        <f t="shared" si="7"/>
        <v>10</v>
      </c>
      <c r="G36">
        <f t="shared" si="1"/>
        <v>2.4000000000000004</v>
      </c>
      <c r="H36" s="130">
        <f t="shared" si="2"/>
        <v>70.588235294117652</v>
      </c>
      <c r="I36" s="130">
        <f t="shared" si="3"/>
        <v>90.909090909090907</v>
      </c>
      <c r="K36">
        <f t="shared" si="8"/>
        <v>10</v>
      </c>
      <c r="L36">
        <f t="shared" si="4"/>
        <v>3.0000000000000004</v>
      </c>
      <c r="M36" s="130">
        <f t="shared" si="9"/>
        <v>75.000000000000014</v>
      </c>
      <c r="N36" s="130">
        <f t="shared" si="10"/>
        <v>90.909090909090907</v>
      </c>
    </row>
    <row r="37" spans="1:14" ht="15">
      <c r="A37">
        <v>20</v>
      </c>
      <c r="B37">
        <f t="shared" si="0"/>
        <v>5.4</v>
      </c>
      <c r="C37" s="130">
        <f t="shared" si="5"/>
        <v>84.375</v>
      </c>
      <c r="D37" s="130">
        <f t="shared" si="6"/>
        <v>95.238095238095241</v>
      </c>
      <c r="F37">
        <f t="shared" si="7"/>
        <v>20</v>
      </c>
      <c r="G37">
        <f t="shared" si="1"/>
        <v>4.8000000000000007</v>
      </c>
      <c r="H37" s="130">
        <f t="shared" si="2"/>
        <v>82.758620689655174</v>
      </c>
      <c r="I37" s="130">
        <f t="shared" si="3"/>
        <v>95.238095238095241</v>
      </c>
      <c r="K37">
        <f t="shared" si="8"/>
        <v>20</v>
      </c>
      <c r="L37">
        <f t="shared" si="4"/>
        <v>6.0000000000000009</v>
      </c>
      <c r="M37" s="130">
        <f t="shared" si="9"/>
        <v>85.714285714285722</v>
      </c>
      <c r="N37" s="130">
        <f t="shared" si="10"/>
        <v>95.238095238095241</v>
      </c>
    </row>
    <row r="38" spans="1:14" ht="15">
      <c r="A38">
        <v>40</v>
      </c>
      <c r="B38">
        <f t="shared" si="0"/>
        <v>10.8</v>
      </c>
      <c r="C38" s="130">
        <f t="shared" si="5"/>
        <v>91.52542372881355</v>
      </c>
      <c r="D38" s="130">
        <f t="shared" si="6"/>
        <v>97.560975609756099</v>
      </c>
      <c r="F38">
        <f t="shared" si="7"/>
        <v>40</v>
      </c>
      <c r="G38">
        <f t="shared" si="1"/>
        <v>9.6000000000000014</v>
      </c>
      <c r="H38" s="130">
        <f t="shared" si="2"/>
        <v>90.566037735849051</v>
      </c>
      <c r="I38" s="130">
        <f t="shared" si="3"/>
        <v>97.560975609756099</v>
      </c>
      <c r="K38">
        <f t="shared" si="8"/>
        <v>40</v>
      </c>
      <c r="L38">
        <f t="shared" si="4"/>
        <v>12.000000000000002</v>
      </c>
      <c r="M38" s="130">
        <f t="shared" si="9"/>
        <v>92.307692307692307</v>
      </c>
      <c r="N38" s="130">
        <f t="shared" si="10"/>
        <v>97.560975609756099</v>
      </c>
    </row>
    <row r="39" spans="1:14" ht="15">
      <c r="A39">
        <v>80</v>
      </c>
      <c r="B39">
        <f t="shared" si="0"/>
        <v>21.6</v>
      </c>
      <c r="C39" s="130">
        <f t="shared" si="5"/>
        <v>95.575221238938042</v>
      </c>
      <c r="D39" s="130">
        <f t="shared" si="6"/>
        <v>98.76543209876543</v>
      </c>
      <c r="F39">
        <f t="shared" si="7"/>
        <v>80</v>
      </c>
      <c r="G39">
        <f t="shared" si="1"/>
        <v>19.200000000000003</v>
      </c>
      <c r="H39" s="130">
        <f t="shared" si="2"/>
        <v>95.049504950495049</v>
      </c>
      <c r="I39" s="130">
        <f t="shared" si="3"/>
        <v>98.76543209876543</v>
      </c>
      <c r="K39">
        <f t="shared" si="8"/>
        <v>80</v>
      </c>
      <c r="L39">
        <f t="shared" si="4"/>
        <v>24.000000000000004</v>
      </c>
      <c r="M39" s="130">
        <f t="shared" si="9"/>
        <v>96</v>
      </c>
      <c r="N39" s="130">
        <f t="shared" si="10"/>
        <v>98.76543209876543</v>
      </c>
    </row>
    <row r="40" spans="1:14" ht="15">
      <c r="A40">
        <v>200</v>
      </c>
      <c r="B40">
        <f t="shared" si="0"/>
        <v>54</v>
      </c>
      <c r="C40" s="130">
        <f t="shared" si="5"/>
        <v>98.181818181818187</v>
      </c>
      <c r="D40" s="130">
        <f t="shared" si="6"/>
        <v>99.50248756218906</v>
      </c>
      <c r="F40">
        <f t="shared" si="7"/>
        <v>200</v>
      </c>
      <c r="G40">
        <f t="shared" si="1"/>
        <v>48.000000000000007</v>
      </c>
      <c r="H40" s="130">
        <f t="shared" si="2"/>
        <v>97.959183673469397</v>
      </c>
      <c r="I40" s="130">
        <f t="shared" si="3"/>
        <v>99.50248756218906</v>
      </c>
      <c r="K40">
        <f t="shared" si="8"/>
        <v>200</v>
      </c>
      <c r="L40">
        <f t="shared" si="4"/>
        <v>60.000000000000007</v>
      </c>
      <c r="M40" s="130">
        <f t="shared" si="9"/>
        <v>98.360655737704917</v>
      </c>
      <c r="N40" s="130">
        <f t="shared" si="10"/>
        <v>99.50248756218906</v>
      </c>
    </row>
    <row r="41" spans="1:14" ht="15">
      <c r="A41">
        <v>1000</v>
      </c>
      <c r="B41">
        <f t="shared" si="0"/>
        <v>270</v>
      </c>
      <c r="C41" s="130">
        <f t="shared" si="5"/>
        <v>99.630996309963095</v>
      </c>
      <c r="D41" s="130">
        <f t="shared" si="6"/>
        <v>99.900099900099903</v>
      </c>
      <c r="F41">
        <f t="shared" si="7"/>
        <v>1000</v>
      </c>
      <c r="G41">
        <f t="shared" si="1"/>
        <v>240.00000000000003</v>
      </c>
      <c r="H41" s="130">
        <f>100*G41/(G41+1)</f>
        <v>99.585062240663902</v>
      </c>
      <c r="I41" s="130">
        <f t="shared" si="3"/>
        <v>99.900099900099903</v>
      </c>
      <c r="K41">
        <f t="shared" si="8"/>
        <v>1000</v>
      </c>
      <c r="L41">
        <f t="shared" si="4"/>
        <v>300.00000000000006</v>
      </c>
      <c r="M41" s="130">
        <f t="shared" si="9"/>
        <v>99.667774086378742</v>
      </c>
      <c r="N41" s="130">
        <f t="shared" si="10"/>
        <v>99.900099900099903</v>
      </c>
    </row>
    <row r="141" spans="1:72" s="56" customForma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row>
    <row r="150" spans="1:72" s="56" customForma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row>
    <row r="158" spans="1:72" s="56"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row>
    <row r="162" spans="1:72" s="56" customFormat="1">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4</vt:i4>
      </vt:variant>
    </vt:vector>
  </HeadingPairs>
  <TitlesOfParts>
    <vt:vector size="8" baseType="lpstr">
      <vt:lpstr>Instructions</vt:lpstr>
      <vt:lpstr>Cpx Input &amp; Models</vt:lpstr>
      <vt:lpstr>Thermobar_input</vt:lpstr>
      <vt:lpstr>Rhodes Diag Calcs</vt:lpstr>
      <vt:lpstr>P v T plot</vt:lpstr>
      <vt:lpstr>Test for Equilibrium</vt:lpstr>
      <vt:lpstr>En-Di-Fs diag</vt:lpstr>
      <vt:lpstr>Rhodes Diag</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Penny Wieser</cp:lastModifiedBy>
  <dcterms:created xsi:type="dcterms:W3CDTF">2008-10-09T22:50:03Z</dcterms:created>
  <dcterms:modified xsi:type="dcterms:W3CDTF">2023-04-05T03:40:07Z</dcterms:modified>
</cp:coreProperties>
</file>