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autoCompressPictures="0"/>
  <mc:AlternateContent xmlns:mc="http://schemas.openxmlformats.org/markup-compatibility/2006">
    <mc:Choice Requires="x15">
      <x15ac:absPath xmlns:x15ac="http://schemas.microsoft.com/office/spreadsheetml/2010/11/ac" url="G:\My Drive\Postdoc\Supplementary_Datasets\Moore_2015_Supplement\AM-15-45036\"/>
    </mc:Choice>
  </mc:AlternateContent>
  <xr:revisionPtr revIDLastSave="0" documentId="13_ncr:1_{25B06FF4-6E23-4C60-9189-BC611443E7C5}" xr6:coauthVersionLast="47" xr6:coauthVersionMax="47" xr10:uidLastSave="{00000000-0000-0000-0000-000000000000}"/>
  <bookViews>
    <workbookView xWindow="28680" yWindow="-120" windowWidth="25440" windowHeight="15270" tabRatio="905" xr2:uid="{00000000-000D-0000-FFFF-FFFF00000000}"/>
  </bookViews>
  <sheets>
    <sheet name="Arcs" sheetId="15" r:id="rId1"/>
    <sheet name="Table of Contents" sheetId="14" r:id="rId2"/>
    <sheet name="Table S1" sheetId="13" r:id="rId3"/>
    <sheet name="Table S2" sheetId="3" r:id="rId4"/>
    <sheet name="Table S3" sheetId="4" r:id="rId5"/>
    <sheet name="Table S4" sheetId="12" r:id="rId6"/>
    <sheet name="Table S5" sheetId="5" r:id="rId7"/>
    <sheet name="Table S6" sheetId="7" r:id="rId8"/>
  </sheets>
  <externalReferences>
    <externalReference r:id="rId9"/>
    <externalReference r:id="rId10"/>
  </externalReferences>
  <definedNames>
    <definedName name="__WTH20" localSheetId="0">#REF!</definedName>
    <definedName name="__WTH20" localSheetId="6">#REF!</definedName>
    <definedName name="__WTH20">#REF!</definedName>
    <definedName name="__XCO2" localSheetId="0">#REF!</definedName>
    <definedName name="__XCO2" localSheetId="6">#REF!</definedName>
    <definedName name="__XCO2">#REF!</definedName>
    <definedName name="_gXY1">[1]PlotDat9!$C$1:$D$34</definedName>
    <definedName name="_WTH20" localSheetId="0">#REF!</definedName>
    <definedName name="_WTH20" localSheetId="6">#REF!</definedName>
    <definedName name="_WTH20">#REF!</definedName>
    <definedName name="_XCO2" localSheetId="0">#REF!</definedName>
    <definedName name="_XCO2" localSheetId="6">#REF!</definedName>
    <definedName name="_XCO2">#REF!</definedName>
    <definedName name="A" localSheetId="0">#REF!</definedName>
    <definedName name="A" localSheetId="6">#REF!</definedName>
    <definedName name="A">#REF!</definedName>
    <definedName name="are" localSheetId="0">#REF!</definedName>
    <definedName name="are" localSheetId="6">#REF!</definedName>
    <definedName name="are">#REF!</definedName>
    <definedName name="B" localSheetId="0">#REF!</definedName>
    <definedName name="B" localSheetId="6">#REF!</definedName>
    <definedName name="B">#REF!</definedName>
    <definedName name="bone" localSheetId="0">#REF!</definedName>
    <definedName name="bone" localSheetId="6">#REF!</definedName>
    <definedName name="bone">#REF!</definedName>
    <definedName name="btwo" localSheetId="0">#REF!</definedName>
    <definedName name="btwo" localSheetId="6">#REF!</definedName>
    <definedName name="btwo">#REF!</definedName>
    <definedName name="CO2i" localSheetId="0">#REF!</definedName>
    <definedName name="CO2i" localSheetId="6">#REF!</definedName>
    <definedName name="CO2i">#REF!</definedName>
    <definedName name="FNA" localSheetId="0">#REF!</definedName>
    <definedName name="FNA" localSheetId="6">#REF!</definedName>
    <definedName name="FNA">#REF!</definedName>
    <definedName name="FNB" localSheetId="0">#REF!</definedName>
    <definedName name="FNB" localSheetId="6">#REF!</definedName>
    <definedName name="FNB">#REF!</definedName>
    <definedName name="FNC" localSheetId="0">#REF!</definedName>
    <definedName name="FNC" localSheetId="6">#REF!</definedName>
    <definedName name="FNC">#REF!</definedName>
    <definedName name="FX" localSheetId="0">#REF!</definedName>
    <definedName name="FX" localSheetId="6">#REF!</definedName>
    <definedName name="FX">#REF!</definedName>
    <definedName name="FXP" localSheetId="0">#REF!</definedName>
    <definedName name="FXP" localSheetId="6">#REF!</definedName>
    <definedName name="FXP">#REF!</definedName>
    <definedName name="gv" localSheetId="0">#REF!</definedName>
    <definedName name="gv" localSheetId="6">#REF!</definedName>
    <definedName name="gv">#REF!</definedName>
    <definedName name="H2Oi" localSheetId="0">#REF!</definedName>
    <definedName name="H2Oi" localSheetId="6">#REF!</definedName>
    <definedName name="H2Oi">#REF!</definedName>
    <definedName name="H2Oo" localSheetId="0">#REF!</definedName>
    <definedName name="H2Oo" localSheetId="6">#REF!</definedName>
    <definedName name="H2Oo">#REF!</definedName>
    <definedName name="K" localSheetId="0">#REF!</definedName>
    <definedName name="K" localSheetId="6">#REF!</definedName>
    <definedName name="K">#REF!</definedName>
    <definedName name="P" localSheetId="0">#REF!</definedName>
    <definedName name="P" localSheetId="6">#REF!</definedName>
    <definedName name="P">#REF!</definedName>
    <definedName name="PPMCO2" localSheetId="0">#REF!</definedName>
    <definedName name="PPMCO2" localSheetId="6">#REF!</definedName>
    <definedName name="PPMCO2">#REF!</definedName>
    <definedName name="pressure" localSheetId="0">#REF!</definedName>
    <definedName name="pressure" localSheetId="6">#REF!</definedName>
    <definedName name="pressure">#REF!</definedName>
    <definedName name="_xlnm.Print_Area" localSheetId="0">Arcs!$A$1:$Y$61</definedName>
    <definedName name="_xlnm.Print_Area" localSheetId="6">'Table S5'!$A$1:$Y$61</definedName>
    <definedName name="Q" localSheetId="0">#REF!</definedName>
    <definedName name="Q" localSheetId="6">#REF!</definedName>
    <definedName name="Q">#REF!</definedName>
    <definedName name="SNCO2" localSheetId="0">#REF!</definedName>
    <definedName name="SNCO2" localSheetId="6">#REF!</definedName>
    <definedName name="SNCO2">#REF!</definedName>
    <definedName name="SNH2O" localSheetId="0">#REF!</definedName>
    <definedName name="SNH2O" localSheetId="6">#REF!</definedName>
    <definedName name="SNH2O">#REF!</definedName>
    <definedName name="SNO" localSheetId="0">#REF!</definedName>
    <definedName name="SNO" localSheetId="6">#REF!</definedName>
    <definedName name="SNO">#REF!</definedName>
    <definedName name="T" localSheetId="0">#REF!</definedName>
    <definedName name="T" localSheetId="6">#REF!</definedName>
    <definedName name="T">#REF!</definedName>
    <definedName name="temp" localSheetId="0">#REF!</definedName>
    <definedName name="temp" localSheetId="6">#REF!</definedName>
    <definedName name="temp">#REF!</definedName>
    <definedName name="tempK" localSheetId="0">#REF!</definedName>
    <definedName name="tempK" localSheetId="6">#REF!</definedName>
    <definedName name="tempK">#REF!</definedName>
    <definedName name="V" localSheetId="0">#REF!</definedName>
    <definedName name="V" localSheetId="6">#REF!</definedName>
    <definedName name="V">#REF!</definedName>
    <definedName name="Vone" localSheetId="0">#REF!</definedName>
    <definedName name="Vone" localSheetId="6">#REF!</definedName>
    <definedName name="Vone">#REF!</definedName>
    <definedName name="Vtwo" localSheetId="0">#REF!</definedName>
    <definedName name="Vtwo" localSheetId="6">#REF!</definedName>
    <definedName name="Vtwo">#REF!</definedName>
    <definedName name="XB" localSheetId="0">#REF!</definedName>
    <definedName name="XB" localSheetId="6">#REF!</definedName>
    <definedName name="XB">#REF!</definedName>
    <definedName name="XH2O" localSheetId="0">#REF!</definedName>
    <definedName name="XH2O" localSheetId="6">#REF!</definedName>
    <definedName name="XH2O">#REF!</definedName>
    <definedName name="XO" localSheetId="0">#REF!</definedName>
    <definedName name="XO" localSheetId="6">#REF!</definedName>
    <definedName name="XO">#REF!</definedName>
    <definedName name="XOHM0" localSheetId="0">#REF!</definedName>
    <definedName name="XOHM0" localSheetId="6">#REF!</definedName>
    <definedName name="XOHM0">#REF!</definedName>
    <definedName name="xone" localSheetId="0">#REF!</definedName>
    <definedName name="xone" localSheetId="6">#REF!</definedName>
    <definedName name="xone">#REF!</definedName>
    <definedName name="Y" localSheetId="0">#REF!</definedName>
    <definedName name="Y" localSheetId="6">#REF!</definedName>
    <definedName name="Y">#REF!</definedName>
    <definedName name="Z" localSheetId="0">#REF!</definedName>
    <definedName name="Z" localSheetId="6">#REF!</definedName>
    <definedName name="Z">#REF!</definedName>
  </definedNames>
  <calcPr calcId="191029" iterate="1"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Q62" i="15" l="1"/>
  <c r="I61" i="15"/>
  <c r="R63" i="15"/>
  <c r="S63" i="15"/>
  <c r="Q63" i="15"/>
  <c r="T63" i="15"/>
  <c r="U63" i="15"/>
  <c r="V63" i="15"/>
  <c r="X63" i="15"/>
  <c r="Y63" i="15"/>
  <c r="R62" i="15"/>
  <c r="S62" i="15"/>
  <c r="T62" i="15"/>
  <c r="U62" i="15"/>
  <c r="V62" i="15"/>
  <c r="X62" i="15"/>
  <c r="Y62" i="15"/>
  <c r="Q61" i="15"/>
  <c r="R61" i="15"/>
  <c r="S61" i="15"/>
  <c r="T61" i="15"/>
  <c r="U61" i="15"/>
  <c r="V61" i="15"/>
  <c r="X61" i="15"/>
  <c r="Y61" i="15"/>
  <c r="Z63" i="15"/>
  <c r="AB61" i="15"/>
  <c r="AA61" i="15"/>
  <c r="Q58" i="15"/>
  <c r="I57" i="15"/>
  <c r="R59" i="15"/>
  <c r="S59" i="15"/>
  <c r="Q59" i="15"/>
  <c r="T59" i="15"/>
  <c r="U59" i="15"/>
  <c r="V59" i="15"/>
  <c r="X59" i="15"/>
  <c r="Y59" i="15"/>
  <c r="R58" i="15"/>
  <c r="S58" i="15"/>
  <c r="T58" i="15"/>
  <c r="U58" i="15"/>
  <c r="V58" i="15"/>
  <c r="X58" i="15"/>
  <c r="Y58" i="15"/>
  <c r="Q57" i="15"/>
  <c r="R57" i="15"/>
  <c r="S57" i="15"/>
  <c r="T57" i="15"/>
  <c r="U57" i="15"/>
  <c r="V57" i="15"/>
  <c r="X57" i="15"/>
  <c r="Y57" i="15"/>
  <c r="Z59" i="15"/>
  <c r="AB57" i="15"/>
  <c r="AA57" i="15"/>
  <c r="Q54" i="15"/>
  <c r="I53" i="15"/>
  <c r="R55" i="15"/>
  <c r="S55" i="15"/>
  <c r="Q55" i="15"/>
  <c r="T55" i="15"/>
  <c r="U55" i="15"/>
  <c r="V55" i="15"/>
  <c r="X55" i="15"/>
  <c r="Y55" i="15"/>
  <c r="R54" i="15"/>
  <c r="S54" i="15"/>
  <c r="T54" i="15"/>
  <c r="U54" i="15"/>
  <c r="V54" i="15"/>
  <c r="X54" i="15"/>
  <c r="Y54" i="15"/>
  <c r="Q53" i="15"/>
  <c r="R53" i="15"/>
  <c r="S53" i="15"/>
  <c r="T53" i="15"/>
  <c r="U53" i="15"/>
  <c r="V53" i="15"/>
  <c r="X53" i="15"/>
  <c r="Y53" i="15"/>
  <c r="Z55" i="15"/>
  <c r="AB53" i="15"/>
  <c r="AA53" i="15"/>
  <c r="Q50" i="15"/>
  <c r="I49" i="15"/>
  <c r="R51" i="15"/>
  <c r="S51" i="15"/>
  <c r="Q51" i="15"/>
  <c r="T51" i="15"/>
  <c r="U51" i="15"/>
  <c r="V51" i="15"/>
  <c r="X51" i="15"/>
  <c r="Y51" i="15"/>
  <c r="R50" i="15"/>
  <c r="S50" i="15"/>
  <c r="T50" i="15"/>
  <c r="U50" i="15"/>
  <c r="V50" i="15"/>
  <c r="X50" i="15"/>
  <c r="Y50" i="15"/>
  <c r="Q49" i="15"/>
  <c r="R49" i="15"/>
  <c r="S49" i="15"/>
  <c r="T49" i="15"/>
  <c r="U49" i="15"/>
  <c r="V49" i="15"/>
  <c r="X49" i="15"/>
  <c r="Y49" i="15"/>
  <c r="Z51" i="15"/>
  <c r="AB49" i="15"/>
  <c r="AA49" i="15"/>
  <c r="Q46" i="15"/>
  <c r="I45" i="15"/>
  <c r="R47" i="15"/>
  <c r="S47" i="15"/>
  <c r="Q47" i="15"/>
  <c r="T47" i="15"/>
  <c r="U47" i="15"/>
  <c r="V47" i="15"/>
  <c r="X47" i="15"/>
  <c r="Y47" i="15"/>
  <c r="R46" i="15"/>
  <c r="S46" i="15"/>
  <c r="T46" i="15"/>
  <c r="U46" i="15"/>
  <c r="V46" i="15"/>
  <c r="X46" i="15"/>
  <c r="Y46" i="15"/>
  <c r="Q45" i="15"/>
  <c r="R45" i="15"/>
  <c r="S45" i="15"/>
  <c r="T45" i="15"/>
  <c r="U45" i="15"/>
  <c r="V45" i="15"/>
  <c r="X45" i="15"/>
  <c r="Y45" i="15"/>
  <c r="Z47" i="15"/>
  <c r="AB45" i="15"/>
  <c r="AA45" i="15"/>
  <c r="Q42" i="15"/>
  <c r="I41" i="15"/>
  <c r="R43" i="15"/>
  <c r="S43" i="15"/>
  <c r="Q43" i="15"/>
  <c r="T43" i="15"/>
  <c r="U43" i="15"/>
  <c r="V43" i="15"/>
  <c r="X43" i="15"/>
  <c r="Y43" i="15"/>
  <c r="R42" i="15"/>
  <c r="S42" i="15"/>
  <c r="T42" i="15"/>
  <c r="U42" i="15"/>
  <c r="V42" i="15"/>
  <c r="X42" i="15"/>
  <c r="Y42" i="15"/>
  <c r="Q41" i="15"/>
  <c r="R41" i="15"/>
  <c r="S41" i="15"/>
  <c r="T41" i="15"/>
  <c r="U41" i="15"/>
  <c r="V41" i="15"/>
  <c r="X41" i="15"/>
  <c r="Y41" i="15"/>
  <c r="Z43" i="15"/>
  <c r="AB41" i="15"/>
  <c r="AA41" i="15"/>
  <c r="Q38" i="15"/>
  <c r="I37" i="15"/>
  <c r="R39" i="15"/>
  <c r="S39" i="15"/>
  <c r="Q39" i="15"/>
  <c r="T39" i="15"/>
  <c r="U39" i="15"/>
  <c r="V39" i="15"/>
  <c r="X39" i="15"/>
  <c r="Y39" i="15"/>
  <c r="R38" i="15"/>
  <c r="S38" i="15"/>
  <c r="T38" i="15"/>
  <c r="U38" i="15"/>
  <c r="V38" i="15"/>
  <c r="X38" i="15"/>
  <c r="Y38" i="15"/>
  <c r="Q37" i="15"/>
  <c r="R37" i="15"/>
  <c r="S37" i="15"/>
  <c r="T37" i="15"/>
  <c r="U37" i="15"/>
  <c r="V37" i="15"/>
  <c r="X37" i="15"/>
  <c r="Y37" i="15"/>
  <c r="Z39" i="15"/>
  <c r="AB37" i="15"/>
  <c r="AA37" i="15"/>
  <c r="Q34" i="15"/>
  <c r="I33" i="15"/>
  <c r="R35" i="15"/>
  <c r="S35" i="15"/>
  <c r="Q35" i="15"/>
  <c r="T35" i="15"/>
  <c r="U35" i="15"/>
  <c r="V35" i="15"/>
  <c r="X35" i="15"/>
  <c r="Y35" i="15"/>
  <c r="R34" i="15"/>
  <c r="S34" i="15"/>
  <c r="T34" i="15"/>
  <c r="U34" i="15"/>
  <c r="V34" i="15"/>
  <c r="X34" i="15"/>
  <c r="Y34" i="15"/>
  <c r="Q33" i="15"/>
  <c r="R33" i="15"/>
  <c r="S33" i="15"/>
  <c r="T33" i="15"/>
  <c r="U33" i="15"/>
  <c r="V33" i="15"/>
  <c r="X33" i="15"/>
  <c r="Y33" i="15"/>
  <c r="Z35" i="15"/>
  <c r="AB33" i="15"/>
  <c r="AA33" i="15"/>
  <c r="Q30" i="15"/>
  <c r="I29" i="15"/>
  <c r="R31" i="15"/>
  <c r="S31" i="15"/>
  <c r="Q31" i="15"/>
  <c r="T31" i="15"/>
  <c r="U31" i="15"/>
  <c r="V31" i="15"/>
  <c r="X31" i="15"/>
  <c r="Y31" i="15"/>
  <c r="R30" i="15"/>
  <c r="S30" i="15"/>
  <c r="T30" i="15"/>
  <c r="U30" i="15"/>
  <c r="V30" i="15"/>
  <c r="X30" i="15"/>
  <c r="Y30" i="15"/>
  <c r="Q29" i="15"/>
  <c r="R29" i="15"/>
  <c r="S29" i="15"/>
  <c r="T29" i="15"/>
  <c r="U29" i="15"/>
  <c r="V29" i="15"/>
  <c r="X29" i="15"/>
  <c r="Y29" i="15"/>
  <c r="Z31" i="15"/>
  <c r="AB29" i="15"/>
  <c r="AA29" i="15"/>
  <c r="Q26" i="15"/>
  <c r="I25" i="15"/>
  <c r="R27" i="15"/>
  <c r="S27" i="15"/>
  <c r="Q27" i="15"/>
  <c r="T27" i="15"/>
  <c r="U27" i="15"/>
  <c r="V27" i="15"/>
  <c r="X27" i="15"/>
  <c r="Y27" i="15"/>
  <c r="R26" i="15"/>
  <c r="S26" i="15"/>
  <c r="T26" i="15"/>
  <c r="U26" i="15"/>
  <c r="V26" i="15"/>
  <c r="X26" i="15"/>
  <c r="Y26" i="15"/>
  <c r="Q25" i="15"/>
  <c r="R25" i="15"/>
  <c r="S25" i="15"/>
  <c r="T25" i="15"/>
  <c r="U25" i="15"/>
  <c r="V25" i="15"/>
  <c r="X25" i="15"/>
  <c r="Y25" i="15"/>
  <c r="Z27" i="15"/>
  <c r="AB25" i="15"/>
  <c r="AA25" i="15"/>
  <c r="Q22" i="15"/>
  <c r="I21" i="15"/>
  <c r="R23" i="15"/>
  <c r="S23" i="15"/>
  <c r="Q23" i="15"/>
  <c r="T23" i="15"/>
  <c r="U23" i="15"/>
  <c r="V23" i="15"/>
  <c r="X23" i="15"/>
  <c r="Y23" i="15"/>
  <c r="R22" i="15"/>
  <c r="S22" i="15"/>
  <c r="T22" i="15"/>
  <c r="U22" i="15"/>
  <c r="V22" i="15"/>
  <c r="X22" i="15"/>
  <c r="Y22" i="15"/>
  <c r="Q21" i="15"/>
  <c r="R21" i="15"/>
  <c r="S21" i="15"/>
  <c r="T21" i="15"/>
  <c r="U21" i="15"/>
  <c r="V21" i="15"/>
  <c r="X21" i="15"/>
  <c r="Y21" i="15"/>
  <c r="Z23" i="15"/>
  <c r="AB21" i="15"/>
  <c r="AA21" i="15"/>
  <c r="Q18" i="15"/>
  <c r="I17" i="15"/>
  <c r="R19" i="15"/>
  <c r="S19" i="15"/>
  <c r="Q19" i="15"/>
  <c r="T19" i="15"/>
  <c r="U19" i="15"/>
  <c r="V19" i="15"/>
  <c r="X19" i="15"/>
  <c r="Y19" i="15"/>
  <c r="R18" i="15"/>
  <c r="S18" i="15"/>
  <c r="T18" i="15"/>
  <c r="U18" i="15"/>
  <c r="V18" i="15"/>
  <c r="X18" i="15"/>
  <c r="Y18" i="15"/>
  <c r="Q17" i="15"/>
  <c r="R17" i="15"/>
  <c r="S17" i="15"/>
  <c r="T17" i="15"/>
  <c r="U17" i="15"/>
  <c r="V17" i="15"/>
  <c r="X17" i="15"/>
  <c r="Y17" i="15"/>
  <c r="Z19" i="15"/>
  <c r="AB17" i="15"/>
  <c r="AA17" i="15"/>
  <c r="Q15" i="15"/>
  <c r="I14" i="15"/>
  <c r="R16" i="15"/>
  <c r="S16" i="15"/>
  <c r="Q16" i="15"/>
  <c r="T16" i="15"/>
  <c r="U16" i="15"/>
  <c r="V16" i="15"/>
  <c r="X16" i="15"/>
  <c r="Y16" i="15"/>
  <c r="R15" i="15"/>
  <c r="S15" i="15"/>
  <c r="T15" i="15"/>
  <c r="U15" i="15"/>
  <c r="V15" i="15"/>
  <c r="X15" i="15"/>
  <c r="Y15" i="15"/>
  <c r="Q14" i="15"/>
  <c r="R14" i="15"/>
  <c r="S14" i="15"/>
  <c r="T14" i="15"/>
  <c r="U14" i="15"/>
  <c r="V14" i="15"/>
  <c r="X14" i="15"/>
  <c r="Y14" i="15"/>
  <c r="Z16" i="15"/>
  <c r="AB14" i="15"/>
  <c r="AA14" i="15"/>
  <c r="Q11" i="15"/>
  <c r="I10" i="15"/>
  <c r="R12" i="15"/>
  <c r="S12" i="15"/>
  <c r="Q12" i="15"/>
  <c r="T12" i="15"/>
  <c r="U12" i="15"/>
  <c r="V12" i="15"/>
  <c r="X12" i="15"/>
  <c r="Y12" i="15"/>
  <c r="R11" i="15"/>
  <c r="S11" i="15"/>
  <c r="T11" i="15"/>
  <c r="U11" i="15"/>
  <c r="V11" i="15"/>
  <c r="X11" i="15"/>
  <c r="Y11" i="15"/>
  <c r="Q10" i="15"/>
  <c r="R10" i="15"/>
  <c r="S10" i="15"/>
  <c r="T10" i="15"/>
  <c r="U10" i="15"/>
  <c r="V10" i="15"/>
  <c r="X10" i="15"/>
  <c r="Y10" i="15"/>
  <c r="Z12" i="15"/>
  <c r="AB10" i="15"/>
  <c r="AA10" i="15"/>
  <c r="Q7" i="15"/>
  <c r="I6" i="15"/>
  <c r="R8" i="15"/>
  <c r="S8" i="15"/>
  <c r="Q8" i="15"/>
  <c r="T8" i="15"/>
  <c r="U8" i="15"/>
  <c r="V8" i="15"/>
  <c r="X8" i="15"/>
  <c r="Y8" i="15"/>
  <c r="R7" i="15"/>
  <c r="S7" i="15"/>
  <c r="T7" i="15"/>
  <c r="U7" i="15"/>
  <c r="V7" i="15"/>
  <c r="X7" i="15"/>
  <c r="Y7" i="15"/>
  <c r="Q6" i="15"/>
  <c r="R6" i="15"/>
  <c r="S6" i="15"/>
  <c r="T6" i="15"/>
  <c r="U6" i="15"/>
  <c r="V6" i="15"/>
  <c r="X6" i="15"/>
  <c r="Y6" i="15"/>
  <c r="Z8" i="15"/>
  <c r="AB6" i="15"/>
  <c r="AA6" i="15"/>
  <c r="Q4" i="15"/>
  <c r="S4" i="15"/>
  <c r="Q3" i="15"/>
  <c r="I2" i="15"/>
  <c r="R4" i="15"/>
  <c r="AD4" i="15"/>
  <c r="T4" i="15"/>
  <c r="U4" i="15"/>
  <c r="V4" i="15"/>
  <c r="X4" i="15"/>
  <c r="Y4" i="15"/>
  <c r="R3" i="15"/>
  <c r="S3" i="15"/>
  <c r="T3" i="15"/>
  <c r="U3" i="15"/>
  <c r="V3" i="15"/>
  <c r="X3" i="15"/>
  <c r="Y3" i="15"/>
  <c r="Q2" i="15"/>
  <c r="R2" i="15"/>
  <c r="S2" i="15"/>
  <c r="T2" i="15"/>
  <c r="U2" i="15"/>
  <c r="V2" i="15"/>
  <c r="X2" i="15"/>
  <c r="Y2" i="15"/>
  <c r="Z4" i="15"/>
  <c r="AD3" i="15"/>
  <c r="AD2" i="15"/>
  <c r="AF2" i="15"/>
  <c r="AE2" i="15"/>
  <c r="AC2" i="15"/>
  <c r="AB2" i="15"/>
  <c r="AA2" i="15"/>
  <c r="Q2" i="5"/>
  <c r="S2" i="5"/>
  <c r="AD2" i="5"/>
  <c r="AF2" i="5"/>
  <c r="R2" i="5"/>
  <c r="T2" i="5"/>
  <c r="U2" i="5"/>
  <c r="V2" i="5"/>
  <c r="X2" i="5"/>
  <c r="Q3" i="5"/>
  <c r="S3" i="5"/>
  <c r="I2" i="5"/>
  <c r="R3" i="5"/>
  <c r="AD3" i="5"/>
  <c r="Q4" i="5"/>
  <c r="S4" i="5"/>
  <c r="R4" i="5"/>
  <c r="AD4" i="5"/>
  <c r="AC2" i="5"/>
  <c r="Y2" i="5"/>
  <c r="AE2" i="5"/>
  <c r="E40" i="13"/>
  <c r="G17" i="13"/>
  <c r="F17" i="13"/>
  <c r="E17" i="13"/>
  <c r="D17" i="13"/>
  <c r="C17" i="13"/>
  <c r="B17" i="13"/>
  <c r="S6" i="7"/>
  <c r="S7" i="7"/>
  <c r="S8" i="7"/>
  <c r="S9" i="7"/>
  <c r="S10" i="7"/>
  <c r="S11" i="7"/>
  <c r="S12" i="7"/>
  <c r="S13" i="7"/>
  <c r="S14" i="7"/>
  <c r="S15" i="7"/>
  <c r="S16" i="7"/>
  <c r="S17" i="7"/>
  <c r="S18" i="7"/>
  <c r="S19" i="7"/>
  <c r="S20" i="7"/>
  <c r="S21" i="7"/>
  <c r="S22" i="7"/>
  <c r="S23" i="7"/>
  <c r="S24" i="7"/>
  <c r="S25" i="7"/>
  <c r="S26" i="7"/>
  <c r="S5" i="7"/>
  <c r="C21" i="12"/>
  <c r="C22" i="12"/>
  <c r="C23" i="12"/>
  <c r="C24" i="12"/>
  <c r="C25" i="12"/>
  <c r="C26" i="12"/>
  <c r="C27" i="12"/>
  <c r="C28" i="12"/>
  <c r="C29" i="12"/>
  <c r="C30" i="12"/>
  <c r="C31" i="12"/>
  <c r="D21" i="12"/>
  <c r="D22" i="12"/>
  <c r="D23" i="12"/>
  <c r="D24" i="12"/>
  <c r="D25" i="12"/>
  <c r="D26" i="12"/>
  <c r="AQ26" i="12"/>
  <c r="D27" i="12"/>
  <c r="D28" i="12"/>
  <c r="D29" i="12"/>
  <c r="D30" i="12"/>
  <c r="D31" i="12"/>
  <c r="E21" i="12"/>
  <c r="E22" i="12"/>
  <c r="E23" i="12"/>
  <c r="E24" i="12"/>
  <c r="E25" i="12"/>
  <c r="E26" i="12"/>
  <c r="E27" i="12"/>
  <c r="E28" i="12"/>
  <c r="E29" i="12"/>
  <c r="E30" i="12"/>
  <c r="E31" i="12"/>
  <c r="F21" i="12"/>
  <c r="F22" i="12"/>
  <c r="F23" i="12"/>
  <c r="F24" i="12"/>
  <c r="F25" i="12"/>
  <c r="F26" i="12"/>
  <c r="F27" i="12"/>
  <c r="F28" i="12"/>
  <c r="F29" i="12"/>
  <c r="F30" i="12"/>
  <c r="F31" i="12"/>
  <c r="G21" i="12"/>
  <c r="G22" i="12"/>
  <c r="G23" i="12"/>
  <c r="G24" i="12"/>
  <c r="G25" i="12"/>
  <c r="G26" i="12"/>
  <c r="G27" i="12"/>
  <c r="G28" i="12"/>
  <c r="G29" i="12"/>
  <c r="G30" i="12"/>
  <c r="G31" i="12"/>
  <c r="H21" i="12"/>
  <c r="H22" i="12"/>
  <c r="H23" i="12"/>
  <c r="H32" i="12"/>
  <c r="H24" i="12"/>
  <c r="H25" i="12"/>
  <c r="H26" i="12"/>
  <c r="H27" i="12"/>
  <c r="H28" i="12"/>
  <c r="H29" i="12"/>
  <c r="H30" i="12"/>
  <c r="H31" i="12"/>
  <c r="I21" i="12"/>
  <c r="I32" i="12"/>
  <c r="I22" i="12"/>
  <c r="I23" i="12"/>
  <c r="I24" i="12"/>
  <c r="I25" i="12"/>
  <c r="I26" i="12"/>
  <c r="I27" i="12"/>
  <c r="I28" i="12"/>
  <c r="I29" i="12"/>
  <c r="I30" i="12"/>
  <c r="I31" i="12"/>
  <c r="J21" i="12"/>
  <c r="J22" i="12"/>
  <c r="J23" i="12"/>
  <c r="J24" i="12"/>
  <c r="J25" i="12"/>
  <c r="J26" i="12"/>
  <c r="J27" i="12"/>
  <c r="J28" i="12"/>
  <c r="J29" i="12"/>
  <c r="J30" i="12"/>
  <c r="J31" i="12"/>
  <c r="K21" i="12"/>
  <c r="K22" i="12"/>
  <c r="K23" i="12"/>
  <c r="K24" i="12"/>
  <c r="K25" i="12"/>
  <c r="K26" i="12"/>
  <c r="K27" i="12"/>
  <c r="K28" i="12"/>
  <c r="K29" i="12"/>
  <c r="K30" i="12"/>
  <c r="K31" i="12"/>
  <c r="L21" i="12"/>
  <c r="L22" i="12"/>
  <c r="L23" i="12"/>
  <c r="L24" i="12"/>
  <c r="L25" i="12"/>
  <c r="L26" i="12"/>
  <c r="L27" i="12"/>
  <c r="L28" i="12"/>
  <c r="L29" i="12"/>
  <c r="L30" i="12"/>
  <c r="L31" i="12"/>
  <c r="M21" i="12"/>
  <c r="M22" i="12"/>
  <c r="M23" i="12"/>
  <c r="M24" i="12"/>
  <c r="M25" i="12"/>
  <c r="M26" i="12"/>
  <c r="M27" i="12"/>
  <c r="M28" i="12"/>
  <c r="M29" i="12"/>
  <c r="M30" i="12"/>
  <c r="M31" i="12"/>
  <c r="N21" i="12"/>
  <c r="N22" i="12"/>
  <c r="N23" i="12"/>
  <c r="N24" i="12"/>
  <c r="N25" i="12"/>
  <c r="N26" i="12"/>
  <c r="N27" i="12"/>
  <c r="N28" i="12"/>
  <c r="N29" i="12"/>
  <c r="N30" i="12"/>
  <c r="N31" i="12"/>
  <c r="O21" i="12"/>
  <c r="O22" i="12"/>
  <c r="O23" i="12"/>
  <c r="O24" i="12"/>
  <c r="O25" i="12"/>
  <c r="O26" i="12"/>
  <c r="O27" i="12"/>
  <c r="O28" i="12"/>
  <c r="O29" i="12"/>
  <c r="O30" i="12"/>
  <c r="O31" i="12"/>
  <c r="P21" i="12"/>
  <c r="P22" i="12"/>
  <c r="P23" i="12"/>
  <c r="P32" i="12"/>
  <c r="P24" i="12"/>
  <c r="P25" i="12"/>
  <c r="P26" i="12"/>
  <c r="P27" i="12"/>
  <c r="P28" i="12"/>
  <c r="P29" i="12"/>
  <c r="P30" i="12"/>
  <c r="P31" i="12"/>
  <c r="Q21" i="12"/>
  <c r="Q22" i="12"/>
  <c r="Q23" i="12"/>
  <c r="Q24" i="12"/>
  <c r="Q25" i="12"/>
  <c r="Q26" i="12"/>
  <c r="Q27" i="12"/>
  <c r="Q28" i="12"/>
  <c r="Q29" i="12"/>
  <c r="Q30" i="12"/>
  <c r="Q31" i="12"/>
  <c r="R21" i="12"/>
  <c r="R22" i="12"/>
  <c r="R23" i="12"/>
  <c r="R24" i="12"/>
  <c r="R25" i="12"/>
  <c r="R26" i="12"/>
  <c r="R27" i="12"/>
  <c r="R28" i="12"/>
  <c r="R29" i="12"/>
  <c r="R30" i="12"/>
  <c r="R31" i="12"/>
  <c r="S21" i="12"/>
  <c r="S22" i="12"/>
  <c r="S23" i="12"/>
  <c r="S24" i="12"/>
  <c r="S25" i="12"/>
  <c r="S26" i="12"/>
  <c r="S27" i="12"/>
  <c r="S28" i="12"/>
  <c r="S29" i="12"/>
  <c r="S30" i="12"/>
  <c r="S31" i="12"/>
  <c r="T21" i="12"/>
  <c r="T22" i="12"/>
  <c r="T23" i="12"/>
  <c r="T24" i="12"/>
  <c r="T25" i="12"/>
  <c r="T26" i="12"/>
  <c r="T27" i="12"/>
  <c r="T28" i="12"/>
  <c r="T29" i="12"/>
  <c r="T30" i="12"/>
  <c r="T31" i="12"/>
  <c r="U21" i="12"/>
  <c r="U22" i="12"/>
  <c r="U23" i="12"/>
  <c r="U24" i="12"/>
  <c r="U25" i="12"/>
  <c r="U26" i="12"/>
  <c r="U27" i="12"/>
  <c r="U28" i="12"/>
  <c r="U29" i="12"/>
  <c r="U30" i="12"/>
  <c r="U31" i="12"/>
  <c r="V21" i="12"/>
  <c r="V22" i="12"/>
  <c r="V23" i="12"/>
  <c r="V24" i="12"/>
  <c r="V25" i="12"/>
  <c r="V26" i="12"/>
  <c r="V27" i="12"/>
  <c r="V28" i="12"/>
  <c r="V29" i="12"/>
  <c r="V30" i="12"/>
  <c r="V31" i="12"/>
  <c r="W21" i="12"/>
  <c r="W22" i="12"/>
  <c r="W23" i="12"/>
  <c r="W24" i="12"/>
  <c r="W25" i="12"/>
  <c r="W26" i="12"/>
  <c r="W27" i="12"/>
  <c r="W28" i="12"/>
  <c r="W29" i="12"/>
  <c r="W30" i="12"/>
  <c r="W31" i="12"/>
  <c r="X21" i="12"/>
  <c r="X22" i="12"/>
  <c r="X23" i="12"/>
  <c r="X32" i="12"/>
  <c r="X24" i="12"/>
  <c r="X25" i="12"/>
  <c r="X26" i="12"/>
  <c r="X27" i="12"/>
  <c r="X28" i="12"/>
  <c r="X29" i="12"/>
  <c r="X30" i="12"/>
  <c r="X31" i="12"/>
  <c r="Y21" i="12"/>
  <c r="Y32" i="12"/>
  <c r="Y22" i="12"/>
  <c r="Y23" i="12"/>
  <c r="Y24" i="12"/>
  <c r="Y25" i="12"/>
  <c r="Y26" i="12"/>
  <c r="Y27" i="12"/>
  <c r="Y28" i="12"/>
  <c r="Y29" i="12"/>
  <c r="Y30" i="12"/>
  <c r="Y31" i="12"/>
  <c r="Z21" i="12"/>
  <c r="Z22" i="12"/>
  <c r="Z23" i="12"/>
  <c r="Z24" i="12"/>
  <c r="Z25" i="12"/>
  <c r="Z26" i="12"/>
  <c r="Z27" i="12"/>
  <c r="Z28" i="12"/>
  <c r="Z29" i="12"/>
  <c r="Z30" i="12"/>
  <c r="Z31" i="12"/>
  <c r="AA21" i="12"/>
  <c r="AA22" i="12"/>
  <c r="AA23" i="12"/>
  <c r="AA24" i="12"/>
  <c r="AA25" i="12"/>
  <c r="AA26" i="12"/>
  <c r="AA27" i="12"/>
  <c r="AA28" i="12"/>
  <c r="AA29" i="12"/>
  <c r="AA30" i="12"/>
  <c r="AA31" i="12"/>
  <c r="AB21" i="12"/>
  <c r="AB22" i="12"/>
  <c r="AB23" i="12"/>
  <c r="AB24" i="12"/>
  <c r="AB25" i="12"/>
  <c r="AB26" i="12"/>
  <c r="AB27" i="12"/>
  <c r="AB28" i="12"/>
  <c r="AB29" i="12"/>
  <c r="AB30" i="12"/>
  <c r="AB31" i="12"/>
  <c r="AC21" i="12"/>
  <c r="AC22" i="12"/>
  <c r="AC23" i="12"/>
  <c r="AC24" i="12"/>
  <c r="AC25" i="12"/>
  <c r="AC26" i="12"/>
  <c r="AC27" i="12"/>
  <c r="AC28" i="12"/>
  <c r="AC29" i="12"/>
  <c r="AC30" i="12"/>
  <c r="AC31" i="12"/>
  <c r="AD21" i="12"/>
  <c r="AD22" i="12"/>
  <c r="AD23" i="12"/>
  <c r="AD24" i="12"/>
  <c r="AD25" i="12"/>
  <c r="AD26" i="12"/>
  <c r="AD27" i="12"/>
  <c r="AD28" i="12"/>
  <c r="AD29" i="12"/>
  <c r="AD30" i="12"/>
  <c r="AD31" i="12"/>
  <c r="AE21" i="12"/>
  <c r="AE22" i="12"/>
  <c r="AE23" i="12"/>
  <c r="AE24" i="12"/>
  <c r="AE25" i="12"/>
  <c r="AE26" i="12"/>
  <c r="AE27" i="12"/>
  <c r="AE28" i="12"/>
  <c r="AE29" i="12"/>
  <c r="AE30" i="12"/>
  <c r="AE31" i="12"/>
  <c r="AF21" i="12"/>
  <c r="AF22" i="12"/>
  <c r="AF23" i="12"/>
  <c r="AF32" i="12"/>
  <c r="AF24" i="12"/>
  <c r="AQ24" i="12"/>
  <c r="AF25" i="12"/>
  <c r="AF26" i="12"/>
  <c r="AF27" i="12"/>
  <c r="AF28" i="12"/>
  <c r="AF29" i="12"/>
  <c r="AF30" i="12"/>
  <c r="AF31" i="12"/>
  <c r="AG21" i="12"/>
  <c r="AG32" i="12"/>
  <c r="AG22" i="12"/>
  <c r="AG23" i="12"/>
  <c r="AG24" i="12"/>
  <c r="AG25" i="12"/>
  <c r="AG26" i="12"/>
  <c r="AG27" i="12"/>
  <c r="AG28" i="12"/>
  <c r="AG29" i="12"/>
  <c r="AG30" i="12"/>
  <c r="AG31" i="12"/>
  <c r="AH21" i="12"/>
  <c r="AH22" i="12"/>
  <c r="AH23" i="12"/>
  <c r="AH24" i="12"/>
  <c r="AH25" i="12"/>
  <c r="AH26" i="12"/>
  <c r="AH27" i="12"/>
  <c r="AH28" i="12"/>
  <c r="AH29" i="12"/>
  <c r="AH30" i="12"/>
  <c r="AH31" i="12"/>
  <c r="AI21" i="12"/>
  <c r="AI22" i="12"/>
  <c r="AI23" i="12"/>
  <c r="AI24" i="12"/>
  <c r="AI25" i="12"/>
  <c r="AI26" i="12"/>
  <c r="AI27" i="12"/>
  <c r="AI28" i="12"/>
  <c r="AI29" i="12"/>
  <c r="AI30" i="12"/>
  <c r="AI31" i="12"/>
  <c r="AJ21" i="12"/>
  <c r="AJ22" i="12"/>
  <c r="AJ23" i="12"/>
  <c r="AJ24" i="12"/>
  <c r="AJ25" i="12"/>
  <c r="AJ26" i="12"/>
  <c r="AJ27" i="12"/>
  <c r="AJ28" i="12"/>
  <c r="AJ29" i="12"/>
  <c r="AJ30" i="12"/>
  <c r="AJ31" i="12"/>
  <c r="AK21" i="12"/>
  <c r="AK22" i="12"/>
  <c r="AK23" i="12"/>
  <c r="AK24" i="12"/>
  <c r="AK25" i="12"/>
  <c r="AK26" i="12"/>
  <c r="AK27" i="12"/>
  <c r="AK28" i="12"/>
  <c r="AK29" i="12"/>
  <c r="AK30" i="12"/>
  <c r="AK31" i="12"/>
  <c r="AL21" i="12"/>
  <c r="AL22" i="12"/>
  <c r="AL23" i="12"/>
  <c r="AL24" i="12"/>
  <c r="AL25" i="12"/>
  <c r="AL26" i="12"/>
  <c r="AL27" i="12"/>
  <c r="AL28" i="12"/>
  <c r="AL29" i="12"/>
  <c r="AL30" i="12"/>
  <c r="AL31" i="12"/>
  <c r="AM21" i="12"/>
  <c r="AM22" i="12"/>
  <c r="AM23" i="12"/>
  <c r="AM24" i="12"/>
  <c r="AM25" i="12"/>
  <c r="AM26" i="12"/>
  <c r="AM27" i="12"/>
  <c r="AM28" i="12"/>
  <c r="AM29" i="12"/>
  <c r="AM30" i="12"/>
  <c r="AM31" i="12"/>
  <c r="AN21" i="12"/>
  <c r="AN22" i="12"/>
  <c r="AN23" i="12"/>
  <c r="AN24" i="12"/>
  <c r="AN25" i="12"/>
  <c r="AN26" i="12"/>
  <c r="AN27" i="12"/>
  <c r="AN28" i="12"/>
  <c r="AN29" i="12"/>
  <c r="AN30" i="12"/>
  <c r="AN31" i="12"/>
  <c r="AO21" i="12"/>
  <c r="AO22" i="12"/>
  <c r="AO23" i="12"/>
  <c r="AO24" i="12"/>
  <c r="AO25" i="12"/>
  <c r="AO26" i="12"/>
  <c r="AO27" i="12"/>
  <c r="AO28" i="12"/>
  <c r="AO29" i="12"/>
  <c r="AO30" i="12"/>
  <c r="AO31" i="12"/>
  <c r="D37" i="12"/>
  <c r="E37" i="12"/>
  <c r="F37" i="12"/>
  <c r="G37" i="12"/>
  <c r="C37" i="12"/>
  <c r="AL37" i="12"/>
  <c r="H37" i="12"/>
  <c r="I37" i="12"/>
  <c r="J37" i="12"/>
  <c r="K37" i="12"/>
  <c r="L37" i="12"/>
  <c r="M37" i="12"/>
  <c r="N37" i="12"/>
  <c r="O37" i="12"/>
  <c r="P37" i="12"/>
  <c r="R37" i="12"/>
  <c r="S37" i="12"/>
  <c r="T37" i="12"/>
  <c r="U37" i="12"/>
  <c r="Y37" i="12"/>
  <c r="Z37" i="12"/>
  <c r="AB37" i="12"/>
  <c r="AF37" i="12"/>
  <c r="AI37" i="12"/>
  <c r="T38" i="12"/>
  <c r="T39" i="12"/>
  <c r="T40" i="12"/>
  <c r="T41" i="12"/>
  <c r="T42" i="12"/>
  <c r="T43" i="12"/>
  <c r="T44" i="12"/>
  <c r="T45" i="12"/>
  <c r="T46" i="12"/>
  <c r="T47" i="12"/>
  <c r="D38" i="12"/>
  <c r="E38" i="12"/>
  <c r="F38" i="12"/>
  <c r="G38" i="12"/>
  <c r="H38" i="12"/>
  <c r="I38" i="12"/>
  <c r="J38" i="12"/>
  <c r="K38" i="12"/>
  <c r="L38" i="12"/>
  <c r="L39" i="12"/>
  <c r="L40" i="12"/>
  <c r="L41" i="12"/>
  <c r="L42" i="12"/>
  <c r="L43" i="12"/>
  <c r="L44" i="12"/>
  <c r="L45" i="12"/>
  <c r="L46" i="12"/>
  <c r="L47" i="12"/>
  <c r="M38" i="12"/>
  <c r="N38" i="12"/>
  <c r="O38" i="12"/>
  <c r="P38" i="12"/>
  <c r="P39" i="12"/>
  <c r="P40" i="12"/>
  <c r="P41" i="12"/>
  <c r="P42" i="12"/>
  <c r="P43" i="12"/>
  <c r="P44" i="12"/>
  <c r="P45" i="12"/>
  <c r="P46" i="12"/>
  <c r="P47" i="12"/>
  <c r="P48" i="12"/>
  <c r="R38" i="12"/>
  <c r="S38" i="12"/>
  <c r="U38" i="12"/>
  <c r="Y38" i="12"/>
  <c r="Z38" i="12"/>
  <c r="AB38" i="12"/>
  <c r="AF38" i="12"/>
  <c r="AF39" i="12"/>
  <c r="AF40" i="12"/>
  <c r="AF41" i="12"/>
  <c r="AF42" i="12"/>
  <c r="AF43" i="12"/>
  <c r="AF44" i="12"/>
  <c r="AF45" i="12"/>
  <c r="AF46" i="12"/>
  <c r="AF47" i="12"/>
  <c r="AI38" i="12"/>
  <c r="D39" i="12"/>
  <c r="E39" i="12"/>
  <c r="F39" i="12"/>
  <c r="G39" i="12"/>
  <c r="H39" i="12"/>
  <c r="I39" i="12"/>
  <c r="J39" i="12"/>
  <c r="K39" i="12"/>
  <c r="M39" i="12"/>
  <c r="N39" i="12"/>
  <c r="O39" i="12"/>
  <c r="R39" i="12"/>
  <c r="R48" i="12"/>
  <c r="S39" i="12"/>
  <c r="U39" i="12"/>
  <c r="Y39" i="12"/>
  <c r="Z39" i="12"/>
  <c r="AB39" i="12"/>
  <c r="AI39" i="12"/>
  <c r="D40" i="12"/>
  <c r="C40" i="12"/>
  <c r="AL40" i="12"/>
  <c r="E40" i="12"/>
  <c r="F40" i="12"/>
  <c r="G40" i="12"/>
  <c r="H40" i="12"/>
  <c r="I40" i="12"/>
  <c r="J40" i="12"/>
  <c r="K40" i="12"/>
  <c r="M40" i="12"/>
  <c r="M48" i="12"/>
  <c r="N40" i="12"/>
  <c r="O40" i="12"/>
  <c r="R40" i="12"/>
  <c r="S40" i="12"/>
  <c r="U40" i="12"/>
  <c r="Y40" i="12"/>
  <c r="Z40" i="12"/>
  <c r="AB40" i="12"/>
  <c r="AI40" i="12"/>
  <c r="D41" i="12"/>
  <c r="E41" i="12"/>
  <c r="F41" i="12"/>
  <c r="G41" i="12"/>
  <c r="C41" i="12"/>
  <c r="H41" i="12"/>
  <c r="H48" i="12"/>
  <c r="I41" i="12"/>
  <c r="J41" i="12"/>
  <c r="K41" i="12"/>
  <c r="M41" i="12"/>
  <c r="N41" i="12"/>
  <c r="O41" i="12"/>
  <c r="R41" i="12"/>
  <c r="S41" i="12"/>
  <c r="U41" i="12"/>
  <c r="Y41" i="12"/>
  <c r="Z41" i="12"/>
  <c r="AB41" i="12"/>
  <c r="AI41" i="12"/>
  <c r="D42" i="12"/>
  <c r="E42" i="12"/>
  <c r="E48" i="12"/>
  <c r="F42" i="12"/>
  <c r="G42" i="12"/>
  <c r="H42" i="12"/>
  <c r="I42" i="12"/>
  <c r="J42" i="12"/>
  <c r="K42" i="12"/>
  <c r="M42" i="12"/>
  <c r="N42" i="12"/>
  <c r="O42" i="12"/>
  <c r="R42" i="12"/>
  <c r="S42" i="12"/>
  <c r="U42" i="12"/>
  <c r="Y42" i="12"/>
  <c r="Z42" i="12"/>
  <c r="AB42" i="12"/>
  <c r="AI42" i="12"/>
  <c r="AI48" i="12"/>
  <c r="D43" i="12"/>
  <c r="E43" i="12"/>
  <c r="F43" i="12"/>
  <c r="G43" i="12"/>
  <c r="H43" i="12"/>
  <c r="I43" i="12"/>
  <c r="J43" i="12"/>
  <c r="K43" i="12"/>
  <c r="M43" i="12"/>
  <c r="N43" i="12"/>
  <c r="O43" i="12"/>
  <c r="R43" i="12"/>
  <c r="S43" i="12"/>
  <c r="U43" i="12"/>
  <c r="Y43" i="12"/>
  <c r="Z43" i="12"/>
  <c r="AB43" i="12"/>
  <c r="AI43" i="12"/>
  <c r="D44" i="12"/>
  <c r="C44" i="12"/>
  <c r="E44" i="12"/>
  <c r="F44" i="12"/>
  <c r="G44" i="12"/>
  <c r="H44" i="12"/>
  <c r="I44" i="12"/>
  <c r="J44" i="12"/>
  <c r="K44" i="12"/>
  <c r="M44" i="12"/>
  <c r="N44" i="12"/>
  <c r="O44" i="12"/>
  <c r="R44" i="12"/>
  <c r="S44" i="12"/>
  <c r="U44" i="12"/>
  <c r="Y44" i="12"/>
  <c r="Z44" i="12"/>
  <c r="AB44" i="12"/>
  <c r="AI44" i="12"/>
  <c r="D45" i="12"/>
  <c r="E45" i="12"/>
  <c r="F45" i="12"/>
  <c r="G45" i="12"/>
  <c r="AL45" i="12"/>
  <c r="C45" i="12"/>
  <c r="H45" i="12"/>
  <c r="I45" i="12"/>
  <c r="J45" i="12"/>
  <c r="K45" i="12"/>
  <c r="M45" i="12"/>
  <c r="N45" i="12"/>
  <c r="O45" i="12"/>
  <c r="O48" i="12"/>
  <c r="R45" i="12"/>
  <c r="S45" i="12"/>
  <c r="U45" i="12"/>
  <c r="Y45" i="12"/>
  <c r="Z45" i="12"/>
  <c r="AB45" i="12"/>
  <c r="AI45" i="12"/>
  <c r="D46" i="12"/>
  <c r="E46" i="12"/>
  <c r="F46" i="12"/>
  <c r="G46" i="12"/>
  <c r="H46" i="12"/>
  <c r="I46" i="12"/>
  <c r="J46" i="12"/>
  <c r="K46" i="12"/>
  <c r="K48" i="12"/>
  <c r="M46" i="12"/>
  <c r="N46" i="12"/>
  <c r="O46" i="12"/>
  <c r="R46" i="12"/>
  <c r="S46" i="12"/>
  <c r="U46" i="12"/>
  <c r="Y46" i="12"/>
  <c r="Z46" i="12"/>
  <c r="AB46" i="12"/>
  <c r="AI46" i="12"/>
  <c r="D47" i="12"/>
  <c r="E47" i="12"/>
  <c r="F47" i="12"/>
  <c r="G47" i="12"/>
  <c r="H47" i="12"/>
  <c r="I47" i="12"/>
  <c r="J47" i="12"/>
  <c r="K47" i="12"/>
  <c r="M47" i="12"/>
  <c r="N47" i="12"/>
  <c r="O47" i="12"/>
  <c r="R47" i="12"/>
  <c r="S47" i="12"/>
  <c r="U47" i="12"/>
  <c r="Y47" i="12"/>
  <c r="Z47" i="12"/>
  <c r="AB47" i="12"/>
  <c r="AI47" i="12"/>
  <c r="C38" i="12"/>
  <c r="AL38" i="12"/>
  <c r="C39" i="12"/>
  <c r="C42" i="12"/>
  <c r="C43" i="12"/>
  <c r="C46" i="12"/>
  <c r="C47" i="12"/>
  <c r="D15" i="12"/>
  <c r="E15" i="12"/>
  <c r="F15" i="12"/>
  <c r="G15" i="12"/>
  <c r="H15" i="12"/>
  <c r="I15" i="12"/>
  <c r="J15" i="12"/>
  <c r="K15" i="12"/>
  <c r="L15" i="12"/>
  <c r="M15" i="12"/>
  <c r="N15" i="12"/>
  <c r="O15" i="12"/>
  <c r="P15" i="12"/>
  <c r="Q15" i="12"/>
  <c r="R15" i="12"/>
  <c r="S15" i="12"/>
  <c r="T15" i="12"/>
  <c r="U15" i="12"/>
  <c r="V15" i="12"/>
  <c r="W15" i="12"/>
  <c r="X15" i="12"/>
  <c r="Y15" i="12"/>
  <c r="Z15" i="12"/>
  <c r="AA15" i="12"/>
  <c r="AB15" i="12"/>
  <c r="AC15" i="12"/>
  <c r="AD15" i="12"/>
  <c r="AE15" i="12"/>
  <c r="AF15" i="12"/>
  <c r="AG15" i="12"/>
  <c r="AH15" i="12"/>
  <c r="AI15" i="12"/>
  <c r="AJ15" i="12"/>
  <c r="AK15" i="12"/>
  <c r="AL15" i="12"/>
  <c r="AM15" i="12"/>
  <c r="AN15" i="12"/>
  <c r="AO15" i="12"/>
  <c r="AP15" i="12"/>
  <c r="AQ15" i="12"/>
  <c r="AR15" i="12"/>
  <c r="AS15" i="12"/>
  <c r="AT15" i="12"/>
  <c r="AU15" i="12"/>
  <c r="AV15" i="12"/>
  <c r="AW15" i="12"/>
  <c r="AX15" i="12"/>
  <c r="AY15" i="12"/>
  <c r="AZ15" i="12"/>
  <c r="C15" i="12"/>
  <c r="BB15" i="12"/>
  <c r="AQ22" i="12"/>
  <c r="AQ28" i="12"/>
  <c r="AQ30" i="12"/>
  <c r="D5" i="12"/>
  <c r="E5" i="12"/>
  <c r="F5" i="12"/>
  <c r="G5" i="12"/>
  <c r="H5" i="12"/>
  <c r="I5" i="12"/>
  <c r="J5" i="12"/>
  <c r="K5" i="12"/>
  <c r="L5" i="12"/>
  <c r="M5" i="12"/>
  <c r="N5" i="12"/>
  <c r="O5" i="12"/>
  <c r="P5" i="12"/>
  <c r="Q5" i="12"/>
  <c r="R5" i="12"/>
  <c r="S5" i="12"/>
  <c r="T5" i="12"/>
  <c r="U5" i="12"/>
  <c r="V5" i="12"/>
  <c r="W5" i="12"/>
  <c r="X5" i="12"/>
  <c r="Y5" i="12"/>
  <c r="Z5" i="12"/>
  <c r="AA5" i="12"/>
  <c r="AA16" i="12"/>
  <c r="AB5" i="12"/>
  <c r="AC5" i="12"/>
  <c r="AD5" i="12"/>
  <c r="AE5" i="12"/>
  <c r="AF5" i="12"/>
  <c r="AG5" i="12"/>
  <c r="AH5" i="12"/>
  <c r="AI5" i="12"/>
  <c r="AJ5" i="12"/>
  <c r="AK5" i="12"/>
  <c r="AL5" i="12"/>
  <c r="AM5" i="12"/>
  <c r="AN5" i="12"/>
  <c r="AO5" i="12"/>
  <c r="AP5" i="12"/>
  <c r="AQ5" i="12"/>
  <c r="AQ16" i="12"/>
  <c r="AR5" i="12"/>
  <c r="AS5" i="12"/>
  <c r="AT5" i="12"/>
  <c r="AU5" i="12"/>
  <c r="AV5" i="12"/>
  <c r="AW5" i="12"/>
  <c r="AX5" i="12"/>
  <c r="AY5" i="12"/>
  <c r="AZ5" i="12"/>
  <c r="D6" i="12"/>
  <c r="E6" i="12"/>
  <c r="F6" i="12"/>
  <c r="G6" i="12"/>
  <c r="H6" i="12"/>
  <c r="I6" i="12"/>
  <c r="J6" i="12"/>
  <c r="K6" i="12"/>
  <c r="L6" i="12"/>
  <c r="M6" i="12"/>
  <c r="N6" i="12"/>
  <c r="O6" i="12"/>
  <c r="P6" i="12"/>
  <c r="Q6" i="12"/>
  <c r="R6" i="12"/>
  <c r="S6" i="12"/>
  <c r="T6" i="12"/>
  <c r="U6" i="12"/>
  <c r="V6" i="12"/>
  <c r="W6" i="12"/>
  <c r="X6" i="12"/>
  <c r="Y6" i="12"/>
  <c r="Z6" i="12"/>
  <c r="Z16" i="12"/>
  <c r="AA6" i="12"/>
  <c r="AB6" i="12"/>
  <c r="AC6" i="12"/>
  <c r="AD6" i="12"/>
  <c r="AE6" i="12"/>
  <c r="AF6" i="12"/>
  <c r="AG6" i="12"/>
  <c r="AH6" i="12"/>
  <c r="AI6" i="12"/>
  <c r="AJ6" i="12"/>
  <c r="AK6" i="12"/>
  <c r="AL6" i="12"/>
  <c r="AM6" i="12"/>
  <c r="AN6" i="12"/>
  <c r="AO6" i="12"/>
  <c r="AP6" i="12"/>
  <c r="AQ6" i="12"/>
  <c r="AR6" i="12"/>
  <c r="AS6" i="12"/>
  <c r="AT6" i="12"/>
  <c r="AU6" i="12"/>
  <c r="AV6" i="12"/>
  <c r="AW6" i="12"/>
  <c r="AX6" i="12"/>
  <c r="AY6" i="12"/>
  <c r="AZ6" i="12"/>
  <c r="D7" i="12"/>
  <c r="E7" i="12"/>
  <c r="F7" i="12"/>
  <c r="G7" i="12"/>
  <c r="H7" i="12"/>
  <c r="I7" i="12"/>
  <c r="I16" i="12"/>
  <c r="J7" i="12"/>
  <c r="K7" i="12"/>
  <c r="L7" i="12"/>
  <c r="M7" i="12"/>
  <c r="N7" i="12"/>
  <c r="O7" i="12"/>
  <c r="P7" i="12"/>
  <c r="Q7" i="12"/>
  <c r="Q16" i="12"/>
  <c r="R7" i="12"/>
  <c r="S7" i="12"/>
  <c r="T7" i="12"/>
  <c r="U7" i="12"/>
  <c r="V7" i="12"/>
  <c r="W7" i="12"/>
  <c r="X7" i="12"/>
  <c r="Y7" i="12"/>
  <c r="Z7" i="12"/>
  <c r="AA7" i="12"/>
  <c r="AB7" i="12"/>
  <c r="AC7" i="12"/>
  <c r="AD7" i="12"/>
  <c r="AE7" i="12"/>
  <c r="AF7" i="12"/>
  <c r="AG7" i="12"/>
  <c r="AG16" i="12"/>
  <c r="AH7" i="12"/>
  <c r="AI7" i="12"/>
  <c r="AJ7" i="12"/>
  <c r="AK7" i="12"/>
  <c r="AL7" i="12"/>
  <c r="AM7" i="12"/>
  <c r="AN7" i="12"/>
  <c r="AO7" i="12"/>
  <c r="AO16" i="12"/>
  <c r="AP7" i="12"/>
  <c r="AQ7" i="12"/>
  <c r="AR7" i="12"/>
  <c r="AS7" i="12"/>
  <c r="AT7" i="12"/>
  <c r="AU7" i="12"/>
  <c r="AV7" i="12"/>
  <c r="AW7" i="12"/>
  <c r="AW16" i="12"/>
  <c r="AX7" i="12"/>
  <c r="AY7" i="12"/>
  <c r="AZ7" i="12"/>
  <c r="D8" i="12"/>
  <c r="E8" i="12"/>
  <c r="F8" i="12"/>
  <c r="G8" i="12"/>
  <c r="H8" i="12"/>
  <c r="I8" i="12"/>
  <c r="J8" i="12"/>
  <c r="K8" i="12"/>
  <c r="L8" i="12"/>
  <c r="M8" i="12"/>
  <c r="N8" i="12"/>
  <c r="O8" i="12"/>
  <c r="P8" i="12"/>
  <c r="P16" i="12"/>
  <c r="Q8" i="12"/>
  <c r="R8" i="12"/>
  <c r="S8" i="12"/>
  <c r="T8" i="12"/>
  <c r="U8" i="12"/>
  <c r="V8" i="12"/>
  <c r="W8" i="12"/>
  <c r="X8" i="12"/>
  <c r="Y8" i="12"/>
  <c r="Z8" i="12"/>
  <c r="AA8" i="12"/>
  <c r="AB8" i="12"/>
  <c r="AC8" i="12"/>
  <c r="AD8" i="12"/>
  <c r="AE8" i="12"/>
  <c r="AF8" i="12"/>
  <c r="AF16" i="12"/>
  <c r="AG8" i="12"/>
  <c r="AH8" i="12"/>
  <c r="AI8" i="12"/>
  <c r="AJ8" i="12"/>
  <c r="AK8" i="12"/>
  <c r="AL8" i="12"/>
  <c r="AM8" i="12"/>
  <c r="AN8" i="12"/>
  <c r="AO8" i="12"/>
  <c r="AP8" i="12"/>
  <c r="AQ8" i="12"/>
  <c r="AR8" i="12"/>
  <c r="AS8" i="12"/>
  <c r="AT8" i="12"/>
  <c r="AU8" i="12"/>
  <c r="AV8" i="12"/>
  <c r="AW8" i="12"/>
  <c r="AX8" i="12"/>
  <c r="AY8" i="12"/>
  <c r="AZ8" i="12"/>
  <c r="D9" i="12"/>
  <c r="E9" i="12"/>
  <c r="F9" i="12"/>
  <c r="G9" i="12"/>
  <c r="G16" i="12"/>
  <c r="H9" i="12"/>
  <c r="I9" i="12"/>
  <c r="J9" i="12"/>
  <c r="K9" i="12"/>
  <c r="L9" i="12"/>
  <c r="M9" i="12"/>
  <c r="N9" i="12"/>
  <c r="O9" i="12"/>
  <c r="P9" i="12"/>
  <c r="Q9" i="12"/>
  <c r="R9" i="12"/>
  <c r="S9" i="12"/>
  <c r="T9" i="12"/>
  <c r="U9" i="12"/>
  <c r="V9" i="12"/>
  <c r="W9" i="12"/>
  <c r="X9" i="12"/>
  <c r="Y9" i="12"/>
  <c r="Z9" i="12"/>
  <c r="AA9" i="12"/>
  <c r="AB9" i="12"/>
  <c r="AC9" i="12"/>
  <c r="AD9" i="12"/>
  <c r="AE9" i="12"/>
  <c r="AE16" i="12"/>
  <c r="AF9" i="12"/>
  <c r="AG9" i="12"/>
  <c r="AH9" i="12"/>
  <c r="AI9" i="12"/>
  <c r="AJ9" i="12"/>
  <c r="AK9" i="12"/>
  <c r="AL9" i="12"/>
  <c r="AM9" i="12"/>
  <c r="AN9" i="12"/>
  <c r="AO9" i="12"/>
  <c r="AP9" i="12"/>
  <c r="AQ9" i="12"/>
  <c r="AR9" i="12"/>
  <c r="AS9" i="12"/>
  <c r="AT9" i="12"/>
  <c r="AU9" i="12"/>
  <c r="AU16" i="12"/>
  <c r="AV9" i="12"/>
  <c r="AW9" i="12"/>
  <c r="AX9" i="12"/>
  <c r="AY9" i="12"/>
  <c r="AZ9"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D16" i="12"/>
  <c r="AE10" i="12"/>
  <c r="AF10" i="12"/>
  <c r="AG10" i="12"/>
  <c r="AH10" i="12"/>
  <c r="AI10" i="12"/>
  <c r="AJ10" i="12"/>
  <c r="AK10" i="12"/>
  <c r="AL10" i="12"/>
  <c r="AL16" i="12"/>
  <c r="AM10" i="12"/>
  <c r="AN10" i="12"/>
  <c r="AO10" i="12"/>
  <c r="AP10" i="12"/>
  <c r="AQ10" i="12"/>
  <c r="AR10" i="12"/>
  <c r="AS10" i="12"/>
  <c r="AT10" i="12"/>
  <c r="AU10" i="12"/>
  <c r="AV10" i="12"/>
  <c r="AW10" i="12"/>
  <c r="AX10" i="12"/>
  <c r="AY10" i="12"/>
  <c r="AZ10" i="12"/>
  <c r="D11" i="12"/>
  <c r="E11" i="12"/>
  <c r="E16"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AJ11" i="12"/>
  <c r="AK11" i="12"/>
  <c r="AK16" i="12"/>
  <c r="AL11" i="12"/>
  <c r="AM11" i="12"/>
  <c r="AN11" i="12"/>
  <c r="AO11" i="12"/>
  <c r="AP11" i="12"/>
  <c r="AQ11" i="12"/>
  <c r="AR11" i="12"/>
  <c r="AS11" i="12"/>
  <c r="AT11" i="12"/>
  <c r="AU11" i="12"/>
  <c r="AV11" i="12"/>
  <c r="AW11" i="12"/>
  <c r="AX11" i="12"/>
  <c r="AY11" i="12"/>
  <c r="AZ11" i="12"/>
  <c r="D12" i="12"/>
  <c r="E12" i="12"/>
  <c r="F12" i="12"/>
  <c r="G12" i="12"/>
  <c r="H12" i="12"/>
  <c r="I12" i="12"/>
  <c r="J12" i="12"/>
  <c r="K12" i="12"/>
  <c r="L12" i="12"/>
  <c r="M12" i="12"/>
  <c r="N12" i="12"/>
  <c r="O12" i="12"/>
  <c r="P12" i="12"/>
  <c r="Q12" i="12"/>
  <c r="R12" i="12"/>
  <c r="S12" i="12"/>
  <c r="T12" i="12"/>
  <c r="T16" i="12"/>
  <c r="U12" i="12"/>
  <c r="V12" i="12"/>
  <c r="W12" i="12"/>
  <c r="X12" i="12"/>
  <c r="Y12" i="12"/>
  <c r="Z12" i="12"/>
  <c r="AA12" i="12"/>
  <c r="AB12" i="12"/>
  <c r="AC12" i="12"/>
  <c r="AD12" i="12"/>
  <c r="AE12" i="12"/>
  <c r="AF12" i="12"/>
  <c r="AG12" i="12"/>
  <c r="AH12" i="12"/>
  <c r="AI12" i="12"/>
  <c r="AJ12" i="12"/>
  <c r="AK12" i="12"/>
  <c r="AL12" i="12"/>
  <c r="AM12" i="12"/>
  <c r="AN12" i="12"/>
  <c r="AO12" i="12"/>
  <c r="AP12" i="12"/>
  <c r="AQ12" i="12"/>
  <c r="AR12" i="12"/>
  <c r="AS12" i="12"/>
  <c r="AT12" i="12"/>
  <c r="AU12" i="12"/>
  <c r="AV12" i="12"/>
  <c r="AW12" i="12"/>
  <c r="AX12" i="12"/>
  <c r="AY12" i="12"/>
  <c r="AZ12" i="12"/>
  <c r="AZ16"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AJ13" i="12"/>
  <c r="AK13" i="12"/>
  <c r="AL13" i="12"/>
  <c r="AM13" i="12"/>
  <c r="AN13" i="12"/>
  <c r="AO13" i="12"/>
  <c r="AP13" i="12"/>
  <c r="AQ13" i="12"/>
  <c r="AR13" i="12"/>
  <c r="AS13" i="12"/>
  <c r="AT13" i="12"/>
  <c r="AU13" i="12"/>
  <c r="AV13" i="12"/>
  <c r="AW13" i="12"/>
  <c r="AX13" i="12"/>
  <c r="AY13" i="12"/>
  <c r="AZ13"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AJ14" i="12"/>
  <c r="AK14" i="12"/>
  <c r="AL14" i="12"/>
  <c r="AM14" i="12"/>
  <c r="AN14" i="12"/>
  <c r="AO14" i="12"/>
  <c r="AP14" i="12"/>
  <c r="AQ14" i="12"/>
  <c r="AR14" i="12"/>
  <c r="AS14" i="12"/>
  <c r="AT14" i="12"/>
  <c r="AU14" i="12"/>
  <c r="AV14" i="12"/>
  <c r="AW14" i="12"/>
  <c r="AX14" i="12"/>
  <c r="AY14" i="12"/>
  <c r="AZ14" i="12"/>
  <c r="C6" i="12"/>
  <c r="C7" i="12"/>
  <c r="C8" i="12"/>
  <c r="C9" i="12"/>
  <c r="C10" i="12"/>
  <c r="C11" i="12"/>
  <c r="C16" i="12"/>
  <c r="C12" i="12"/>
  <c r="C13" i="12"/>
  <c r="C14" i="12"/>
  <c r="C5" i="12"/>
  <c r="Y48" i="12"/>
  <c r="N48" i="12"/>
  <c r="F48" i="12"/>
  <c r="BB8" i="12"/>
  <c r="I6" i="5"/>
  <c r="Q6" i="5"/>
  <c r="R6" i="5"/>
  <c r="S6" i="5"/>
  <c r="T6" i="5"/>
  <c r="U6" i="5"/>
  <c r="V6" i="5"/>
  <c r="X6" i="5"/>
  <c r="Y6" i="5"/>
  <c r="Q7" i="5"/>
  <c r="S7" i="5"/>
  <c r="Q8" i="5"/>
  <c r="S8" i="5"/>
  <c r="T8" i="5"/>
  <c r="U8" i="5"/>
  <c r="V8" i="5"/>
  <c r="I10" i="5"/>
  <c r="Q11" i="5"/>
  <c r="R12" i="5"/>
  <c r="S12" i="5"/>
  <c r="Q12" i="5"/>
  <c r="T12" i="5"/>
  <c r="U12" i="5"/>
  <c r="V12" i="5"/>
  <c r="X12" i="5"/>
  <c r="Y12" i="5"/>
  <c r="Q10" i="5"/>
  <c r="S10" i="5"/>
  <c r="S11" i="5"/>
  <c r="Q14" i="5"/>
  <c r="S14" i="5"/>
  <c r="Q15" i="5"/>
  <c r="S15" i="5"/>
  <c r="Q16" i="5"/>
  <c r="S16" i="5"/>
  <c r="I17" i="5"/>
  <c r="Q17" i="5"/>
  <c r="S17" i="5"/>
  <c r="T17" i="5"/>
  <c r="U17" i="5"/>
  <c r="V17" i="5"/>
  <c r="Q18" i="5"/>
  <c r="S18" i="5"/>
  <c r="Q19" i="5"/>
  <c r="S19" i="5"/>
  <c r="T19" i="5"/>
  <c r="U19" i="5"/>
  <c r="V19" i="5"/>
  <c r="I21" i="5"/>
  <c r="Q21" i="5"/>
  <c r="R21" i="5"/>
  <c r="S21" i="5"/>
  <c r="Q22" i="5"/>
  <c r="S22" i="5"/>
  <c r="T22" i="5"/>
  <c r="Q23" i="5"/>
  <c r="S23" i="5"/>
  <c r="T23" i="5"/>
  <c r="U23" i="5"/>
  <c r="V23" i="5"/>
  <c r="R23" i="5"/>
  <c r="X23" i="5"/>
  <c r="Y23" i="5"/>
  <c r="I25" i="5"/>
  <c r="Q26" i="5"/>
  <c r="R27" i="5"/>
  <c r="S27" i="5"/>
  <c r="Q27" i="5"/>
  <c r="T27" i="5"/>
  <c r="U27" i="5"/>
  <c r="V27" i="5"/>
  <c r="X27" i="5"/>
  <c r="Y27" i="5"/>
  <c r="Q25" i="5"/>
  <c r="S25" i="5"/>
  <c r="S26" i="5"/>
  <c r="T26" i="5"/>
  <c r="U26" i="5"/>
  <c r="V26" i="5"/>
  <c r="I29" i="5"/>
  <c r="Q29" i="5"/>
  <c r="S29" i="5"/>
  <c r="Q30" i="5"/>
  <c r="S30" i="5"/>
  <c r="Q31" i="5"/>
  <c r="S31" i="5"/>
  <c r="I33" i="5"/>
  <c r="Q33" i="5"/>
  <c r="S33" i="5"/>
  <c r="T33" i="5"/>
  <c r="U33" i="5"/>
  <c r="V33" i="5"/>
  <c r="Q34" i="5"/>
  <c r="S34" i="5"/>
  <c r="T34" i="5"/>
  <c r="U34" i="5"/>
  <c r="Q35" i="5"/>
  <c r="S35" i="5"/>
  <c r="I37" i="5"/>
  <c r="Q37" i="5"/>
  <c r="R37" i="5"/>
  <c r="S37" i="5"/>
  <c r="T37" i="5"/>
  <c r="U37" i="5"/>
  <c r="Q38" i="5"/>
  <c r="S38" i="5"/>
  <c r="T38" i="5"/>
  <c r="U38" i="5"/>
  <c r="V38" i="5"/>
  <c r="R38" i="5"/>
  <c r="X38" i="5"/>
  <c r="Y38" i="5"/>
  <c r="Q39" i="5"/>
  <c r="S39" i="5"/>
  <c r="T39" i="5"/>
  <c r="I41" i="5"/>
  <c r="Q41" i="5"/>
  <c r="S41" i="5"/>
  <c r="T41" i="5"/>
  <c r="Q42" i="5"/>
  <c r="R42" i="5"/>
  <c r="S42" i="5"/>
  <c r="Q43" i="5"/>
  <c r="S43" i="5"/>
  <c r="I45" i="5"/>
  <c r="Q45" i="5"/>
  <c r="S45" i="5"/>
  <c r="Q46" i="5"/>
  <c r="S46" i="5"/>
  <c r="T46" i="5"/>
  <c r="U46" i="5"/>
  <c r="V46" i="5"/>
  <c r="Q47" i="5"/>
  <c r="S47" i="5"/>
  <c r="T47" i="5"/>
  <c r="U47" i="5"/>
  <c r="V47" i="5"/>
  <c r="Q49" i="5"/>
  <c r="S49" i="5"/>
  <c r="T49" i="5"/>
  <c r="U49" i="5"/>
  <c r="V49" i="5"/>
  <c r="Q50" i="5"/>
  <c r="S50" i="5"/>
  <c r="Q51" i="5"/>
  <c r="S51" i="5"/>
  <c r="T51" i="5"/>
  <c r="U51" i="5"/>
  <c r="V51" i="5"/>
  <c r="Q53" i="5"/>
  <c r="S53" i="5"/>
  <c r="T53" i="5"/>
  <c r="U53" i="5"/>
  <c r="V53" i="5"/>
  <c r="Q54" i="5"/>
  <c r="S54" i="5"/>
  <c r="Q55" i="5"/>
  <c r="S55" i="5"/>
  <c r="I57" i="5"/>
  <c r="Q57" i="5"/>
  <c r="R57" i="5"/>
  <c r="S57" i="5"/>
  <c r="Q58" i="5"/>
  <c r="S58" i="5"/>
  <c r="Q59" i="5"/>
  <c r="S59" i="5"/>
  <c r="I61" i="5"/>
  <c r="Q61" i="5"/>
  <c r="S61" i="5"/>
  <c r="T61" i="5"/>
  <c r="U61" i="5"/>
  <c r="V61" i="5"/>
  <c r="Q62" i="5"/>
  <c r="S62" i="5"/>
  <c r="Q63" i="5"/>
  <c r="S63" i="5"/>
  <c r="T63" i="5"/>
  <c r="U63" i="5"/>
  <c r="V63" i="5"/>
  <c r="I64" i="5"/>
  <c r="Q64" i="5"/>
  <c r="S64" i="5"/>
  <c r="T64" i="5"/>
  <c r="U64" i="5"/>
  <c r="V64" i="5"/>
  <c r="R64" i="5"/>
  <c r="X64" i="5"/>
  <c r="Y64" i="5"/>
  <c r="Q65" i="5"/>
  <c r="S65" i="5"/>
  <c r="T65" i="5"/>
  <c r="Q66" i="5"/>
  <c r="S66" i="5"/>
  <c r="T66" i="5"/>
  <c r="U66" i="5"/>
  <c r="V66" i="5"/>
  <c r="I68" i="5"/>
  <c r="Q68" i="5"/>
  <c r="R68" i="5"/>
  <c r="S68" i="5"/>
  <c r="Q69" i="5"/>
  <c r="R69" i="5"/>
  <c r="S69" i="5"/>
  <c r="T69" i="5"/>
  <c r="U69" i="5"/>
  <c r="V69" i="5"/>
  <c r="X69" i="5"/>
  <c r="Y69" i="5"/>
  <c r="Q70" i="5"/>
  <c r="S70" i="5"/>
  <c r="T70" i="5"/>
  <c r="U70" i="5"/>
  <c r="V70" i="5"/>
  <c r="I72" i="5"/>
  <c r="Q73" i="5"/>
  <c r="R74" i="5"/>
  <c r="S74" i="5"/>
  <c r="Q74" i="5"/>
  <c r="T74" i="5"/>
  <c r="U74" i="5"/>
  <c r="V74" i="5"/>
  <c r="X74" i="5"/>
  <c r="Y74" i="5"/>
  <c r="Q72" i="5"/>
  <c r="R72" i="5"/>
  <c r="S72" i="5"/>
  <c r="S73" i="5"/>
  <c r="I76" i="5"/>
  <c r="Q76" i="5"/>
  <c r="R76" i="5"/>
  <c r="S76" i="5"/>
  <c r="Q77" i="5"/>
  <c r="R77" i="5"/>
  <c r="S77" i="5"/>
  <c r="Q78" i="5"/>
  <c r="S78" i="5"/>
  <c r="T78" i="5"/>
  <c r="I80" i="5"/>
  <c r="Q80" i="5"/>
  <c r="R80" i="5"/>
  <c r="S80" i="5"/>
  <c r="T80" i="5"/>
  <c r="U80" i="5"/>
  <c r="Q81" i="5"/>
  <c r="R82" i="5"/>
  <c r="S81" i="5"/>
  <c r="Q82" i="5"/>
  <c r="S82" i="5"/>
  <c r="T82" i="5"/>
  <c r="U82" i="5"/>
  <c r="V82" i="5"/>
  <c r="I84" i="5"/>
  <c r="Q84" i="5"/>
  <c r="R84" i="5"/>
  <c r="S84" i="5"/>
  <c r="Q85" i="5"/>
  <c r="R85" i="5"/>
  <c r="S85" i="5"/>
  <c r="Q86" i="5"/>
  <c r="S86" i="5"/>
  <c r="T86" i="5"/>
  <c r="I88" i="5"/>
  <c r="Q88" i="5"/>
  <c r="R88" i="5"/>
  <c r="S88" i="5"/>
  <c r="T88" i="5"/>
  <c r="U88" i="5"/>
  <c r="V88" i="5"/>
  <c r="Q89" i="5"/>
  <c r="R89" i="5"/>
  <c r="S89" i="5"/>
  <c r="Q90" i="5"/>
  <c r="S90" i="5"/>
  <c r="T90" i="5"/>
  <c r="U90" i="5"/>
  <c r="V90" i="5"/>
  <c r="T84" i="5"/>
  <c r="U84" i="5"/>
  <c r="V84" i="5"/>
  <c r="X84" i="5"/>
  <c r="Y84" i="5"/>
  <c r="V80" i="5"/>
  <c r="X80" i="5"/>
  <c r="Y80" i="5"/>
  <c r="T62" i="5"/>
  <c r="U62" i="5"/>
  <c r="V62" i="5"/>
  <c r="R62" i="5"/>
  <c r="X62" i="5"/>
  <c r="Y62" i="5"/>
  <c r="T29" i="5"/>
  <c r="U29" i="5"/>
  <c r="V29" i="5"/>
  <c r="R29" i="5"/>
  <c r="X29" i="5"/>
  <c r="Y29" i="5"/>
  <c r="T11" i="5"/>
  <c r="U11" i="5"/>
  <c r="V11" i="5"/>
  <c r="T68" i="5"/>
  <c r="U68" i="5"/>
  <c r="V68" i="5"/>
  <c r="T58" i="5"/>
  <c r="U58" i="5"/>
  <c r="V58" i="5"/>
  <c r="T54" i="5"/>
  <c r="U54" i="5"/>
  <c r="V54" i="5"/>
  <c r="I53" i="5"/>
  <c r="R54" i="5"/>
  <c r="X54" i="5"/>
  <c r="Y54" i="5"/>
  <c r="U39" i="5"/>
  <c r="V39" i="5"/>
  <c r="T25" i="5"/>
  <c r="U25" i="5"/>
  <c r="V25" i="5"/>
  <c r="R25" i="5"/>
  <c r="X25" i="5"/>
  <c r="Y25" i="5"/>
  <c r="R26" i="5"/>
  <c r="X26" i="5"/>
  <c r="Y26" i="5"/>
  <c r="AB25" i="5"/>
  <c r="U65" i="5"/>
  <c r="V65" i="5"/>
  <c r="T45" i="5"/>
  <c r="U45" i="5"/>
  <c r="V45" i="5"/>
  <c r="R35" i="5"/>
  <c r="T35" i="5"/>
  <c r="U35" i="5"/>
  <c r="V35" i="5"/>
  <c r="X35" i="5"/>
  <c r="Y35" i="5"/>
  <c r="T14" i="5"/>
  <c r="U14" i="5"/>
  <c r="V14" i="5"/>
  <c r="R14" i="5"/>
  <c r="X14" i="5"/>
  <c r="Y14" i="5"/>
  <c r="U78" i="5"/>
  <c r="V78" i="5"/>
  <c r="T50" i="5"/>
  <c r="U50" i="5"/>
  <c r="V50" i="5"/>
  <c r="R19" i="5"/>
  <c r="X19" i="5"/>
  <c r="Y19" i="5"/>
  <c r="R41" i="5"/>
  <c r="R90" i="5"/>
  <c r="T55" i="5"/>
  <c r="U55" i="5"/>
  <c r="V55" i="5"/>
  <c r="R17" i="5"/>
  <c r="X17" i="5"/>
  <c r="Y17" i="5"/>
  <c r="R18" i="5"/>
  <c r="T18" i="5"/>
  <c r="U18" i="5"/>
  <c r="V18" i="5"/>
  <c r="X18" i="5"/>
  <c r="Y18" i="5"/>
  <c r="AB17" i="5"/>
  <c r="T89" i="5"/>
  <c r="U89" i="5"/>
  <c r="V89" i="5"/>
  <c r="X89" i="5"/>
  <c r="Y89" i="5"/>
  <c r="R81" i="5"/>
  <c r="R70" i="5"/>
  <c r="T16" i="5"/>
  <c r="U16" i="5"/>
  <c r="V16" i="5"/>
  <c r="T4" i="5"/>
  <c r="U4" i="5"/>
  <c r="V4" i="5"/>
  <c r="R22" i="5"/>
  <c r="X68" i="5"/>
  <c r="Y68" i="5"/>
  <c r="T81" i="5"/>
  <c r="U81" i="5"/>
  <c r="V81" i="5"/>
  <c r="X81" i="5"/>
  <c r="Y81" i="5"/>
  <c r="T76" i="5"/>
  <c r="U76" i="5"/>
  <c r="V76" i="5"/>
  <c r="T73" i="5"/>
  <c r="U73" i="5"/>
  <c r="V73" i="5"/>
  <c r="R61" i="5"/>
  <c r="I14" i="5"/>
  <c r="R15" i="5"/>
  <c r="I49" i="5"/>
  <c r="R51" i="5"/>
  <c r="U86" i="5"/>
  <c r="V86" i="5"/>
  <c r="R53" i="5"/>
  <c r="T59" i="5"/>
  <c r="U59" i="5"/>
  <c r="V59" i="5"/>
  <c r="R45" i="5"/>
  <c r="X45" i="5"/>
  <c r="Y45" i="5"/>
  <c r="R34" i="5"/>
  <c r="R10" i="5"/>
  <c r="T10" i="5"/>
  <c r="U10" i="5"/>
  <c r="V10" i="5"/>
  <c r="R63" i="5"/>
  <c r="X63" i="5"/>
  <c r="Y63" i="5"/>
  <c r="U41" i="5"/>
  <c r="V41" i="5"/>
  <c r="X41" i="5"/>
  <c r="Y41" i="5"/>
  <c r="R39" i="5"/>
  <c r="X39" i="5"/>
  <c r="Y39" i="5"/>
  <c r="V37" i="5"/>
  <c r="X37" i="5"/>
  <c r="Y37" i="5"/>
  <c r="AA37" i="5"/>
  <c r="U22" i="5"/>
  <c r="V22" i="5"/>
  <c r="T43" i="5"/>
  <c r="U43" i="5"/>
  <c r="V43" i="5"/>
  <c r="V34" i="5"/>
  <c r="R49" i="5"/>
  <c r="X49" i="5"/>
  <c r="Y49" i="5"/>
  <c r="R33" i="5"/>
  <c r="T21" i="5"/>
  <c r="U21" i="5"/>
  <c r="V21" i="5"/>
  <c r="X21" i="5"/>
  <c r="Y21" i="5"/>
  <c r="F3" i="4"/>
  <c r="G3" i="4"/>
  <c r="F4" i="4"/>
  <c r="G4" i="4"/>
  <c r="F5" i="4"/>
  <c r="G5" i="4"/>
  <c r="G25" i="4"/>
  <c r="F6" i="4"/>
  <c r="F26" i="4"/>
  <c r="G6" i="4"/>
  <c r="G26" i="4"/>
  <c r="G27" i="4"/>
  <c r="F7" i="4"/>
  <c r="G7" i="4"/>
  <c r="F8" i="4"/>
  <c r="G8" i="4"/>
  <c r="F9" i="4"/>
  <c r="G9" i="4"/>
  <c r="F10" i="4"/>
  <c r="G10" i="4"/>
  <c r="F11" i="4"/>
  <c r="G11" i="4"/>
  <c r="F12" i="4"/>
  <c r="G12" i="4"/>
  <c r="F13" i="4"/>
  <c r="G13" i="4"/>
  <c r="F14" i="4"/>
  <c r="G14" i="4"/>
  <c r="F15" i="4"/>
  <c r="G15" i="4"/>
  <c r="F16" i="4"/>
  <c r="G16" i="4"/>
  <c r="F17" i="4"/>
  <c r="G17" i="4"/>
  <c r="F18" i="4"/>
  <c r="G18" i="4"/>
  <c r="F19" i="4"/>
  <c r="G19" i="4"/>
  <c r="F20" i="4"/>
  <c r="G20" i="4"/>
  <c r="F21" i="4"/>
  <c r="G21" i="4"/>
  <c r="F22" i="4"/>
  <c r="G22" i="4"/>
  <c r="F23" i="4"/>
  <c r="G23" i="4"/>
  <c r="D25" i="4"/>
  <c r="E25" i="4"/>
  <c r="H25" i="4"/>
  <c r="H27" i="4"/>
  <c r="I25" i="4"/>
  <c r="J25" i="4"/>
  <c r="J27" i="4"/>
  <c r="K25" i="4"/>
  <c r="L25" i="4"/>
  <c r="M25" i="4"/>
  <c r="D26" i="4"/>
  <c r="E26" i="4"/>
  <c r="E27" i="4"/>
  <c r="H26" i="4"/>
  <c r="I26" i="4"/>
  <c r="J26" i="4"/>
  <c r="K26" i="4"/>
  <c r="L26" i="4"/>
  <c r="M26" i="4"/>
  <c r="M27" i="4"/>
  <c r="D27" i="4"/>
  <c r="K27" i="4"/>
  <c r="L27" i="4"/>
  <c r="C6" i="3"/>
  <c r="H6" i="3"/>
  <c r="J6" i="3"/>
  <c r="E6" i="3"/>
  <c r="F6" i="3"/>
  <c r="K6" i="3"/>
  <c r="L6" i="3"/>
  <c r="M6" i="3"/>
  <c r="N6" i="3"/>
  <c r="P6" i="3"/>
  <c r="C7" i="3"/>
  <c r="P7" i="3"/>
  <c r="C8" i="3"/>
  <c r="P8" i="3"/>
  <c r="C9" i="3"/>
  <c r="E9" i="3"/>
  <c r="F9" i="3"/>
  <c r="K9" i="3"/>
  <c r="L9" i="3"/>
  <c r="M9" i="3"/>
  <c r="N9" i="3"/>
  <c r="H9" i="3"/>
  <c r="J9" i="3"/>
  <c r="P9" i="3"/>
  <c r="C10" i="3"/>
  <c r="H10" i="3"/>
  <c r="J10" i="3"/>
  <c r="P10" i="3"/>
  <c r="C11" i="3"/>
  <c r="E11" i="3"/>
  <c r="F11" i="3"/>
  <c r="H11" i="3"/>
  <c r="J11" i="3"/>
  <c r="K11" i="3"/>
  <c r="L11" i="3"/>
  <c r="M11" i="3"/>
  <c r="N11" i="3"/>
  <c r="P11" i="3"/>
  <c r="C12" i="3"/>
  <c r="E12" i="3"/>
  <c r="F12" i="3"/>
  <c r="H12" i="3"/>
  <c r="J12" i="3"/>
  <c r="P12" i="3"/>
  <c r="C13" i="3"/>
  <c r="E13" i="3"/>
  <c r="F13" i="3"/>
  <c r="K13" i="3"/>
  <c r="L13" i="3"/>
  <c r="M13" i="3"/>
  <c r="N13" i="3"/>
  <c r="H13" i="3"/>
  <c r="J13" i="3"/>
  <c r="P13" i="3"/>
  <c r="C14" i="3"/>
  <c r="H14" i="3"/>
  <c r="J14" i="3"/>
  <c r="E14" i="3"/>
  <c r="F14" i="3"/>
  <c r="K14" i="3"/>
  <c r="L14" i="3"/>
  <c r="M14" i="3"/>
  <c r="N14" i="3"/>
  <c r="P14" i="3"/>
  <c r="C15" i="3"/>
  <c r="P15" i="3"/>
  <c r="C16" i="3"/>
  <c r="P16" i="3"/>
  <c r="C17" i="3"/>
  <c r="E17" i="3"/>
  <c r="F17" i="3"/>
  <c r="H17" i="3"/>
  <c r="J17" i="3"/>
  <c r="P17" i="3"/>
  <c r="C18" i="3"/>
  <c r="H18" i="3"/>
  <c r="J18" i="3"/>
  <c r="P18" i="3"/>
  <c r="C19" i="3"/>
  <c r="E19" i="3"/>
  <c r="F19" i="3"/>
  <c r="H19" i="3"/>
  <c r="J19" i="3"/>
  <c r="K19" i="3"/>
  <c r="L19" i="3"/>
  <c r="M19" i="3"/>
  <c r="N19" i="3"/>
  <c r="P19" i="3"/>
  <c r="C20" i="3"/>
  <c r="E20" i="3"/>
  <c r="F20" i="3"/>
  <c r="H20" i="3"/>
  <c r="J20" i="3"/>
  <c r="P20" i="3"/>
  <c r="C21" i="3"/>
  <c r="E21" i="3"/>
  <c r="F21" i="3"/>
  <c r="P21" i="3"/>
  <c r="AB68" i="5"/>
  <c r="X53" i="5"/>
  <c r="Y53" i="5"/>
  <c r="X61" i="5"/>
  <c r="Y61" i="5"/>
  <c r="X90" i="5"/>
  <c r="Y90" i="5"/>
  <c r="R55" i="5"/>
  <c r="X55" i="5"/>
  <c r="Y55" i="5"/>
  <c r="AA53" i="5"/>
  <c r="X51" i="5"/>
  <c r="Y51" i="5"/>
  <c r="X4" i="5"/>
  <c r="Y4" i="5"/>
  <c r="X34" i="5"/>
  <c r="Y34" i="5"/>
  <c r="AA21" i="5"/>
  <c r="X22" i="5"/>
  <c r="Y22" i="5"/>
  <c r="AB21" i="5"/>
  <c r="F27" i="4"/>
  <c r="Z19" i="5"/>
  <c r="AA17" i="5"/>
  <c r="T77" i="5"/>
  <c r="U77" i="5"/>
  <c r="V77" i="5"/>
  <c r="X77" i="5"/>
  <c r="Y77" i="5"/>
  <c r="AB61" i="5"/>
  <c r="AB53" i="5"/>
  <c r="AB37" i="5"/>
  <c r="AB80" i="5"/>
  <c r="Z27" i="5"/>
  <c r="AA25" i="5"/>
  <c r="X10" i="5"/>
  <c r="Y10" i="5"/>
  <c r="AA10" i="5"/>
  <c r="E16" i="3"/>
  <c r="F16" i="3"/>
  <c r="H16" i="3"/>
  <c r="J16" i="3"/>
  <c r="AY16" i="12"/>
  <c r="S16" i="12"/>
  <c r="Q32" i="12"/>
  <c r="Z55" i="5"/>
  <c r="R7" i="5"/>
  <c r="R8" i="5"/>
  <c r="X8" i="5"/>
  <c r="Y8" i="5"/>
  <c r="T7" i="5"/>
  <c r="U7" i="5"/>
  <c r="V7" i="5"/>
  <c r="AB48" i="12"/>
  <c r="K17" i="3"/>
  <c r="L17" i="3"/>
  <c r="M17" i="3"/>
  <c r="N17" i="3"/>
  <c r="R30" i="5"/>
  <c r="R31" i="5"/>
  <c r="T31" i="5"/>
  <c r="U31" i="5"/>
  <c r="V31" i="5"/>
  <c r="X31" i="5"/>
  <c r="Y31" i="5"/>
  <c r="T30" i="5"/>
  <c r="U30" i="5"/>
  <c r="V30" i="5"/>
  <c r="T15" i="5"/>
  <c r="U15" i="5"/>
  <c r="V15" i="5"/>
  <c r="X15" i="5"/>
  <c r="Y15" i="5"/>
  <c r="AB14" i="5"/>
  <c r="R16" i="5"/>
  <c r="X16" i="5"/>
  <c r="Y16" i="5"/>
  <c r="BB11" i="12"/>
  <c r="AQ29" i="12"/>
  <c r="R11" i="5"/>
  <c r="X11" i="5"/>
  <c r="Y11" i="5"/>
  <c r="AB10" i="5"/>
  <c r="X88" i="5"/>
  <c r="Y88" i="5"/>
  <c r="Z90" i="5"/>
  <c r="BB10" i="12"/>
  <c r="AH16" i="12"/>
  <c r="AI16" i="12"/>
  <c r="AQ27" i="12"/>
  <c r="AA49" i="5"/>
  <c r="T3" i="5"/>
  <c r="U3" i="5"/>
  <c r="V3" i="5"/>
  <c r="X3" i="5"/>
  <c r="Y3" i="5"/>
  <c r="Z4" i="5"/>
  <c r="AL39" i="12"/>
  <c r="AN32" i="12"/>
  <c r="R47" i="5"/>
  <c r="X47" i="5"/>
  <c r="Y47" i="5"/>
  <c r="R46" i="5"/>
  <c r="X46" i="5"/>
  <c r="Y46" i="5"/>
  <c r="AB45" i="5"/>
  <c r="AT16" i="12"/>
  <c r="W16" i="12"/>
  <c r="S48" i="12"/>
  <c r="R32" i="12"/>
  <c r="AQ25" i="12"/>
  <c r="AP16" i="12"/>
  <c r="AO32" i="12"/>
  <c r="X76" i="5"/>
  <c r="Y76" i="5"/>
  <c r="AB76" i="5"/>
  <c r="AV16" i="12"/>
  <c r="AQ31" i="12"/>
  <c r="Z39" i="5"/>
  <c r="E7" i="3"/>
  <c r="F7" i="3"/>
  <c r="H7" i="3"/>
  <c r="J7" i="3"/>
  <c r="X70" i="5"/>
  <c r="Y70" i="5"/>
  <c r="E15" i="3"/>
  <c r="F15" i="3"/>
  <c r="H15" i="3"/>
  <c r="J15" i="3"/>
  <c r="Z12" i="5"/>
  <c r="BB14" i="12"/>
  <c r="AL47" i="12"/>
  <c r="F25" i="4"/>
  <c r="X33" i="5"/>
  <c r="Y33" i="5"/>
  <c r="AB33" i="5"/>
  <c r="Z23" i="5"/>
  <c r="BB13" i="12"/>
  <c r="AL46" i="12"/>
  <c r="AA2" i="5"/>
  <c r="K16" i="12"/>
  <c r="Z35" i="5"/>
  <c r="BB5" i="12"/>
  <c r="K12" i="3"/>
  <c r="L12" i="3"/>
  <c r="M12" i="3"/>
  <c r="N12" i="3"/>
  <c r="T85" i="5"/>
  <c r="U85" i="5"/>
  <c r="V85" i="5"/>
  <c r="X85" i="5"/>
  <c r="Y85" i="5"/>
  <c r="AB84" i="5"/>
  <c r="X16" i="12"/>
  <c r="AH32" i="12"/>
  <c r="Z32" i="12"/>
  <c r="J32" i="12"/>
  <c r="K20" i="3"/>
  <c r="L20" i="3"/>
  <c r="M20" i="3"/>
  <c r="N20" i="3"/>
  <c r="Z63" i="5"/>
  <c r="AA61" i="5"/>
  <c r="AB88" i="5"/>
  <c r="R65" i="5"/>
  <c r="X65" i="5"/>
  <c r="Y65" i="5"/>
  <c r="AB64" i="5"/>
  <c r="R66" i="5"/>
  <c r="X66" i="5"/>
  <c r="Y66" i="5"/>
  <c r="H21" i="3"/>
  <c r="J21" i="3"/>
  <c r="K21" i="3"/>
  <c r="L21" i="3"/>
  <c r="M21" i="3"/>
  <c r="N21" i="3"/>
  <c r="AA33" i="5"/>
  <c r="E8" i="3"/>
  <c r="F8" i="3"/>
  <c r="K8" i="3"/>
  <c r="L8" i="3"/>
  <c r="M8" i="3"/>
  <c r="N8" i="3"/>
  <c r="H8" i="3"/>
  <c r="J8" i="3"/>
  <c r="R43" i="5"/>
  <c r="X43" i="5"/>
  <c r="Y43" i="5"/>
  <c r="BB12" i="12"/>
  <c r="AR16" i="12"/>
  <c r="AJ16" i="12"/>
  <c r="AB16" i="12"/>
  <c r="L16" i="12"/>
  <c r="D16" i="12"/>
  <c r="Z48" i="12"/>
  <c r="G48" i="12"/>
  <c r="AI32" i="12"/>
  <c r="AA32" i="12"/>
  <c r="S32" i="12"/>
  <c r="K32" i="12"/>
  <c r="C32" i="12"/>
  <c r="AQ21" i="12"/>
  <c r="AX16" i="12"/>
  <c r="R16" i="12"/>
  <c r="J16" i="12"/>
  <c r="D48" i="12"/>
  <c r="U48" i="12"/>
  <c r="L48" i="12"/>
  <c r="AK32" i="12"/>
  <c r="AC32" i="12"/>
  <c r="U32" i="12"/>
  <c r="M32" i="12"/>
  <c r="E32" i="12"/>
  <c r="R50" i="5"/>
  <c r="X50" i="5"/>
  <c r="Y50" i="5"/>
  <c r="Z51" i="5"/>
  <c r="E18" i="3"/>
  <c r="F18" i="3"/>
  <c r="K18" i="3"/>
  <c r="L18" i="3"/>
  <c r="M18" i="3"/>
  <c r="N18" i="3"/>
  <c r="E10" i="3"/>
  <c r="F10" i="3"/>
  <c r="K10" i="3"/>
  <c r="L10" i="3"/>
  <c r="M10" i="3"/>
  <c r="N10" i="3"/>
  <c r="R86" i="5"/>
  <c r="X86" i="5"/>
  <c r="Y86" i="5"/>
  <c r="X82" i="5"/>
  <c r="Y82" i="5"/>
  <c r="R73" i="5"/>
  <c r="X73" i="5"/>
  <c r="Y73" i="5"/>
  <c r="T72" i="5"/>
  <c r="U72" i="5"/>
  <c r="V72" i="5"/>
  <c r="X72" i="5"/>
  <c r="Y72" i="5"/>
  <c r="Z74" i="5"/>
  <c r="BB9" i="12"/>
  <c r="Y16" i="12"/>
  <c r="AL44" i="12"/>
  <c r="AL41" i="12"/>
  <c r="AF48" i="12"/>
  <c r="T48" i="12"/>
  <c r="AJ32" i="12"/>
  <c r="AB32" i="12"/>
  <c r="T32" i="12"/>
  <c r="L32" i="12"/>
  <c r="D32" i="12"/>
  <c r="R78" i="5"/>
  <c r="X78" i="5"/>
  <c r="Y78" i="5"/>
  <c r="R58" i="5"/>
  <c r="X58" i="5"/>
  <c r="Y58" i="5"/>
  <c r="AS16" i="12"/>
  <c r="AC16" i="12"/>
  <c r="U16" i="12"/>
  <c r="M16" i="12"/>
  <c r="V16" i="12"/>
  <c r="N16" i="12"/>
  <c r="BB7" i="12"/>
  <c r="F16" i="12"/>
  <c r="AM16" i="12"/>
  <c r="O16" i="12"/>
  <c r="BB6" i="12"/>
  <c r="AN16" i="12"/>
  <c r="H16" i="12"/>
  <c r="BB16" i="12"/>
  <c r="AL43" i="12"/>
  <c r="I48" i="12"/>
  <c r="J48" i="12"/>
  <c r="AM32" i="12"/>
  <c r="AE32" i="12"/>
  <c r="W32" i="12"/>
  <c r="O32" i="12"/>
  <c r="G32" i="12"/>
  <c r="I27" i="4"/>
  <c r="R59" i="5"/>
  <c r="X59" i="5"/>
  <c r="Y59" i="5"/>
  <c r="T57" i="5"/>
  <c r="U57" i="5"/>
  <c r="V57" i="5"/>
  <c r="X57" i="5"/>
  <c r="Y57" i="5"/>
  <c r="AB57" i="5"/>
  <c r="T42" i="5"/>
  <c r="U42" i="5"/>
  <c r="V42" i="5"/>
  <c r="X42" i="5"/>
  <c r="Y42" i="5"/>
  <c r="AB41" i="5"/>
  <c r="AL42" i="12"/>
  <c r="AL32" i="12"/>
  <c r="AD32" i="12"/>
  <c r="V32" i="12"/>
  <c r="N32" i="12"/>
  <c r="F32" i="12"/>
  <c r="AQ23" i="12"/>
  <c r="C48" i="12"/>
  <c r="AB2" i="5"/>
  <c r="AA88" i="5"/>
  <c r="X30" i="5"/>
  <c r="Y30" i="5"/>
  <c r="AB29" i="5"/>
  <c r="Z31" i="5"/>
  <c r="AA29" i="5"/>
  <c r="Z70" i="5"/>
  <c r="AA68" i="5"/>
  <c r="AB49" i="5"/>
  <c r="K16" i="3"/>
  <c r="L16" i="3"/>
  <c r="M16" i="3"/>
  <c r="N16" i="3"/>
  <c r="AA80" i="5"/>
  <c r="Z82" i="5"/>
  <c r="K15" i="3"/>
  <c r="L15" i="3"/>
  <c r="M15" i="3"/>
  <c r="N15" i="3"/>
  <c r="Z59" i="5"/>
  <c r="AA57" i="5"/>
  <c r="Z78" i="5"/>
  <c r="AA76" i="5"/>
  <c r="Z86" i="5"/>
  <c r="AA84" i="5"/>
  <c r="AA14" i="5"/>
  <c r="Z16" i="5"/>
  <c r="AA6" i="5"/>
  <c r="X7" i="5"/>
  <c r="Y7" i="5"/>
  <c r="Z8" i="5"/>
  <c r="Z66" i="5"/>
  <c r="AA64" i="5"/>
  <c r="AL48" i="12"/>
  <c r="AB72" i="5"/>
  <c r="Z43" i="5"/>
  <c r="AA41" i="5"/>
  <c r="Z47" i="5"/>
  <c r="AA45" i="5"/>
  <c r="AQ32" i="12"/>
  <c r="K7" i="3"/>
  <c r="L7" i="3"/>
  <c r="M7" i="3"/>
  <c r="N7" i="3"/>
  <c r="AB6" i="5"/>
  <c r="AA7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Lowell</author>
  </authors>
  <commentList>
    <comment ref="M1" authorId="0" shapeId="0" xr:uid="{806EEEBE-D96F-4812-AC06-3C6793CDB531}">
      <text>
        <r>
          <rPr>
            <b/>
            <sz val="9"/>
            <color indexed="81"/>
            <rFont val="Tahoma"/>
            <family val="2"/>
          </rPr>
          <t>Lowell:</t>
        </r>
        <r>
          <rPr>
            <sz val="9"/>
            <color indexed="81"/>
            <rFont val="Tahoma"/>
            <family val="2"/>
          </rPr>
          <t xml:space="preserve">
Two bubble axes are shown here. Because the bubbles are approximately sperical, these two axes are nearly identical in length. The two axes are averaged in the calculations of bubble volume.</t>
        </r>
      </text>
    </comment>
    <comment ref="N1" authorId="0" shapeId="0" xr:uid="{FE468172-D899-40FA-8879-B23D8771D1A7}">
      <text>
        <r>
          <rPr>
            <b/>
            <sz val="9"/>
            <color indexed="81"/>
            <rFont val="Tahoma"/>
            <family val="2"/>
          </rPr>
          <t>Lowell:</t>
        </r>
        <r>
          <rPr>
            <sz val="9"/>
            <color indexed="81"/>
            <rFont val="Tahoma"/>
            <family val="2"/>
          </rPr>
          <t xml:space="preserve">
Two bubble axes are shown here. Because the bubbles are approximately sperical, these two axes are nearly identical in length. The two axes are averaged in the calculations of bubble volume.</t>
        </r>
      </text>
    </comment>
    <comment ref="P1" authorId="0" shapeId="0" xr:uid="{117F2A53-67DB-442E-9C55-CDD77C355FD7}">
      <text>
        <r>
          <rPr>
            <b/>
            <sz val="9"/>
            <color indexed="81"/>
            <rFont val="Tahoma"/>
            <family val="2"/>
          </rPr>
          <t>Lowell:</t>
        </r>
        <r>
          <rPr>
            <sz val="9"/>
            <color indexed="81"/>
            <rFont val="Tahoma"/>
            <family val="2"/>
          </rPr>
          <t xml:space="preserve">
Error was propagated through mass balance calculations in two cases: 1) by calculating a minimum reconstructed CO2 concentration and 2) by calculating a maximum reconstructed concentration.
See [Supplementary material 1 - appendix] for a discussion of error propagation methods.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Lowell</author>
  </authors>
  <commentList>
    <comment ref="M1" authorId="0" shapeId="0" xr:uid="{00000000-0006-0000-0500-000001000000}">
      <text>
        <r>
          <rPr>
            <b/>
            <sz val="9"/>
            <color indexed="81"/>
            <rFont val="Tahoma"/>
            <family val="2"/>
          </rPr>
          <t>Lowell:</t>
        </r>
        <r>
          <rPr>
            <sz val="9"/>
            <color indexed="81"/>
            <rFont val="Tahoma"/>
            <family val="2"/>
          </rPr>
          <t xml:space="preserve">
Two bubble axes are shown here. Because the bubbles are approximately sperical, these two axes are nearly identical in length. The two axes are averaged in the calculations of bubble volume.</t>
        </r>
      </text>
    </comment>
    <comment ref="N1" authorId="0" shapeId="0" xr:uid="{00000000-0006-0000-0500-000002000000}">
      <text>
        <r>
          <rPr>
            <b/>
            <sz val="9"/>
            <color indexed="81"/>
            <rFont val="Tahoma"/>
            <family val="2"/>
          </rPr>
          <t>Lowell:</t>
        </r>
        <r>
          <rPr>
            <sz val="9"/>
            <color indexed="81"/>
            <rFont val="Tahoma"/>
            <family val="2"/>
          </rPr>
          <t xml:space="preserve">
Two bubble axes are shown here. Because the bubbles are approximately sperical, these two axes are nearly identical in length. The two axes are averaged in the calculations of bubble volume.</t>
        </r>
      </text>
    </comment>
    <comment ref="P1" authorId="0" shapeId="0" xr:uid="{00000000-0006-0000-0500-000003000000}">
      <text>
        <r>
          <rPr>
            <b/>
            <sz val="9"/>
            <color indexed="81"/>
            <rFont val="Tahoma"/>
            <family val="2"/>
          </rPr>
          <t>Lowell:</t>
        </r>
        <r>
          <rPr>
            <sz val="9"/>
            <color indexed="81"/>
            <rFont val="Tahoma"/>
            <family val="2"/>
          </rPr>
          <t xml:space="preserve">
Error was propagated through mass balance calculations in two cases: 1) by calculating a minimum reconstructed CO2 concentration and 2) by calculating a maximum reconstructed concentration.
See [Supplementary material 1 - appendix] for a discussion of error propagation methods.</t>
        </r>
      </text>
    </comment>
  </commentList>
</comments>
</file>

<file path=xl/sharedStrings.xml><?xml version="1.0" encoding="utf-8"?>
<sst xmlns="http://schemas.openxmlformats.org/spreadsheetml/2006/main" count="486" uniqueCount="248">
  <si>
    <t>Kapoho</t>
  </si>
  <si>
    <t>Sample</t>
  </si>
  <si>
    <t>Number</t>
  </si>
  <si>
    <r>
      <t>Peak 1, cm</t>
    </r>
    <r>
      <rPr>
        <vertAlign val="superscript"/>
        <sz val="11"/>
        <color theme="1"/>
        <rFont val="Calibri"/>
        <family val="2"/>
        <scheme val="minor"/>
      </rPr>
      <t>-1</t>
    </r>
  </si>
  <si>
    <r>
      <t>Peak 2, cm</t>
    </r>
    <r>
      <rPr>
        <vertAlign val="superscript"/>
        <sz val="11"/>
        <color theme="1"/>
        <rFont val="Calibri"/>
        <family val="2"/>
        <scheme val="minor"/>
      </rPr>
      <t>-1</t>
    </r>
  </si>
  <si>
    <r>
      <t>∆, cm</t>
    </r>
    <r>
      <rPr>
        <vertAlign val="superscript"/>
        <sz val="11"/>
        <color theme="1"/>
        <rFont val="Calibri"/>
        <family val="2"/>
      </rPr>
      <t>-1</t>
    </r>
  </si>
  <si>
    <r>
      <rPr>
        <vertAlign val="superscript"/>
        <sz val="9"/>
        <rFont val="Geneva"/>
      </rPr>
      <t>3</t>
    </r>
    <r>
      <rPr>
        <sz val="11"/>
        <color theme="1"/>
        <rFont val="Calibri"/>
        <family val="2"/>
        <scheme val="minor"/>
      </rPr>
      <t>a hypothetical water content was chosen to reflect MI glass compositions similar to those measured in MI from Kilauea's East Rift Zone (e.g. Anderson &amp; Brown, 1993; Hauri, 2002b, see references in text).</t>
    </r>
  </si>
  <si>
    <r>
      <rPr>
        <vertAlign val="superscript"/>
        <sz val="9"/>
        <rFont val="Geneva"/>
      </rPr>
      <t>2</t>
    </r>
    <r>
      <rPr>
        <sz val="11"/>
        <color theme="1"/>
        <rFont val="Calibri"/>
        <family val="2"/>
        <scheme val="minor"/>
      </rPr>
      <t>Values are offset slightly so that points that fall in the same location can be distinguished clearly.</t>
    </r>
  </si>
  <si>
    <r>
      <rPr>
        <vertAlign val="superscript"/>
        <sz val="9"/>
        <rFont val="Geneva"/>
      </rPr>
      <t>1</t>
    </r>
    <r>
      <rPr>
        <sz val="11"/>
        <color theme="1"/>
        <rFont val="Calibri"/>
        <family val="2"/>
        <scheme val="minor"/>
      </rPr>
      <t xml:space="preserve">a 100 </t>
    </r>
    <r>
      <rPr>
        <sz val="9"/>
        <rFont val="Calibri"/>
        <family val="2"/>
      </rPr>
      <t>μ</t>
    </r>
    <r>
      <rPr>
        <sz val="11"/>
        <color theme="1"/>
        <rFont val="Calibri"/>
        <family val="2"/>
        <scheme val="minor"/>
      </rPr>
      <t>m (0.01 cm) MI diameter is used for these calculations even though a MI diameter of a different size or a set of MI with diameters of random sizes will produce identical results.</t>
    </r>
  </si>
  <si>
    <r>
      <t>Plotted H</t>
    </r>
    <r>
      <rPr>
        <vertAlign val="subscript"/>
        <sz val="9"/>
        <rFont val="Geneva"/>
      </rPr>
      <t>2</t>
    </r>
    <r>
      <rPr>
        <sz val="11"/>
        <color theme="1"/>
        <rFont val="Calibri"/>
        <family val="2"/>
        <scheme val="minor"/>
      </rPr>
      <t>O in glass, wt%</t>
    </r>
    <r>
      <rPr>
        <vertAlign val="superscript"/>
        <sz val="9"/>
        <rFont val="Geneva"/>
      </rPr>
      <t>2,3</t>
    </r>
  </si>
  <si>
    <t>H2O in glass, wt%</t>
  </si>
  <si>
    <r>
      <t>Plotted CO</t>
    </r>
    <r>
      <rPr>
        <vertAlign val="subscript"/>
        <sz val="9"/>
        <rFont val="Geneva"/>
      </rPr>
      <t>2</t>
    </r>
    <r>
      <rPr>
        <sz val="11"/>
        <color theme="1"/>
        <rFont val="Calibri"/>
        <family val="2"/>
        <scheme val="minor"/>
      </rPr>
      <t>, ppm</t>
    </r>
    <r>
      <rPr>
        <vertAlign val="superscript"/>
        <sz val="9"/>
        <rFont val="Geneva"/>
      </rPr>
      <t>2</t>
    </r>
  </si>
  <si>
    <r>
      <t>CO</t>
    </r>
    <r>
      <rPr>
        <vertAlign val="subscript"/>
        <sz val="9"/>
        <rFont val="Geneva"/>
      </rPr>
      <t>2</t>
    </r>
    <r>
      <rPr>
        <sz val="11"/>
        <color theme="1"/>
        <rFont val="Calibri"/>
        <family val="2"/>
        <scheme val="minor"/>
      </rPr>
      <t xml:space="preserve"> in glass, ppm</t>
    </r>
  </si>
  <si>
    <r>
      <t>CO</t>
    </r>
    <r>
      <rPr>
        <vertAlign val="subscript"/>
        <sz val="9"/>
        <rFont val="Geneva"/>
      </rPr>
      <t>2</t>
    </r>
    <r>
      <rPr>
        <sz val="11"/>
        <color theme="1"/>
        <rFont val="Calibri"/>
        <family val="2"/>
        <scheme val="minor"/>
      </rPr>
      <t xml:space="preserve"> in glass, mass fraction</t>
    </r>
  </si>
  <si>
    <r>
      <t>Mass of CO</t>
    </r>
    <r>
      <rPr>
        <vertAlign val="subscript"/>
        <sz val="9"/>
        <rFont val="Geneva"/>
      </rPr>
      <t>2</t>
    </r>
    <r>
      <rPr>
        <sz val="11"/>
        <color theme="1"/>
        <rFont val="Calibri"/>
        <family val="2"/>
        <scheme val="minor"/>
      </rPr>
      <t xml:space="preserve"> in glass, g</t>
    </r>
  </si>
  <si>
    <r>
      <t>Mass of CO</t>
    </r>
    <r>
      <rPr>
        <vertAlign val="subscript"/>
        <sz val="9"/>
        <rFont val="Geneva"/>
      </rPr>
      <t>2</t>
    </r>
    <r>
      <rPr>
        <sz val="11"/>
        <color theme="1"/>
        <rFont val="Calibri"/>
        <family val="2"/>
        <scheme val="minor"/>
      </rPr>
      <t xml:space="preserve"> in vapor bubble, g</t>
    </r>
  </si>
  <si>
    <r>
      <t>Bubble CO</t>
    </r>
    <r>
      <rPr>
        <vertAlign val="subscript"/>
        <sz val="9"/>
        <rFont val="Geneva"/>
      </rPr>
      <t>2</t>
    </r>
    <r>
      <rPr>
        <sz val="11"/>
        <color theme="1"/>
        <rFont val="Calibri"/>
        <family val="2"/>
        <scheme val="minor"/>
      </rPr>
      <t xml:space="preserve"> density, g/cm</t>
    </r>
    <r>
      <rPr>
        <vertAlign val="superscript"/>
        <sz val="9"/>
        <rFont val="Geneva"/>
      </rPr>
      <t>3</t>
    </r>
  </si>
  <si>
    <r>
      <t>Volume of vapor bubble, cm</t>
    </r>
    <r>
      <rPr>
        <vertAlign val="superscript"/>
        <sz val="9"/>
        <rFont val="Geneva"/>
      </rPr>
      <t>3</t>
    </r>
  </si>
  <si>
    <t>Volume % Vapor</t>
  </si>
  <si>
    <t>Mass of CO2 in MI, g</t>
  </si>
  <si>
    <r>
      <t>Mass of melt, cm</t>
    </r>
    <r>
      <rPr>
        <vertAlign val="superscript"/>
        <sz val="9"/>
        <rFont val="Geneva"/>
      </rPr>
      <t>3</t>
    </r>
  </si>
  <si>
    <r>
      <t>density of glass g/cm</t>
    </r>
    <r>
      <rPr>
        <vertAlign val="superscript"/>
        <sz val="9"/>
        <rFont val="Geneva"/>
      </rPr>
      <t>3</t>
    </r>
  </si>
  <si>
    <r>
      <t>volume of MI, cm</t>
    </r>
    <r>
      <rPr>
        <vertAlign val="superscript"/>
        <sz val="9"/>
        <rFont val="Geneva"/>
      </rPr>
      <t>3</t>
    </r>
  </si>
  <si>
    <r>
      <t xml:space="preserve">MI diameter, cm </t>
    </r>
    <r>
      <rPr>
        <vertAlign val="superscript"/>
        <sz val="9"/>
        <rFont val="Geneva"/>
      </rPr>
      <t>1</t>
    </r>
  </si>
  <si>
    <r>
      <t>Original melt CO</t>
    </r>
    <r>
      <rPr>
        <vertAlign val="subscript"/>
        <sz val="9"/>
        <rFont val="Geneva"/>
      </rPr>
      <t>2</t>
    </r>
    <r>
      <rPr>
        <sz val="11"/>
        <color theme="1"/>
        <rFont val="Calibri"/>
        <family val="2"/>
        <scheme val="minor"/>
      </rPr>
      <t xml:space="preserve"> concentration, ppm</t>
    </r>
  </si>
  <si>
    <t>std/ave</t>
  </si>
  <si>
    <t>std</t>
  </si>
  <si>
    <t>ave</t>
  </si>
  <si>
    <t>bubble mass g</t>
  </si>
  <si>
    <t>bubble volume cc</t>
  </si>
  <si>
    <t>bubble radius cm</t>
  </si>
  <si>
    <t>bubble diameter cm</t>
  </si>
  <si>
    <r>
      <t>CO</t>
    </r>
    <r>
      <rPr>
        <vertAlign val="subscript"/>
        <sz val="11"/>
        <color theme="1"/>
        <rFont val="Calibri"/>
        <family val="2"/>
        <scheme val="minor"/>
      </rPr>
      <t>2</t>
    </r>
    <r>
      <rPr>
        <sz val="11"/>
        <color theme="1"/>
        <rFont val="Calibri"/>
        <family val="2"/>
        <scheme val="minor"/>
      </rPr>
      <t xml:space="preserve"> density, g/cm</t>
    </r>
    <r>
      <rPr>
        <vertAlign val="superscript"/>
        <sz val="11"/>
        <color theme="1"/>
        <rFont val="Calibri"/>
        <family val="2"/>
        <scheme val="minor"/>
      </rPr>
      <t>3</t>
    </r>
  </si>
  <si>
    <t>Date</t>
  </si>
  <si>
    <t>#</t>
  </si>
  <si>
    <t>Name</t>
  </si>
  <si>
    <t>max</t>
  </si>
  <si>
    <t>min</t>
  </si>
  <si>
    <t>Kilauea Iki</t>
  </si>
  <si>
    <t>seguam</t>
  </si>
  <si>
    <t>fuego</t>
  </si>
  <si>
    <t>H2O wt%</t>
  </si>
  <si>
    <t>sample</t>
  </si>
  <si>
    <t>SiO2</t>
  </si>
  <si>
    <t>TiO2</t>
  </si>
  <si>
    <t>Al2O3</t>
  </si>
  <si>
    <t>MgO</t>
  </si>
  <si>
    <t>CaO</t>
  </si>
  <si>
    <t>MnO</t>
  </si>
  <si>
    <t>Na2O</t>
  </si>
  <si>
    <t>K2O</t>
  </si>
  <si>
    <t>CO2 ppm</t>
  </si>
  <si>
    <t>F ppm</t>
  </si>
  <si>
    <t>P ppm</t>
  </si>
  <si>
    <t>S ppm</t>
  </si>
  <si>
    <t>Cl ppm</t>
  </si>
  <si>
    <t>fuego 11.1</t>
  </si>
  <si>
    <t>fuego 12.3</t>
  </si>
  <si>
    <t>fuego 15.1</t>
  </si>
  <si>
    <t>fuego 19.1</t>
  </si>
  <si>
    <t>fuego 5.3</t>
  </si>
  <si>
    <t>fuego 9.2</t>
  </si>
  <si>
    <t>Cr2O3</t>
  </si>
  <si>
    <t>FeOT</t>
  </si>
  <si>
    <t>seg 10.1</t>
  </si>
  <si>
    <t>seg 12.1</t>
  </si>
  <si>
    <t>seg 13.1</t>
  </si>
  <si>
    <t>seg 15.1</t>
  </si>
  <si>
    <t>seg 16.1</t>
  </si>
  <si>
    <t>seg 2.1</t>
  </si>
  <si>
    <t>seg 20</t>
  </si>
  <si>
    <t>seg 22.1</t>
  </si>
  <si>
    <t>seg 23.1</t>
  </si>
  <si>
    <t>seg 24.9</t>
  </si>
  <si>
    <t>seg 5.2</t>
  </si>
  <si>
    <t>seg 6.1</t>
  </si>
  <si>
    <t>seg 7.5</t>
  </si>
  <si>
    <t>seg 8.3</t>
  </si>
  <si>
    <t>seg 9.1</t>
  </si>
  <si>
    <t>Fuego</t>
  </si>
  <si>
    <t>5.3*</t>
  </si>
  <si>
    <t>9.2*</t>
  </si>
  <si>
    <t>11.1*</t>
  </si>
  <si>
    <t>15.1*</t>
  </si>
  <si>
    <t>19.1*</t>
  </si>
  <si>
    <t>Seguam</t>
  </si>
  <si>
    <t>2.1*</t>
  </si>
  <si>
    <t>5.2*</t>
  </si>
  <si>
    <t>6.1*</t>
  </si>
  <si>
    <t>7.5*</t>
  </si>
  <si>
    <t>8.3*</t>
  </si>
  <si>
    <t>10.1*</t>
  </si>
  <si>
    <t>13.1*</t>
  </si>
  <si>
    <t>16.1*</t>
  </si>
  <si>
    <t>22.1*</t>
  </si>
  <si>
    <t>23.1*</t>
  </si>
  <si>
    <t>24.9*</t>
  </si>
  <si>
    <t>SEG0705</t>
  </si>
  <si>
    <t>SEG0706</t>
  </si>
  <si>
    <t>SEG0707</t>
  </si>
  <si>
    <t>SEG0708</t>
  </si>
  <si>
    <t>SEG0710</t>
  </si>
  <si>
    <t>SEG0701</t>
  </si>
  <si>
    <t>Zimmer et al., 2010</t>
  </si>
  <si>
    <t>CO2 (ppm)</t>
  </si>
  <si>
    <t>"5-14"*</t>
  </si>
  <si>
    <t>"5-9"*</t>
  </si>
  <si>
    <t>21-1C-B*</t>
  </si>
  <si>
    <t>21-2A-B*</t>
  </si>
  <si>
    <t>21-2B-B*</t>
  </si>
  <si>
    <t>21-2B-A*</t>
  </si>
  <si>
    <t>22-12B*</t>
  </si>
  <si>
    <t>22-1-9</t>
  </si>
  <si>
    <t>22-482</t>
  </si>
  <si>
    <t>45-42</t>
  </si>
  <si>
    <t>45-6-1*</t>
  </si>
  <si>
    <t>45-B*</t>
  </si>
  <si>
    <t>45-B2*</t>
  </si>
  <si>
    <t>45-C1*</t>
  </si>
  <si>
    <t>45-C2*</t>
  </si>
  <si>
    <t>5-11a*</t>
  </si>
  <si>
    <t>58-3-1*</t>
  </si>
  <si>
    <t>220-1*</t>
  </si>
  <si>
    <t>58-2-1*</t>
  </si>
  <si>
    <t>21-2A-A</t>
  </si>
  <si>
    <t>220-4-1*</t>
  </si>
  <si>
    <t>58-1-2*</t>
  </si>
  <si>
    <t>58-3-2*</t>
  </si>
  <si>
    <t>25-5-1*</t>
  </si>
  <si>
    <t>160A-12*</t>
  </si>
  <si>
    <t>21-lC-A*</t>
  </si>
  <si>
    <t>21-2C-A*</t>
  </si>
  <si>
    <t>21-1A-A*</t>
  </si>
  <si>
    <t>220-13*</t>
  </si>
  <si>
    <t>21-1A-B*</t>
  </si>
  <si>
    <t>"5-12"*</t>
  </si>
  <si>
    <t>21-2D-A</t>
  </si>
  <si>
    <t>21-1D-A*</t>
  </si>
  <si>
    <t>22-481</t>
  </si>
  <si>
    <t>22-12E</t>
  </si>
  <si>
    <t>21-1E-A</t>
  </si>
  <si>
    <t>22-1-10</t>
  </si>
  <si>
    <t>22-2 (1)</t>
  </si>
  <si>
    <t>45-A1*</t>
  </si>
  <si>
    <t>21-1 B-A</t>
  </si>
  <si>
    <t>22-1-11*</t>
  </si>
  <si>
    <t>22-13A*</t>
  </si>
  <si>
    <t>22-13C 1</t>
  </si>
  <si>
    <t>22-13B*</t>
  </si>
  <si>
    <t>21-1 B-B</t>
  </si>
  <si>
    <t>22-4*</t>
  </si>
  <si>
    <t>21-3*</t>
  </si>
  <si>
    <t>58-1-1</t>
  </si>
  <si>
    <t>22-13C2</t>
  </si>
  <si>
    <t>22-8*</t>
  </si>
  <si>
    <t>Lloyd et al., 2013</t>
  </si>
  <si>
    <t>Anderson &amp; Brown, 1993</t>
  </si>
  <si>
    <t>127-1</t>
  </si>
  <si>
    <t>127-5</t>
  </si>
  <si>
    <t>127-6</t>
  </si>
  <si>
    <t>127-7</t>
  </si>
  <si>
    <t>127-10</t>
  </si>
  <si>
    <t>131-3</t>
  </si>
  <si>
    <t>131-5</t>
  </si>
  <si>
    <t>131-6</t>
  </si>
  <si>
    <t>132-2</t>
  </si>
  <si>
    <t>132-3</t>
  </si>
  <si>
    <t>132-7</t>
  </si>
  <si>
    <t>132-10</t>
  </si>
  <si>
    <t>129-5</t>
  </si>
  <si>
    <t>129-6</t>
  </si>
  <si>
    <t>129-8</t>
  </si>
  <si>
    <t>129-15</t>
  </si>
  <si>
    <t>136-2A</t>
  </si>
  <si>
    <t>136-5</t>
  </si>
  <si>
    <t>136-8</t>
  </si>
  <si>
    <t>136-9</t>
  </si>
  <si>
    <t>134D-2</t>
  </si>
  <si>
    <t>134D-7</t>
  </si>
  <si>
    <t>134D-9</t>
  </si>
  <si>
    <t>134D-10</t>
  </si>
  <si>
    <t>134D-14</t>
  </si>
  <si>
    <t>137B-3</t>
  </si>
  <si>
    <t>137B-5</t>
  </si>
  <si>
    <t>137B-8A</t>
  </si>
  <si>
    <t>137B-17</t>
  </si>
  <si>
    <t>134D-R2</t>
  </si>
  <si>
    <t>134D-R3</t>
  </si>
  <si>
    <t>134D-R4</t>
  </si>
  <si>
    <t>134D-R6</t>
  </si>
  <si>
    <t>134D-R7</t>
  </si>
  <si>
    <t>137B-R1</t>
  </si>
  <si>
    <t>137B-R2</t>
  </si>
  <si>
    <t>137B-R3</t>
  </si>
  <si>
    <t>137B-R4</t>
  </si>
  <si>
    <t>137B-R5</t>
  </si>
  <si>
    <t>sum</t>
  </si>
  <si>
    <t>Sum</t>
  </si>
  <si>
    <r>
      <t>SiO</t>
    </r>
    <r>
      <rPr>
        <vertAlign val="subscript"/>
        <sz val="11"/>
        <color theme="1"/>
        <rFont val="Calibri"/>
        <family val="2"/>
        <scheme val="minor"/>
      </rPr>
      <t>2</t>
    </r>
  </si>
  <si>
    <r>
      <t>TiO</t>
    </r>
    <r>
      <rPr>
        <vertAlign val="subscript"/>
        <sz val="11"/>
        <color theme="1"/>
        <rFont val="Calibri"/>
        <family val="2"/>
        <scheme val="minor"/>
      </rPr>
      <t>2</t>
    </r>
  </si>
  <si>
    <r>
      <t>Al</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3</t>
    </r>
  </si>
  <si>
    <r>
      <t>Fe</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3</t>
    </r>
  </si>
  <si>
    <t>FeO</t>
  </si>
  <si>
    <r>
      <t>Na</t>
    </r>
    <r>
      <rPr>
        <vertAlign val="subscript"/>
        <sz val="11"/>
        <color theme="1"/>
        <rFont val="Calibri"/>
        <family val="2"/>
        <scheme val="minor"/>
      </rPr>
      <t>2</t>
    </r>
    <r>
      <rPr>
        <sz val="11"/>
        <color theme="1"/>
        <rFont val="Calibri"/>
        <family val="2"/>
        <scheme val="minor"/>
      </rPr>
      <t>O</t>
    </r>
  </si>
  <si>
    <r>
      <t>K</t>
    </r>
    <r>
      <rPr>
        <vertAlign val="subscript"/>
        <sz val="11"/>
        <color theme="1"/>
        <rFont val="Calibri"/>
        <family val="2"/>
        <scheme val="minor"/>
      </rPr>
      <t>2</t>
    </r>
    <r>
      <rPr>
        <sz val="11"/>
        <color theme="1"/>
        <rFont val="Calibri"/>
        <family val="2"/>
        <scheme val="minor"/>
      </rPr>
      <t>O</t>
    </r>
  </si>
  <si>
    <r>
      <t>Cr</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3</t>
    </r>
  </si>
  <si>
    <r>
      <t>CO</t>
    </r>
    <r>
      <rPr>
        <vertAlign val="subscript"/>
        <sz val="11"/>
        <color theme="1"/>
        <rFont val="Calibri"/>
        <family val="2"/>
        <scheme val="minor"/>
      </rPr>
      <t>2</t>
    </r>
    <r>
      <rPr>
        <sz val="11"/>
        <color theme="1"/>
        <rFont val="Calibri"/>
        <family val="2"/>
        <scheme val="minor"/>
      </rPr>
      <t xml:space="preserve"> ppm</t>
    </r>
  </si>
  <si>
    <r>
      <t>H</t>
    </r>
    <r>
      <rPr>
        <vertAlign val="subscript"/>
        <sz val="11"/>
        <color theme="1"/>
        <rFont val="Calibri"/>
        <family val="2"/>
        <scheme val="minor"/>
      </rPr>
      <t>2</t>
    </r>
    <r>
      <rPr>
        <sz val="11"/>
        <color theme="1"/>
        <rFont val="Calibri"/>
        <family val="2"/>
        <scheme val="minor"/>
      </rPr>
      <t>O wt%</t>
    </r>
  </si>
  <si>
    <t>%PEC</t>
  </si>
  <si>
    <t xml:space="preserve">Table S3: Raman spectral data from repeated analyses of a synthetic fluid inclusion. </t>
  </si>
  <si>
    <t>Table S2: Pseudo degassing path calculations</t>
  </si>
  <si>
    <r>
      <rPr>
        <b/>
        <sz val="11"/>
        <color theme="1"/>
        <rFont val="Calibri"/>
        <family val="2"/>
        <scheme val="minor"/>
      </rPr>
      <t>Table S1</t>
    </r>
    <r>
      <rPr>
        <sz val="11"/>
        <color theme="1"/>
        <rFont val="Calibri"/>
        <family val="2"/>
        <scheme val="minor"/>
      </rPr>
      <t>: Major element and volatile chemistry of Fuego and Seguam melt inclusions corrected for post-entrapment crystallization (PEC)</t>
    </r>
  </si>
  <si>
    <t>Fo #</t>
  </si>
  <si>
    <r>
      <t>Major element concentrations of the MI glass were measured by electron probe microanalysis (EPMA) conducted at Virginia Tech. Volatile concentrations of the MI glass were measured by secondary ion mass spectrometry at the Carnegie Institution of Washington. Major element and volatile concentrations listed in this table have been corrected for post-entrapment crystallization using Petrolog3 software (see methods). CO</t>
    </r>
    <r>
      <rPr>
        <vertAlign val="subscript"/>
        <sz val="11"/>
        <color theme="1"/>
        <rFont val="Calibri"/>
        <family val="2"/>
        <scheme val="minor"/>
      </rPr>
      <t>2</t>
    </r>
    <r>
      <rPr>
        <sz val="11"/>
        <color theme="1"/>
        <rFont val="Calibri"/>
        <family val="2"/>
        <scheme val="minor"/>
      </rPr>
      <t xml:space="preserve"> concentrations marked with an asterisk indicate a MI where CO</t>
    </r>
    <r>
      <rPr>
        <vertAlign val="subscript"/>
        <sz val="11"/>
        <color theme="1"/>
        <rFont val="Calibri"/>
        <family val="2"/>
        <scheme val="minor"/>
      </rPr>
      <t>2</t>
    </r>
    <r>
      <rPr>
        <sz val="11"/>
        <color theme="1"/>
        <rFont val="Calibri"/>
        <family val="2"/>
        <scheme val="minor"/>
      </rPr>
      <t xml:space="preserve"> was detected in the vapor bubble. The CO</t>
    </r>
    <r>
      <rPr>
        <vertAlign val="subscript"/>
        <sz val="11"/>
        <color theme="1"/>
        <rFont val="Calibri"/>
        <family val="2"/>
        <scheme val="minor"/>
      </rPr>
      <t>2</t>
    </r>
    <r>
      <rPr>
        <sz val="11"/>
        <color theme="1"/>
        <rFont val="Calibri"/>
        <family val="2"/>
        <scheme val="minor"/>
      </rPr>
      <t xml:space="preserve"> concentrations in this table have not been reconstructed to include CO</t>
    </r>
    <r>
      <rPr>
        <vertAlign val="subscript"/>
        <sz val="11"/>
        <color theme="1"/>
        <rFont val="Calibri"/>
        <family val="2"/>
        <scheme val="minor"/>
      </rPr>
      <t>2</t>
    </r>
    <r>
      <rPr>
        <sz val="11"/>
        <color theme="1"/>
        <rFont val="Calibri"/>
        <family val="2"/>
        <scheme val="minor"/>
      </rPr>
      <t xml:space="preserve"> in the bubble. Concentrations indicated by a " - " are below detection limits for EPMA. Host olivine compositions are reported using the foresterite number (Fo #) calculated as 100 x Mg/(Mg + Fe) using molar amounts).</t>
    </r>
  </si>
  <si>
    <t>Eruption</t>
  </si>
  <si>
    <t>Inclusion Number</t>
  </si>
  <si>
    <t>CO2 (not corrected), ppm</t>
  </si>
  <si>
    <t>MI short axis, μm</t>
  </si>
  <si>
    <t>MI long axis, μm</t>
  </si>
  <si>
    <t>Bubble axis 2, μm</t>
  </si>
  <si>
    <t>H2O error, wt%</t>
  </si>
  <si>
    <t>H2O (not corrected), wt%</t>
  </si>
  <si>
    <t>CO2 error, ppm</t>
  </si>
  <si>
    <t>Bubble axis 1, μm</t>
  </si>
  <si>
    <r>
      <t>Bubble density, g/cm</t>
    </r>
    <r>
      <rPr>
        <b/>
        <vertAlign val="superscript"/>
        <sz val="10"/>
        <color indexed="8"/>
        <rFont val="Verdana"/>
        <family val="2"/>
      </rPr>
      <t>3</t>
    </r>
  </si>
  <si>
    <r>
      <t>Bubble density error, g/cm</t>
    </r>
    <r>
      <rPr>
        <b/>
        <vertAlign val="superscript"/>
        <sz val="10"/>
        <rFont val="Verdana"/>
        <family val="2"/>
      </rPr>
      <t>3</t>
    </r>
  </si>
  <si>
    <t>MI and bubble axis error, μm</t>
  </si>
  <si>
    <t>(error propagation)</t>
  </si>
  <si>
    <r>
      <t>Bubble volume, cm</t>
    </r>
    <r>
      <rPr>
        <b/>
        <vertAlign val="superscript"/>
        <sz val="10"/>
        <rFont val="Verdana"/>
        <family val="2"/>
      </rPr>
      <t>3</t>
    </r>
  </si>
  <si>
    <t>Mass of CO2 in bubble, g</t>
  </si>
  <si>
    <r>
      <t>MI volume, cm</t>
    </r>
    <r>
      <rPr>
        <b/>
        <vertAlign val="superscript"/>
        <sz val="10"/>
        <rFont val="Verdana"/>
        <family val="2"/>
      </rPr>
      <t>3</t>
    </r>
  </si>
  <si>
    <r>
      <t>Glass volume, cm</t>
    </r>
    <r>
      <rPr>
        <b/>
        <vertAlign val="superscript"/>
        <sz val="10"/>
        <rFont val="Verdana"/>
        <family val="2"/>
      </rPr>
      <t>3</t>
    </r>
  </si>
  <si>
    <t>Mass of glass, g</t>
  </si>
  <si>
    <t>Mass of CO2 in glass, g</t>
  </si>
  <si>
    <t>Mass % of CO2 in bubble</t>
  </si>
  <si>
    <t>Reconstructed CO2 concentration, ppm</t>
  </si>
  <si>
    <t>% Error</t>
  </si>
  <si>
    <t>Positive error bar length, ppm</t>
  </si>
  <si>
    <t>Negative error bar length, ppm</t>
  </si>
  <si>
    <t>Table S4: CO2 contents in MI from similar eruptions (used in Figure 7)</t>
  </si>
  <si>
    <t>Table S1 (continued): Major element and volatile chemistry of Fuego and Seguam melt inclusions (corrected for PEC)</t>
  </si>
  <si>
    <t>Table S6: uncorrected major element and volatile compositions of MI glasses</t>
  </si>
  <si>
    <t>American Mineralogist: April 2015</t>
  </si>
  <si>
    <t>Moore et al: Bubbles matter: An assessment of the contribution ... AM-15-45036</t>
  </si>
  <si>
    <t>My Bubble vol</t>
  </si>
  <si>
    <t>CO2 in bubble</t>
  </si>
  <si>
    <t>Reconstructed CO2</t>
  </si>
  <si>
    <t>Mass of CO2 in bubble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</si>
</sst>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23">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vertAlign val="superscript"/>
      <sz val="11"/>
      <color theme="1"/>
      <name val="Calibri"/>
      <family val="2"/>
      <scheme val="minor"/>
    </font>
    <font>
      <sz val="11"/>
      <color theme="1"/>
      <name val="Calibri"/>
      <family val="2"/>
    </font>
    <font>
      <vertAlign val="superscript"/>
      <sz val="11"/>
      <color theme="1"/>
      <name val="Calibri"/>
      <family val="2"/>
    </font>
    <font>
      <vertAlign val="subscript"/>
      <sz val="11"/>
      <color theme="1"/>
      <name val="Calibri"/>
      <family val="2"/>
      <scheme val="minor"/>
    </font>
    <font>
      <sz val="9"/>
      <name val="Geneva"/>
    </font>
    <font>
      <sz val="10"/>
      <name val="Verdana"/>
      <family val="2"/>
    </font>
    <font>
      <vertAlign val="superscript"/>
      <sz val="9"/>
      <name val="Geneva"/>
    </font>
    <font>
      <sz val="9"/>
      <name val="Calibri"/>
      <family val="2"/>
    </font>
    <font>
      <vertAlign val="subscript"/>
      <sz val="9"/>
      <name val="Geneva"/>
    </font>
    <font>
      <sz val="10"/>
      <name val="Verdana"/>
      <family val="2"/>
    </font>
    <font>
      <sz val="10"/>
      <color theme="0" tint="-0.249977111117893"/>
      <name val="Verdana"/>
      <family val="2"/>
    </font>
    <font>
      <sz val="11"/>
      <color theme="0" tint="-0.249977111117893"/>
      <name val="Calibri"/>
      <family val="2"/>
      <scheme val="minor"/>
    </font>
    <font>
      <b/>
      <sz val="10"/>
      <name val="Verdana"/>
      <family val="2"/>
    </font>
    <font>
      <b/>
      <sz val="10"/>
      <color theme="1"/>
      <name val="Verdana"/>
      <family val="2"/>
    </font>
    <font>
      <b/>
      <vertAlign val="superscript"/>
      <sz val="10"/>
      <color indexed="8"/>
      <name val="Verdana"/>
      <family val="2"/>
    </font>
    <font>
      <b/>
      <vertAlign val="superscript"/>
      <sz val="10"/>
      <name val="Verdana"/>
      <family val="2"/>
    </font>
    <font>
      <sz val="9"/>
      <color indexed="81"/>
      <name val="Tahoma"/>
      <family val="2"/>
    </font>
    <font>
      <b/>
      <sz val="9"/>
      <color indexed="81"/>
      <name val="Tahoma"/>
      <family val="2"/>
    </font>
    <font>
      <sz val="10"/>
      <name val="Arial"/>
    </font>
  </fonts>
  <fills count="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s>
  <borders count="14">
    <border>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9" fontId="1" fillId="0" borderId="0" applyFont="0" applyFill="0" applyBorder="0" applyAlignment="0" applyProtection="0"/>
    <xf numFmtId="0" fontId="8" fillId="0" borderId="0"/>
    <xf numFmtId="0" fontId="9" fillId="0" borderId="0"/>
    <xf numFmtId="9" fontId="9" fillId="0" borderId="0" applyFont="0" applyFill="0" applyBorder="0" applyAlignment="0" applyProtection="0"/>
  </cellStyleXfs>
  <cellXfs count="102">
    <xf numFmtId="0" fontId="0" fillId="0" borderId="0" xfId="0"/>
    <xf numFmtId="0" fontId="0" fillId="0" borderId="0" xfId="0" applyFont="1" applyFill="1" applyBorder="1"/>
    <xf numFmtId="2" fontId="0" fillId="0" borderId="0" xfId="0" applyNumberFormat="1" applyFont="1" applyFill="1" applyBorder="1"/>
    <xf numFmtId="0" fontId="0" fillId="0" borderId="0" xfId="0" applyAlignment="1">
      <alignment horizontal="center"/>
    </xf>
    <xf numFmtId="0" fontId="0" fillId="0" borderId="2" xfId="0" applyBorder="1"/>
    <xf numFmtId="0" fontId="8" fillId="0" borderId="0" xfId="2"/>
    <xf numFmtId="0" fontId="8" fillId="0" borderId="0" xfId="2" applyAlignment="1">
      <alignment horizontal="left" vertical="top"/>
    </xf>
    <xf numFmtId="1" fontId="8" fillId="0" borderId="0" xfId="2" applyNumberFormat="1"/>
    <xf numFmtId="164" fontId="8" fillId="0" borderId="0" xfId="2" applyNumberFormat="1"/>
    <xf numFmtId="2" fontId="8" fillId="0" borderId="0" xfId="2" applyNumberFormat="1"/>
    <xf numFmtId="0" fontId="8" fillId="0" borderId="0" xfId="2" applyAlignment="1">
      <alignment wrapText="1"/>
    </xf>
    <xf numFmtId="0" fontId="0" fillId="0" borderId="0" xfId="0" applyFont="1"/>
    <xf numFmtId="9" fontId="1" fillId="0" borderId="0" xfId="1" applyFont="1"/>
    <xf numFmtId="0" fontId="0" fillId="0" borderId="10" xfId="0" applyFont="1" applyBorder="1"/>
    <xf numFmtId="9" fontId="1" fillId="0" borderId="2" xfId="1" applyFont="1" applyBorder="1"/>
    <xf numFmtId="10" fontId="1" fillId="0" borderId="2" xfId="1" applyNumberFormat="1" applyFont="1" applyBorder="1"/>
    <xf numFmtId="10" fontId="1" fillId="0" borderId="12" xfId="1" applyNumberFormat="1" applyFont="1" applyBorder="1"/>
    <xf numFmtId="0" fontId="0" fillId="0" borderId="3" xfId="0" applyFont="1" applyBorder="1" applyAlignment="1">
      <alignment horizontal="right"/>
    </xf>
    <xf numFmtId="0" fontId="0" fillId="0" borderId="0" xfId="0" applyFont="1" applyBorder="1"/>
    <xf numFmtId="2" fontId="0" fillId="0" borderId="0" xfId="0" applyNumberFormat="1" applyFont="1" applyBorder="1"/>
    <xf numFmtId="2" fontId="0" fillId="0" borderId="10" xfId="0" applyNumberFormat="1" applyFont="1" applyBorder="1"/>
    <xf numFmtId="0" fontId="0" fillId="0" borderId="1" xfId="0" applyFont="1" applyBorder="1" applyAlignment="1">
      <alignment horizontal="right"/>
    </xf>
    <xf numFmtId="0" fontId="0" fillId="0" borderId="5" xfId="0" applyFont="1" applyBorder="1"/>
    <xf numFmtId="2" fontId="0" fillId="0" borderId="5" xfId="0" applyNumberFormat="1" applyFont="1" applyBorder="1"/>
    <xf numFmtId="2" fontId="0" fillId="0" borderId="9" xfId="0" applyNumberFormat="1" applyFont="1" applyBorder="1"/>
    <xf numFmtId="0" fontId="0" fillId="0" borderId="6" xfId="0" applyFont="1" applyBorder="1" applyAlignment="1">
      <alignment horizontal="right"/>
    </xf>
    <xf numFmtId="11" fontId="0" fillId="0" borderId="0" xfId="0" applyNumberFormat="1" applyFont="1" applyFill="1" applyBorder="1"/>
    <xf numFmtId="2" fontId="0" fillId="0" borderId="0" xfId="0" applyNumberFormat="1" applyFont="1"/>
    <xf numFmtId="0" fontId="0" fillId="0" borderId="0" xfId="0" applyFont="1" applyAlignment="1">
      <alignment wrapText="1"/>
    </xf>
    <xf numFmtId="0" fontId="5" fillId="0" borderId="0" xfId="0" applyFont="1" applyAlignment="1">
      <alignment wrapText="1"/>
    </xf>
    <xf numFmtId="0" fontId="9" fillId="0" borderId="0" xfId="3" applyFill="1" applyBorder="1"/>
    <xf numFmtId="0" fontId="9" fillId="0" borderId="0" xfId="3" applyFill="1"/>
    <xf numFmtId="0" fontId="9" fillId="0" borderId="11" xfId="3" applyFill="1" applyBorder="1"/>
    <xf numFmtId="0" fontId="9" fillId="0" borderId="10" xfId="3" applyFill="1" applyBorder="1"/>
    <xf numFmtId="0" fontId="9" fillId="0" borderId="1" xfId="3" applyFill="1" applyBorder="1"/>
    <xf numFmtId="0" fontId="9" fillId="0" borderId="0" xfId="3" applyFill="1" applyAlignment="1">
      <alignment horizontal="left"/>
    </xf>
    <xf numFmtId="0" fontId="9" fillId="0" borderId="0" xfId="3" applyFill="1" applyAlignment="1">
      <alignment horizontal="right"/>
    </xf>
    <xf numFmtId="9" fontId="0" fillId="0" borderId="0" xfId="4" applyFont="1" applyFill="1"/>
    <xf numFmtId="1" fontId="9" fillId="0" borderId="11" xfId="3" applyNumberFormat="1" applyFill="1" applyBorder="1" applyAlignment="1">
      <alignment horizontal="center"/>
    </xf>
    <xf numFmtId="9" fontId="0" fillId="0" borderId="10" xfId="4" applyFont="1" applyFill="1" applyBorder="1" applyAlignment="1">
      <alignment horizontal="center"/>
    </xf>
    <xf numFmtId="0" fontId="13" fillId="0" borderId="0" xfId="3" applyFont="1" applyFill="1" applyAlignment="1">
      <alignment horizontal="right"/>
    </xf>
    <xf numFmtId="1" fontId="9" fillId="0" borderId="0" xfId="3" applyNumberFormat="1" applyFill="1"/>
    <xf numFmtId="9" fontId="9" fillId="0" borderId="10" xfId="4" applyFont="1" applyFill="1" applyBorder="1" applyAlignment="1">
      <alignment horizontal="center"/>
    </xf>
    <xf numFmtId="0" fontId="14" fillId="0" borderId="11" xfId="3" applyFont="1" applyFill="1" applyBorder="1"/>
    <xf numFmtId="0" fontId="14" fillId="0" borderId="0" xfId="3" applyFont="1" applyFill="1" applyBorder="1"/>
    <xf numFmtId="0" fontId="14" fillId="0" borderId="10" xfId="3" applyFont="1" applyFill="1" applyBorder="1"/>
    <xf numFmtId="0" fontId="3" fillId="0" borderId="0" xfId="3" applyFont="1" applyFill="1" applyBorder="1"/>
    <xf numFmtId="2" fontId="9" fillId="0" borderId="11" xfId="3" applyNumberFormat="1" applyFill="1" applyBorder="1"/>
    <xf numFmtId="1" fontId="9" fillId="0" borderId="0" xfId="3" applyNumberFormat="1" applyFill="1" applyBorder="1"/>
    <xf numFmtId="1" fontId="9" fillId="0" borderId="10" xfId="3" applyNumberFormat="1" applyFill="1" applyBorder="1"/>
    <xf numFmtId="0" fontId="9" fillId="0" borderId="11" xfId="3" applyFill="1" applyBorder="1" applyAlignment="1">
      <alignment horizontal="center"/>
    </xf>
    <xf numFmtId="0" fontId="9" fillId="0" borderId="0" xfId="3" applyFill="1" applyBorder="1" applyAlignment="1">
      <alignment horizontal="center"/>
    </xf>
    <xf numFmtId="0" fontId="3" fillId="0" borderId="0" xfId="3" applyFont="1" applyFill="1" applyBorder="1" applyAlignment="1">
      <alignment horizontal="center"/>
    </xf>
    <xf numFmtId="0" fontId="9" fillId="0" borderId="1" xfId="3" applyFill="1" applyBorder="1" applyAlignment="1">
      <alignment horizontal="center"/>
    </xf>
    <xf numFmtId="2" fontId="9" fillId="0" borderId="10" xfId="3" applyNumberFormat="1" applyFill="1" applyBorder="1" applyAlignment="1">
      <alignment horizontal="center"/>
    </xf>
    <xf numFmtId="2" fontId="9" fillId="0" borderId="11" xfId="3" applyNumberFormat="1" applyFill="1" applyBorder="1" applyAlignment="1">
      <alignment horizontal="center"/>
    </xf>
    <xf numFmtId="1" fontId="9" fillId="0" borderId="0" xfId="3" applyNumberFormat="1" applyFill="1" applyBorder="1" applyAlignment="1">
      <alignment horizontal="center"/>
    </xf>
    <xf numFmtId="1" fontId="9" fillId="0" borderId="10" xfId="3" applyNumberFormat="1" applyFill="1" applyBorder="1" applyAlignment="1">
      <alignment horizontal="center"/>
    </xf>
    <xf numFmtId="0" fontId="9" fillId="0" borderId="0" xfId="3" applyFill="1" applyAlignment="1">
      <alignment horizontal="center"/>
    </xf>
    <xf numFmtId="0" fontId="0" fillId="0" borderId="2" xfId="0" applyBorder="1" applyAlignment="1">
      <alignment horizontal="left"/>
    </xf>
    <xf numFmtId="1" fontId="0" fillId="0" borderId="2" xfId="0" applyNumberFormat="1" applyBorder="1" applyAlignment="1">
      <alignment horizontal="center"/>
    </xf>
    <xf numFmtId="0" fontId="0" fillId="0" borderId="2" xfId="0" applyBorder="1" applyAlignment="1">
      <alignment horizontal="center"/>
    </xf>
    <xf numFmtId="0" fontId="0" fillId="0" borderId="0" xfId="0" applyNumberFormat="1" applyFont="1"/>
    <xf numFmtId="2" fontId="0" fillId="0" borderId="0" xfId="0" applyNumberFormat="1"/>
    <xf numFmtId="1" fontId="0" fillId="0" borderId="0" xfId="0" applyNumberFormat="1" applyBorder="1" applyAlignment="1">
      <alignment horizontal="center"/>
    </xf>
    <xf numFmtId="0" fontId="15" fillId="0" borderId="0" xfId="0" applyFont="1" applyFill="1"/>
    <xf numFmtId="0" fontId="15" fillId="0" borderId="0" xfId="0" applyFont="1"/>
    <xf numFmtId="0" fontId="0" fillId="0" borderId="0" xfId="0" applyBorder="1" applyAlignment="1">
      <alignment horizontal="left"/>
    </xf>
    <xf numFmtId="0" fontId="0" fillId="0" borderId="0" xfId="0" applyBorder="1" applyAlignment="1">
      <alignment horizontal="center"/>
    </xf>
    <xf numFmtId="0" fontId="0" fillId="0" borderId="0" xfId="0" applyBorder="1" applyAlignment="1"/>
    <xf numFmtId="2" fontId="0" fillId="0" borderId="0" xfId="0" applyNumberFormat="1" applyBorder="1" applyAlignment="1">
      <alignment horizontal="center"/>
    </xf>
    <xf numFmtId="1" fontId="0" fillId="0" borderId="0" xfId="0" applyNumberFormat="1"/>
    <xf numFmtId="0" fontId="0" fillId="0" borderId="0" xfId="0" applyFill="1"/>
    <xf numFmtId="0" fontId="0" fillId="0" borderId="0" xfId="0" applyNumberFormat="1" applyFont="1" applyFill="1"/>
    <xf numFmtId="2" fontId="0" fillId="0" borderId="0" xfId="0" applyNumberFormat="1" applyFill="1"/>
    <xf numFmtId="0" fontId="0" fillId="2" borderId="0" xfId="0" applyFill="1"/>
    <xf numFmtId="2" fontId="9" fillId="0" borderId="10" xfId="3" applyNumberFormat="1" applyFill="1" applyBorder="1"/>
    <xf numFmtId="1" fontId="14" fillId="0" borderId="10" xfId="3" applyNumberFormat="1" applyFont="1" applyFill="1" applyBorder="1" applyAlignment="1">
      <alignment horizontal="center"/>
    </xf>
    <xf numFmtId="2" fontId="14" fillId="0" borderId="11" xfId="3" applyNumberFormat="1" applyFont="1" applyFill="1" applyBorder="1" applyAlignment="1">
      <alignment horizontal="center"/>
    </xf>
    <xf numFmtId="2" fontId="14" fillId="0" borderId="10" xfId="3" applyNumberFormat="1" applyFont="1" applyFill="1" applyBorder="1" applyAlignment="1">
      <alignment horizontal="center"/>
    </xf>
    <xf numFmtId="0" fontId="16" fillId="0" borderId="4" xfId="3" applyFont="1" applyFill="1" applyBorder="1" applyAlignment="1">
      <alignment horizontal="center" vertical="center"/>
    </xf>
    <xf numFmtId="0" fontId="16" fillId="0" borderId="4" xfId="3" applyFont="1" applyFill="1" applyBorder="1" applyAlignment="1">
      <alignment horizontal="center" vertical="center" wrapText="1"/>
    </xf>
    <xf numFmtId="0" fontId="16" fillId="0" borderId="7" xfId="3" applyFont="1" applyFill="1" applyBorder="1" applyAlignment="1">
      <alignment horizontal="center" vertical="center" wrapText="1"/>
    </xf>
    <xf numFmtId="0" fontId="16" fillId="0" borderId="2" xfId="3" applyFont="1" applyFill="1" applyBorder="1" applyAlignment="1">
      <alignment horizontal="center" vertical="center" wrapText="1"/>
    </xf>
    <xf numFmtId="0" fontId="16" fillId="0" borderId="13" xfId="3" applyFont="1" applyFill="1" applyBorder="1" applyAlignment="1">
      <alignment horizontal="center" vertical="center" wrapText="1"/>
    </xf>
    <xf numFmtId="0" fontId="16" fillId="0" borderId="8" xfId="3" applyFont="1" applyFill="1" applyBorder="1" applyAlignment="1">
      <alignment horizontal="center" vertical="center" wrapText="1"/>
    </xf>
    <xf numFmtId="0" fontId="9" fillId="0" borderId="2" xfId="3" applyFont="1" applyFill="1" applyBorder="1" applyAlignment="1">
      <alignment vertical="center"/>
    </xf>
    <xf numFmtId="0" fontId="9" fillId="0" borderId="3" xfId="3" applyFont="1" applyFill="1" applyBorder="1" applyAlignment="1">
      <alignment vertical="center"/>
    </xf>
    <xf numFmtId="0" fontId="9" fillId="0" borderId="4" xfId="3" applyFont="1" applyFill="1" applyBorder="1" applyAlignment="1">
      <alignment vertical="center"/>
    </xf>
    <xf numFmtId="0" fontId="9" fillId="0" borderId="0" xfId="3" applyFont="1" applyFill="1" applyBorder="1" applyAlignment="1">
      <alignment vertical="center"/>
    </xf>
    <xf numFmtId="0" fontId="17" fillId="0" borderId="12" xfId="3" applyFont="1" applyFill="1" applyBorder="1" applyAlignment="1">
      <alignment horizontal="center" vertical="center" wrapText="1"/>
    </xf>
    <xf numFmtId="2" fontId="9" fillId="0" borderId="0" xfId="3" applyNumberFormat="1" applyFill="1" applyAlignment="1">
      <alignment horizontal="center"/>
    </xf>
    <xf numFmtId="0" fontId="13" fillId="0" borderId="11" xfId="3" applyFont="1" applyFill="1" applyBorder="1" applyAlignment="1">
      <alignment horizontal="center"/>
    </xf>
    <xf numFmtId="0" fontId="9" fillId="0" borderId="2" xfId="3" applyFont="1" applyFill="1" applyBorder="1" applyAlignment="1">
      <alignment horizontal="center" vertical="center" wrapText="1"/>
    </xf>
    <xf numFmtId="0" fontId="16" fillId="0" borderId="12" xfId="3" applyFont="1" applyFill="1" applyBorder="1" applyAlignment="1">
      <alignment horizontal="center" vertical="center" wrapText="1"/>
    </xf>
    <xf numFmtId="0" fontId="16" fillId="0" borderId="2" xfId="3" applyFont="1" applyFill="1" applyBorder="1" applyAlignment="1">
      <alignment horizontal="center" vertical="center"/>
    </xf>
    <xf numFmtId="0" fontId="22" fillId="0" borderId="0" xfId="0" applyFont="1"/>
    <xf numFmtId="0" fontId="16" fillId="3" borderId="2" xfId="3" applyFont="1" applyFill="1" applyBorder="1" applyAlignment="1">
      <alignment horizontal="center" vertical="center" wrapText="1"/>
    </xf>
    <xf numFmtId="0" fontId="9" fillId="3" borderId="0" xfId="3" applyFill="1"/>
    <xf numFmtId="0" fontId="9" fillId="3" borderId="0" xfId="3" applyFill="1" applyBorder="1"/>
    <xf numFmtId="0" fontId="0" fillId="0" borderId="5" xfId="0" applyBorder="1" applyAlignment="1">
      <alignment horizontal="left" vertical="top" wrapText="1"/>
    </xf>
    <xf numFmtId="0" fontId="8" fillId="0" borderId="0" xfId="2" applyAlignment="1">
      <alignment horizontal="left" vertical="top"/>
    </xf>
  </cellXfs>
  <cellStyles count="5">
    <cellStyle name="Normal" xfId="0" builtinId="0"/>
    <cellStyle name="Normal 2" xfId="2" xr:uid="{00000000-0005-0000-0000-000001000000}"/>
    <cellStyle name="Normal 3" xfId="3" xr:uid="{00000000-0005-0000-0000-000002000000}"/>
    <cellStyle name="Percent" xfId="1" builtinId="5"/>
    <cellStyle name="Percent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500</c:v>
          </c:tx>
          <c:spPr>
            <a:ln w="12700">
              <a:solidFill>
                <a:schemeClr val="tx1"/>
              </a:solidFill>
            </a:ln>
          </c:spPr>
          <c:marker>
            <c:symbol val="none"/>
          </c:marker>
          <c:xVal>
            <c:numRef>
              <c:f>[2]Isobars!$A$2:$A$27</c:f>
              <c:numCache>
                <c:formatCode>General</c:formatCode>
                <c:ptCount val="26"/>
                <c:pt idx="0">
                  <c:v>2.2386718750000032</c:v>
                </c:pt>
                <c:pt idx="1">
                  <c:v>2.1914062500000036</c:v>
                </c:pt>
                <c:pt idx="2">
                  <c:v>2.1433593750000037</c:v>
                </c:pt>
                <c:pt idx="3">
                  <c:v>2.0945312500000042</c:v>
                </c:pt>
                <c:pt idx="4">
                  <c:v>2.0451171875000043</c:v>
                </c:pt>
                <c:pt idx="5">
                  <c:v>1.9947265625000044</c:v>
                </c:pt>
                <c:pt idx="6">
                  <c:v>1.9433593750000044</c:v>
                </c:pt>
                <c:pt idx="7">
                  <c:v>1.8910156250000048</c:v>
                </c:pt>
                <c:pt idx="8">
                  <c:v>1.8375000000000048</c:v>
                </c:pt>
                <c:pt idx="9">
                  <c:v>1.782812500000005</c:v>
                </c:pt>
                <c:pt idx="10">
                  <c:v>1.7267578125000052</c:v>
                </c:pt>
                <c:pt idx="11">
                  <c:v>1.6693359375000052</c:v>
                </c:pt>
                <c:pt idx="12">
                  <c:v>1.6099609375000052</c:v>
                </c:pt>
                <c:pt idx="13">
                  <c:v>1.5488281250000053</c:v>
                </c:pt>
                <c:pt idx="14">
                  <c:v>1.4855468750000056</c:v>
                </c:pt>
                <c:pt idx="15">
                  <c:v>1.4195312500000057</c:v>
                </c:pt>
                <c:pt idx="16">
                  <c:v>1.3507812500000058</c:v>
                </c:pt>
                <c:pt idx="17">
                  <c:v>1.2785156250000058</c:v>
                </c:pt>
                <c:pt idx="18">
                  <c:v>1.2019531250000062</c:v>
                </c:pt>
                <c:pt idx="19">
                  <c:v>1.1207031250000064</c:v>
                </c:pt>
                <c:pt idx="20">
                  <c:v>1.0324218750000067</c:v>
                </c:pt>
                <c:pt idx="21">
                  <c:v>0.93515625000000668</c:v>
                </c:pt>
                <c:pt idx="22">
                  <c:v>0.82578125000000657</c:v>
                </c:pt>
                <c:pt idx="23">
                  <c:v>0.69687500000000635</c:v>
                </c:pt>
                <c:pt idx="24">
                  <c:v>0.49921875000000621</c:v>
                </c:pt>
                <c:pt idx="25">
                  <c:v>0</c:v>
                </c:pt>
              </c:numCache>
            </c:numRef>
          </c:xVal>
          <c:yVal>
            <c:numRef>
              <c:f>[2]Isobars!$B$2:$B$27</c:f>
              <c:numCache>
                <c:formatCode>General</c:formatCode>
                <c:ptCount val="26"/>
                <c:pt idx="0">
                  <c:v>0</c:v>
                </c:pt>
                <c:pt idx="1">
                  <c:v>9.189453125</c:v>
                </c:pt>
                <c:pt idx="2">
                  <c:v>18.37890625</c:v>
                </c:pt>
                <c:pt idx="3">
                  <c:v>27.568359375</c:v>
                </c:pt>
                <c:pt idx="4">
                  <c:v>36.7578125</c:v>
                </c:pt>
                <c:pt idx="5">
                  <c:v>45.947265625</c:v>
                </c:pt>
                <c:pt idx="6">
                  <c:v>55.13671875</c:v>
                </c:pt>
                <c:pt idx="7">
                  <c:v>64.326171875</c:v>
                </c:pt>
                <c:pt idx="8">
                  <c:v>73.515625</c:v>
                </c:pt>
                <c:pt idx="9">
                  <c:v>82.705078125</c:v>
                </c:pt>
                <c:pt idx="10">
                  <c:v>91.89453125</c:v>
                </c:pt>
                <c:pt idx="11">
                  <c:v>101.083984375</c:v>
                </c:pt>
                <c:pt idx="12">
                  <c:v>110.2734375</c:v>
                </c:pt>
                <c:pt idx="13">
                  <c:v>119.462890625</c:v>
                </c:pt>
                <c:pt idx="14">
                  <c:v>128.65234375</c:v>
                </c:pt>
                <c:pt idx="15">
                  <c:v>137.841796875</c:v>
                </c:pt>
                <c:pt idx="16">
                  <c:v>147.03125</c:v>
                </c:pt>
                <c:pt idx="17">
                  <c:v>156.220703125</c:v>
                </c:pt>
                <c:pt idx="18">
                  <c:v>165.41015625</c:v>
                </c:pt>
                <c:pt idx="19">
                  <c:v>174.599609375</c:v>
                </c:pt>
                <c:pt idx="20">
                  <c:v>183.7890625</c:v>
                </c:pt>
                <c:pt idx="21">
                  <c:v>192.978515625</c:v>
                </c:pt>
                <c:pt idx="22">
                  <c:v>202.16796875</c:v>
                </c:pt>
                <c:pt idx="23">
                  <c:v>211.357421875</c:v>
                </c:pt>
                <c:pt idx="24">
                  <c:v>220.546875</c:v>
                </c:pt>
                <c:pt idx="25">
                  <c:v>229.736328125</c:v>
                </c:pt>
              </c:numCache>
            </c:numRef>
          </c:yVal>
          <c:smooth val="0"/>
          <c:extLst>
            <c:ext xmlns:c16="http://schemas.microsoft.com/office/drawing/2014/chart" uri="{C3380CC4-5D6E-409C-BE32-E72D297353CC}">
              <c16:uniqueId val="{00000000-58FE-499A-9461-EE0173B76581}"/>
            </c:ext>
          </c:extLst>
        </c:ser>
        <c:ser>
          <c:idx val="1"/>
          <c:order val="1"/>
          <c:tx>
            <c:v>1000</c:v>
          </c:tx>
          <c:spPr>
            <a:ln w="12700">
              <a:solidFill>
                <a:schemeClr val="tx1"/>
              </a:solidFill>
            </a:ln>
          </c:spPr>
          <c:marker>
            <c:symbol val="none"/>
          </c:marker>
          <c:xVal>
            <c:numRef>
              <c:f>[2]Isobars!$K$2:$K$27</c:f>
              <c:numCache>
                <c:formatCode>General</c:formatCode>
                <c:ptCount val="26"/>
                <c:pt idx="0">
                  <c:v>3.2257812499999994</c:v>
                </c:pt>
                <c:pt idx="1">
                  <c:v>3.1515624999999998</c:v>
                </c:pt>
                <c:pt idx="2">
                  <c:v>3.0765625000000001</c:v>
                </c:pt>
                <c:pt idx="3">
                  <c:v>3.0007812500000006</c:v>
                </c:pt>
                <c:pt idx="4">
                  <c:v>2.9238281250000013</c:v>
                </c:pt>
                <c:pt idx="5">
                  <c:v>2.8457031250000018</c:v>
                </c:pt>
                <c:pt idx="6">
                  <c:v>2.7664062500000024</c:v>
                </c:pt>
                <c:pt idx="7">
                  <c:v>2.6863281250000033</c:v>
                </c:pt>
                <c:pt idx="8">
                  <c:v>2.6042968750000037</c:v>
                </c:pt>
                <c:pt idx="9">
                  <c:v>2.521484375000004</c:v>
                </c:pt>
                <c:pt idx="10">
                  <c:v>2.4363281250000046</c:v>
                </c:pt>
                <c:pt idx="11">
                  <c:v>2.3496093750000053</c:v>
                </c:pt>
                <c:pt idx="12">
                  <c:v>2.2609375000000056</c:v>
                </c:pt>
                <c:pt idx="13">
                  <c:v>2.1695312500000061</c:v>
                </c:pt>
                <c:pt idx="14">
                  <c:v>2.0757812500000066</c:v>
                </c:pt>
                <c:pt idx="15">
                  <c:v>1.9789062500000068</c:v>
                </c:pt>
                <c:pt idx="16">
                  <c:v>1.8781250000000071</c:v>
                </c:pt>
                <c:pt idx="17">
                  <c:v>1.7734375000000075</c:v>
                </c:pt>
                <c:pt idx="18">
                  <c:v>1.6632812500000078</c:v>
                </c:pt>
                <c:pt idx="19">
                  <c:v>1.5468750000000082</c:v>
                </c:pt>
                <c:pt idx="20">
                  <c:v>1.4218750000000087</c:v>
                </c:pt>
                <c:pt idx="21">
                  <c:v>1.2851562500000091</c:v>
                </c:pt>
                <c:pt idx="22">
                  <c:v>1.1328125000000098</c:v>
                </c:pt>
                <c:pt idx="23">
                  <c:v>0.95546875000001008</c:v>
                </c:pt>
                <c:pt idx="24">
                  <c:v>0.73046875000000988</c:v>
                </c:pt>
                <c:pt idx="25">
                  <c:v>0</c:v>
                </c:pt>
              </c:numCache>
            </c:numRef>
          </c:xVal>
          <c:yVal>
            <c:numRef>
              <c:f>[2]Isobars!$L$2:$L$27</c:f>
              <c:numCache>
                <c:formatCode>General</c:formatCode>
                <c:ptCount val="26"/>
                <c:pt idx="0">
                  <c:v>0</c:v>
                </c:pt>
                <c:pt idx="1">
                  <c:v>18.703125</c:v>
                </c:pt>
                <c:pt idx="2">
                  <c:v>37.40625</c:v>
                </c:pt>
                <c:pt idx="3">
                  <c:v>56.109375</c:v>
                </c:pt>
                <c:pt idx="4">
                  <c:v>74.8125</c:v>
                </c:pt>
                <c:pt idx="5">
                  <c:v>93.515625</c:v>
                </c:pt>
                <c:pt idx="6">
                  <c:v>112.21875</c:v>
                </c:pt>
                <c:pt idx="7">
                  <c:v>130.921875</c:v>
                </c:pt>
                <c:pt idx="8">
                  <c:v>149.625</c:v>
                </c:pt>
                <c:pt idx="9">
                  <c:v>168.328125</c:v>
                </c:pt>
                <c:pt idx="10">
                  <c:v>187.03125</c:v>
                </c:pt>
                <c:pt idx="11">
                  <c:v>205.734375</c:v>
                </c:pt>
                <c:pt idx="12">
                  <c:v>224.4375</c:v>
                </c:pt>
                <c:pt idx="13">
                  <c:v>243.140625</c:v>
                </c:pt>
                <c:pt idx="14">
                  <c:v>261.84375</c:v>
                </c:pt>
                <c:pt idx="15">
                  <c:v>280.546875</c:v>
                </c:pt>
                <c:pt idx="16">
                  <c:v>299.25</c:v>
                </c:pt>
                <c:pt idx="17">
                  <c:v>317.953125</c:v>
                </c:pt>
                <c:pt idx="18">
                  <c:v>336.65625</c:v>
                </c:pt>
                <c:pt idx="19">
                  <c:v>355.359375</c:v>
                </c:pt>
                <c:pt idx="20">
                  <c:v>374.0625</c:v>
                </c:pt>
                <c:pt idx="21">
                  <c:v>392.765625</c:v>
                </c:pt>
                <c:pt idx="22">
                  <c:v>411.46875</c:v>
                </c:pt>
                <c:pt idx="23">
                  <c:v>430.171875</c:v>
                </c:pt>
                <c:pt idx="24">
                  <c:v>448.875</c:v>
                </c:pt>
                <c:pt idx="25">
                  <c:v>467.578125</c:v>
                </c:pt>
              </c:numCache>
            </c:numRef>
          </c:yVal>
          <c:smooth val="0"/>
          <c:extLst>
            <c:ext xmlns:c16="http://schemas.microsoft.com/office/drawing/2014/chart" uri="{C3380CC4-5D6E-409C-BE32-E72D297353CC}">
              <c16:uniqueId val="{00000001-58FE-499A-9461-EE0173B76581}"/>
            </c:ext>
          </c:extLst>
        </c:ser>
        <c:ser>
          <c:idx val="2"/>
          <c:order val="2"/>
          <c:tx>
            <c:v>1500</c:v>
          </c:tx>
          <c:spPr>
            <a:ln w="12700">
              <a:solidFill>
                <a:schemeClr val="tx1"/>
              </a:solidFill>
            </a:ln>
          </c:spPr>
          <c:marker>
            <c:symbol val="none"/>
          </c:marker>
          <c:xVal>
            <c:numRef>
              <c:f>[2]Isobars!$A$30:$A$55</c:f>
              <c:numCache>
                <c:formatCode>General</c:formatCode>
                <c:ptCount val="26"/>
                <c:pt idx="0">
                  <c:v>4.0371093749999867</c:v>
                </c:pt>
                <c:pt idx="1">
                  <c:v>3.9386718749999865</c:v>
                </c:pt>
                <c:pt idx="2">
                  <c:v>3.839453124999987</c:v>
                </c:pt>
                <c:pt idx="3">
                  <c:v>3.7390624999999877</c:v>
                </c:pt>
                <c:pt idx="4">
                  <c:v>3.6378906249999883</c:v>
                </c:pt>
                <c:pt idx="5">
                  <c:v>3.535546874999989</c:v>
                </c:pt>
                <c:pt idx="6">
                  <c:v>3.4316406249999898</c:v>
                </c:pt>
                <c:pt idx="7">
                  <c:v>3.3269531249999904</c:v>
                </c:pt>
                <c:pt idx="8">
                  <c:v>3.220312499999991</c:v>
                </c:pt>
                <c:pt idx="9">
                  <c:v>3.1121093749999917</c:v>
                </c:pt>
                <c:pt idx="10">
                  <c:v>3.0019531249999925</c:v>
                </c:pt>
                <c:pt idx="11">
                  <c:v>2.8898437499999932</c:v>
                </c:pt>
                <c:pt idx="12">
                  <c:v>2.7757812499999934</c:v>
                </c:pt>
                <c:pt idx="13">
                  <c:v>2.6585937499999939</c:v>
                </c:pt>
                <c:pt idx="14">
                  <c:v>2.538281249999994</c:v>
                </c:pt>
                <c:pt idx="15">
                  <c:v>2.4148437499999944</c:v>
                </c:pt>
                <c:pt idx="16">
                  <c:v>2.2874999999999952</c:v>
                </c:pt>
                <c:pt idx="17">
                  <c:v>2.1550781249999957</c:v>
                </c:pt>
                <c:pt idx="18">
                  <c:v>2.0167968749999963</c:v>
                </c:pt>
                <c:pt idx="19">
                  <c:v>1.8714843749999968</c:v>
                </c:pt>
                <c:pt idx="20">
                  <c:v>1.7160156249999974</c:v>
                </c:pt>
                <c:pt idx="21">
                  <c:v>1.548046874999998</c:v>
                </c:pt>
                <c:pt idx="22">
                  <c:v>1.3621093749999986</c:v>
                </c:pt>
                <c:pt idx="23">
                  <c:v>1.1472656249999995</c:v>
                </c:pt>
                <c:pt idx="24">
                  <c:v>0.87695312499999989</c:v>
                </c:pt>
                <c:pt idx="25">
                  <c:v>0</c:v>
                </c:pt>
              </c:numCache>
            </c:numRef>
          </c:xVal>
          <c:yVal>
            <c:numRef>
              <c:f>[2]Isobars!$B$30:$B$55</c:f>
              <c:numCache>
                <c:formatCode>General</c:formatCode>
                <c:ptCount val="26"/>
                <c:pt idx="0">
                  <c:v>0</c:v>
                </c:pt>
                <c:pt idx="1">
                  <c:v>28.61328125</c:v>
                </c:pt>
                <c:pt idx="2">
                  <c:v>57.2265625</c:v>
                </c:pt>
                <c:pt idx="3">
                  <c:v>85.83984375</c:v>
                </c:pt>
                <c:pt idx="4">
                  <c:v>114.453125</c:v>
                </c:pt>
                <c:pt idx="5">
                  <c:v>143.06640625</c:v>
                </c:pt>
                <c:pt idx="6">
                  <c:v>171.6796875</c:v>
                </c:pt>
                <c:pt idx="7">
                  <c:v>200.29296875</c:v>
                </c:pt>
                <c:pt idx="8">
                  <c:v>228.90625</c:v>
                </c:pt>
                <c:pt idx="9">
                  <c:v>257.51953125</c:v>
                </c:pt>
                <c:pt idx="10">
                  <c:v>286.1328125</c:v>
                </c:pt>
                <c:pt idx="11">
                  <c:v>314.74609375</c:v>
                </c:pt>
                <c:pt idx="12">
                  <c:v>343.359375</c:v>
                </c:pt>
                <c:pt idx="13">
                  <c:v>371.97265625</c:v>
                </c:pt>
                <c:pt idx="14">
                  <c:v>400.5859375</c:v>
                </c:pt>
                <c:pt idx="15">
                  <c:v>429.19921875</c:v>
                </c:pt>
                <c:pt idx="16">
                  <c:v>457.8125</c:v>
                </c:pt>
                <c:pt idx="17">
                  <c:v>486.42578125</c:v>
                </c:pt>
                <c:pt idx="18">
                  <c:v>515.0390625</c:v>
                </c:pt>
                <c:pt idx="19">
                  <c:v>543.65234375</c:v>
                </c:pt>
                <c:pt idx="20">
                  <c:v>572.265625</c:v>
                </c:pt>
                <c:pt idx="21">
                  <c:v>600.87890625</c:v>
                </c:pt>
                <c:pt idx="22">
                  <c:v>629.4921875</c:v>
                </c:pt>
                <c:pt idx="23">
                  <c:v>658.10546875</c:v>
                </c:pt>
                <c:pt idx="24">
                  <c:v>686.71875</c:v>
                </c:pt>
                <c:pt idx="25">
                  <c:v>715.33203125</c:v>
                </c:pt>
              </c:numCache>
            </c:numRef>
          </c:yVal>
          <c:smooth val="0"/>
          <c:extLst>
            <c:ext xmlns:c16="http://schemas.microsoft.com/office/drawing/2014/chart" uri="{C3380CC4-5D6E-409C-BE32-E72D297353CC}">
              <c16:uniqueId val="{00000002-58FE-499A-9461-EE0173B76581}"/>
            </c:ext>
          </c:extLst>
        </c:ser>
        <c:ser>
          <c:idx val="3"/>
          <c:order val="3"/>
          <c:tx>
            <c:v>2000</c:v>
          </c:tx>
          <c:spPr>
            <a:ln w="12700">
              <a:solidFill>
                <a:schemeClr val="tx1"/>
              </a:solidFill>
            </a:ln>
          </c:spPr>
          <c:marker>
            <c:symbol val="none"/>
          </c:marker>
          <c:xVal>
            <c:numRef>
              <c:f>[2]Isobars!$K$30:$K$55</c:f>
              <c:numCache>
                <c:formatCode>General</c:formatCode>
                <c:ptCount val="26"/>
                <c:pt idx="0">
                  <c:v>4.7617187499999964</c:v>
                </c:pt>
                <c:pt idx="1">
                  <c:v>4.6406249999999947</c:v>
                </c:pt>
                <c:pt idx="2">
                  <c:v>4.5187499999999936</c:v>
                </c:pt>
                <c:pt idx="3">
                  <c:v>4.3960937499999924</c:v>
                </c:pt>
                <c:pt idx="4">
                  <c:v>4.2718749999999908</c:v>
                </c:pt>
                <c:pt idx="5">
                  <c:v>4.146874999999989</c:v>
                </c:pt>
                <c:pt idx="6">
                  <c:v>4.0203124999999869</c:v>
                </c:pt>
                <c:pt idx="7">
                  <c:v>3.8921874999999875</c:v>
                </c:pt>
                <c:pt idx="8">
                  <c:v>3.7624999999999882</c:v>
                </c:pt>
                <c:pt idx="9">
                  <c:v>3.631249999999989</c:v>
                </c:pt>
                <c:pt idx="10">
                  <c:v>3.4976562499999897</c:v>
                </c:pt>
                <c:pt idx="11">
                  <c:v>3.3624999999999905</c:v>
                </c:pt>
                <c:pt idx="12">
                  <c:v>3.224218749999991</c:v>
                </c:pt>
                <c:pt idx="13">
                  <c:v>3.0835937499999915</c:v>
                </c:pt>
                <c:pt idx="14">
                  <c:v>2.9390624999999919</c:v>
                </c:pt>
                <c:pt idx="15">
                  <c:v>2.7914062499999925</c:v>
                </c:pt>
                <c:pt idx="16">
                  <c:v>2.6390624999999934</c:v>
                </c:pt>
                <c:pt idx="17">
                  <c:v>2.4820312499999941</c:v>
                </c:pt>
                <c:pt idx="18">
                  <c:v>2.3179687499999946</c:v>
                </c:pt>
                <c:pt idx="19">
                  <c:v>2.146093749999995</c:v>
                </c:pt>
                <c:pt idx="20">
                  <c:v>1.9648437499999956</c:v>
                </c:pt>
                <c:pt idx="21">
                  <c:v>1.7687499999999963</c:v>
                </c:pt>
                <c:pt idx="22">
                  <c:v>1.553124999999997</c:v>
                </c:pt>
                <c:pt idx="23">
                  <c:v>1.3046874999999978</c:v>
                </c:pt>
                <c:pt idx="24">
                  <c:v>0.99687499999999896</c:v>
                </c:pt>
                <c:pt idx="25">
                  <c:v>0</c:v>
                </c:pt>
              </c:numCache>
            </c:numRef>
          </c:xVal>
          <c:yVal>
            <c:numRef>
              <c:f>[2]Isobars!$L$30:$L$55</c:f>
              <c:numCache>
                <c:formatCode>General</c:formatCode>
                <c:ptCount val="26"/>
                <c:pt idx="0">
                  <c:v>0</c:v>
                </c:pt>
                <c:pt idx="1">
                  <c:v>38.9765625</c:v>
                </c:pt>
                <c:pt idx="2">
                  <c:v>77.953125</c:v>
                </c:pt>
                <c:pt idx="3">
                  <c:v>116.9296875</c:v>
                </c:pt>
                <c:pt idx="4">
                  <c:v>155.90625</c:v>
                </c:pt>
                <c:pt idx="5">
                  <c:v>194.8828125</c:v>
                </c:pt>
                <c:pt idx="6">
                  <c:v>233.859375</c:v>
                </c:pt>
                <c:pt idx="7">
                  <c:v>272.8359375</c:v>
                </c:pt>
                <c:pt idx="8">
                  <c:v>311.8125</c:v>
                </c:pt>
                <c:pt idx="9">
                  <c:v>350.7890625</c:v>
                </c:pt>
                <c:pt idx="10">
                  <c:v>389.765625</c:v>
                </c:pt>
                <c:pt idx="11">
                  <c:v>428.7421875</c:v>
                </c:pt>
                <c:pt idx="12">
                  <c:v>467.71875</c:v>
                </c:pt>
                <c:pt idx="13">
                  <c:v>506.6953125</c:v>
                </c:pt>
                <c:pt idx="14">
                  <c:v>545.671875</c:v>
                </c:pt>
                <c:pt idx="15">
                  <c:v>584.6484375</c:v>
                </c:pt>
                <c:pt idx="16">
                  <c:v>623.625</c:v>
                </c:pt>
                <c:pt idx="17">
                  <c:v>662.6015625</c:v>
                </c:pt>
                <c:pt idx="18">
                  <c:v>701.578125</c:v>
                </c:pt>
                <c:pt idx="19">
                  <c:v>740.5546875</c:v>
                </c:pt>
                <c:pt idx="20">
                  <c:v>779.53125</c:v>
                </c:pt>
                <c:pt idx="21">
                  <c:v>818.5078125</c:v>
                </c:pt>
                <c:pt idx="22">
                  <c:v>857.484375</c:v>
                </c:pt>
                <c:pt idx="23">
                  <c:v>896.4609375</c:v>
                </c:pt>
                <c:pt idx="24">
                  <c:v>935.4375</c:v>
                </c:pt>
                <c:pt idx="25">
                  <c:v>974.4140625</c:v>
                </c:pt>
              </c:numCache>
            </c:numRef>
          </c:yVal>
          <c:smooth val="1"/>
          <c:extLst>
            <c:ext xmlns:c16="http://schemas.microsoft.com/office/drawing/2014/chart" uri="{C3380CC4-5D6E-409C-BE32-E72D297353CC}">
              <c16:uniqueId val="{00000003-58FE-499A-9461-EE0173B76581}"/>
            </c:ext>
          </c:extLst>
        </c:ser>
        <c:ser>
          <c:idx val="4"/>
          <c:order val="4"/>
          <c:tx>
            <c:v>0.1 g/cc</c:v>
          </c:tx>
          <c:spPr>
            <a:ln w="28575">
              <a:noFill/>
            </a:ln>
          </c:spPr>
          <c:marker>
            <c:symbol val="circle"/>
            <c:size val="7"/>
            <c:spPr>
              <a:solidFill>
                <a:schemeClr val="accent1"/>
              </a:solidFill>
              <a:ln>
                <a:noFill/>
              </a:ln>
            </c:spPr>
          </c:marker>
          <c:xVal>
            <c:numRef>
              <c:f>'Table S2'!$P$6:$P$9</c:f>
              <c:numCache>
                <c:formatCode>0.00</c:formatCode>
                <c:ptCount val="4"/>
                <c:pt idx="0">
                  <c:v>0.98</c:v>
                </c:pt>
                <c:pt idx="1">
                  <c:v>0.98</c:v>
                </c:pt>
                <c:pt idx="2">
                  <c:v>0.98</c:v>
                </c:pt>
                <c:pt idx="3">
                  <c:v>0.98</c:v>
                </c:pt>
              </c:numCache>
            </c:numRef>
          </c:xVal>
          <c:yVal>
            <c:numRef>
              <c:f>'Table S2'!$N$6:$N$9</c:f>
              <c:numCache>
                <c:formatCode>0</c:formatCode>
                <c:ptCount val="4"/>
                <c:pt idx="0">
                  <c:v>1127.2727272727273</c:v>
                </c:pt>
                <c:pt idx="1">
                  <c:v>1054.5454545454543</c:v>
                </c:pt>
                <c:pt idx="2">
                  <c:v>981.81818181818153</c:v>
                </c:pt>
                <c:pt idx="3">
                  <c:v>909.09090909090889</c:v>
                </c:pt>
              </c:numCache>
            </c:numRef>
          </c:yVal>
          <c:smooth val="0"/>
          <c:extLst>
            <c:ext xmlns:c16="http://schemas.microsoft.com/office/drawing/2014/chart" uri="{C3380CC4-5D6E-409C-BE32-E72D297353CC}">
              <c16:uniqueId val="{00000004-58FE-499A-9461-EE0173B76581}"/>
            </c:ext>
          </c:extLst>
        </c:ser>
        <c:ser>
          <c:idx val="5"/>
          <c:order val="5"/>
          <c:tx>
            <c:v>0.2 g/cc</c:v>
          </c:tx>
          <c:spPr>
            <a:ln w="28575">
              <a:noFill/>
            </a:ln>
          </c:spPr>
          <c:marker>
            <c:symbol val="circle"/>
            <c:size val="7"/>
            <c:spPr>
              <a:solidFill>
                <a:schemeClr val="accent2"/>
              </a:solidFill>
              <a:ln>
                <a:noFill/>
              </a:ln>
            </c:spPr>
          </c:marker>
          <c:xVal>
            <c:numRef>
              <c:f>'Table S2'!$P$10:$P$13</c:f>
              <c:numCache>
                <c:formatCode>0</c:formatCode>
                <c:ptCount val="4"/>
                <c:pt idx="0">
                  <c:v>1</c:v>
                </c:pt>
                <c:pt idx="1">
                  <c:v>1</c:v>
                </c:pt>
                <c:pt idx="2">
                  <c:v>1</c:v>
                </c:pt>
                <c:pt idx="3">
                  <c:v>1</c:v>
                </c:pt>
              </c:numCache>
            </c:numRef>
          </c:xVal>
          <c:yVal>
            <c:numRef>
              <c:f>'Table S2'!$N$10:$N$13</c:f>
              <c:numCache>
                <c:formatCode>0</c:formatCode>
                <c:ptCount val="4"/>
                <c:pt idx="0">
                  <c:v>1044.5454545454543</c:v>
                </c:pt>
                <c:pt idx="1">
                  <c:v>899.09090909090889</c:v>
                </c:pt>
                <c:pt idx="2">
                  <c:v>753.6363636363634</c:v>
                </c:pt>
                <c:pt idx="3">
                  <c:v>608.1818181818179</c:v>
                </c:pt>
              </c:numCache>
            </c:numRef>
          </c:yVal>
          <c:smooth val="0"/>
          <c:extLst>
            <c:ext xmlns:c16="http://schemas.microsoft.com/office/drawing/2014/chart" uri="{C3380CC4-5D6E-409C-BE32-E72D297353CC}">
              <c16:uniqueId val="{00000005-58FE-499A-9461-EE0173B76581}"/>
            </c:ext>
          </c:extLst>
        </c:ser>
        <c:ser>
          <c:idx val="6"/>
          <c:order val="6"/>
          <c:tx>
            <c:v>0.3 g/cc</c:v>
          </c:tx>
          <c:spPr>
            <a:ln w="28575">
              <a:noFill/>
            </a:ln>
          </c:spPr>
          <c:marker>
            <c:symbol val="circle"/>
            <c:size val="7"/>
            <c:spPr>
              <a:solidFill>
                <a:schemeClr val="accent3"/>
              </a:solidFill>
              <a:ln>
                <a:noFill/>
              </a:ln>
            </c:spPr>
          </c:marker>
          <c:xVal>
            <c:numRef>
              <c:f>'Table S2'!$P$14:$P$17</c:f>
              <c:numCache>
                <c:formatCode>0.00</c:formatCode>
                <c:ptCount val="4"/>
                <c:pt idx="0">
                  <c:v>1.02</c:v>
                </c:pt>
                <c:pt idx="1">
                  <c:v>1.02</c:v>
                </c:pt>
                <c:pt idx="2">
                  <c:v>1.02</c:v>
                </c:pt>
                <c:pt idx="3">
                  <c:v>1.02</c:v>
                </c:pt>
              </c:numCache>
            </c:numRef>
          </c:xVal>
          <c:yVal>
            <c:numRef>
              <c:f>'Table S2'!$N$14:$N$17</c:f>
              <c:numCache>
                <c:formatCode>0</c:formatCode>
                <c:ptCount val="4"/>
                <c:pt idx="0">
                  <c:v>961.81818181818153</c:v>
                </c:pt>
                <c:pt idx="1">
                  <c:v>743.6363636363634</c:v>
                </c:pt>
                <c:pt idx="2">
                  <c:v>525.45454545454527</c:v>
                </c:pt>
                <c:pt idx="3">
                  <c:v>307.27272727272702</c:v>
                </c:pt>
              </c:numCache>
            </c:numRef>
          </c:yVal>
          <c:smooth val="0"/>
          <c:extLst>
            <c:ext xmlns:c16="http://schemas.microsoft.com/office/drawing/2014/chart" uri="{C3380CC4-5D6E-409C-BE32-E72D297353CC}">
              <c16:uniqueId val="{00000006-58FE-499A-9461-EE0173B76581}"/>
            </c:ext>
          </c:extLst>
        </c:ser>
        <c:ser>
          <c:idx val="7"/>
          <c:order val="7"/>
          <c:tx>
            <c:v>0.4 g/cc</c:v>
          </c:tx>
          <c:spPr>
            <a:ln w="28575">
              <a:noFill/>
            </a:ln>
          </c:spPr>
          <c:marker>
            <c:symbol val="circle"/>
            <c:size val="7"/>
            <c:spPr>
              <a:solidFill>
                <a:schemeClr val="accent4"/>
              </a:solidFill>
              <a:ln>
                <a:noFill/>
              </a:ln>
            </c:spPr>
          </c:marker>
          <c:xVal>
            <c:numRef>
              <c:f>'Table S2'!$P$18:$P$21</c:f>
              <c:numCache>
                <c:formatCode>0.00</c:formatCode>
                <c:ptCount val="4"/>
                <c:pt idx="0">
                  <c:v>1.04</c:v>
                </c:pt>
                <c:pt idx="1">
                  <c:v>1.04</c:v>
                </c:pt>
                <c:pt idx="2">
                  <c:v>1.04</c:v>
                </c:pt>
                <c:pt idx="3">
                  <c:v>1.04</c:v>
                </c:pt>
              </c:numCache>
            </c:numRef>
          </c:xVal>
          <c:yVal>
            <c:numRef>
              <c:f>'Table S2'!$N$18:$N$21</c:f>
              <c:numCache>
                <c:formatCode>0</c:formatCode>
                <c:ptCount val="4"/>
                <c:pt idx="0">
                  <c:v>879.09090909090889</c:v>
                </c:pt>
                <c:pt idx="1">
                  <c:v>588.1818181818179</c:v>
                </c:pt>
                <c:pt idx="2">
                  <c:v>297.27272727272702</c:v>
                </c:pt>
                <c:pt idx="3">
                  <c:v>6.3636363636359903</c:v>
                </c:pt>
              </c:numCache>
            </c:numRef>
          </c:yVal>
          <c:smooth val="0"/>
          <c:extLst>
            <c:ext xmlns:c16="http://schemas.microsoft.com/office/drawing/2014/chart" uri="{C3380CC4-5D6E-409C-BE32-E72D297353CC}">
              <c16:uniqueId val="{00000007-58FE-499A-9461-EE0173B76581}"/>
            </c:ext>
          </c:extLst>
        </c:ser>
        <c:dLbls>
          <c:showLegendKey val="0"/>
          <c:showVal val="0"/>
          <c:showCatName val="0"/>
          <c:showSerName val="0"/>
          <c:showPercent val="0"/>
          <c:showBubbleSize val="0"/>
        </c:dLbls>
        <c:axId val="2087098424"/>
        <c:axId val="2081002520"/>
      </c:scatterChart>
      <c:valAx>
        <c:axId val="2087098424"/>
        <c:scaling>
          <c:orientation val="minMax"/>
          <c:max val="2"/>
          <c:min val="0.5"/>
        </c:scaling>
        <c:delete val="0"/>
        <c:axPos val="b"/>
        <c:title>
          <c:tx>
            <c:rich>
              <a:bodyPr/>
              <a:lstStyle/>
              <a:p>
                <a:pPr>
                  <a:defRPr/>
                </a:pPr>
                <a:r>
                  <a:rPr lang="en-US"/>
                  <a:t>H</a:t>
                </a:r>
                <a:r>
                  <a:rPr lang="en-US" baseline="-25000"/>
                  <a:t>2</a:t>
                </a:r>
                <a:r>
                  <a:rPr lang="en-US"/>
                  <a:t>O (in glass), wt%</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081002520"/>
        <c:crosses val="autoZero"/>
        <c:crossBetween val="midCat"/>
        <c:majorUnit val="0.5"/>
      </c:valAx>
      <c:valAx>
        <c:axId val="2081002520"/>
        <c:scaling>
          <c:orientation val="minMax"/>
          <c:max val="1200"/>
          <c:min val="0"/>
        </c:scaling>
        <c:delete val="0"/>
        <c:axPos val="l"/>
        <c:title>
          <c:tx>
            <c:rich>
              <a:bodyPr rot="-5400000" vert="horz"/>
              <a:lstStyle/>
              <a:p>
                <a:pPr>
                  <a:defRPr/>
                </a:pPr>
                <a:r>
                  <a:rPr lang="en-US"/>
                  <a:t>CO</a:t>
                </a:r>
                <a:r>
                  <a:rPr lang="en-US" baseline="-25000"/>
                  <a:t>2</a:t>
                </a:r>
                <a:r>
                  <a:rPr lang="en-US"/>
                  <a:t> (in glass),</a:t>
                </a:r>
                <a:r>
                  <a:rPr lang="en-US" baseline="0"/>
                  <a:t> ppm</a:t>
                </a:r>
                <a:endParaRPr lang="en-US"/>
              </a:p>
            </c:rich>
          </c:tx>
          <c:overlay val="0"/>
        </c:title>
        <c:numFmt formatCode="General" sourceLinked="1"/>
        <c:majorTickMark val="out"/>
        <c:minorTickMark val="none"/>
        <c:tickLblPos val="nextTo"/>
        <c:crossAx val="2087098424"/>
        <c:crosses val="autoZero"/>
        <c:crossBetween val="midCat"/>
        <c:majorUnit val="200"/>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Kilauea</c:v>
          </c:tx>
          <c:invertIfNegative val="0"/>
          <c:val>
            <c:numRef>
              <c:f>'Table S4'!$BB$5:$BB$15</c:f>
              <c:numCache>
                <c:formatCode>General</c:formatCode>
                <c:ptCount val="11"/>
                <c:pt idx="0">
                  <c:v>25</c:v>
                </c:pt>
                <c:pt idx="1">
                  <c:v>12</c:v>
                </c:pt>
                <c:pt idx="2">
                  <c:v>9</c:v>
                </c:pt>
                <c:pt idx="3">
                  <c:v>3</c:v>
                </c:pt>
                <c:pt idx="4">
                  <c:v>0</c:v>
                </c:pt>
                <c:pt idx="5">
                  <c:v>0</c:v>
                </c:pt>
                <c:pt idx="6">
                  <c:v>0</c:v>
                </c:pt>
                <c:pt idx="7">
                  <c:v>1</c:v>
                </c:pt>
                <c:pt idx="8">
                  <c:v>0</c:v>
                </c:pt>
                <c:pt idx="9">
                  <c:v>0</c:v>
                </c:pt>
                <c:pt idx="10">
                  <c:v>0</c:v>
                </c:pt>
              </c:numCache>
            </c:numRef>
          </c:val>
          <c:extLst>
            <c:ext xmlns:c16="http://schemas.microsoft.com/office/drawing/2014/chart" uri="{C3380CC4-5D6E-409C-BE32-E72D297353CC}">
              <c16:uniqueId val="{00000000-22B0-45FD-B48E-FAEB88B9E41F}"/>
            </c:ext>
          </c:extLst>
        </c:ser>
        <c:dLbls>
          <c:showLegendKey val="0"/>
          <c:showVal val="0"/>
          <c:showCatName val="0"/>
          <c:showSerName val="0"/>
          <c:showPercent val="0"/>
          <c:showBubbleSize val="0"/>
        </c:dLbls>
        <c:gapWidth val="150"/>
        <c:axId val="2129365816"/>
        <c:axId val="2128692200"/>
      </c:barChart>
      <c:catAx>
        <c:axId val="2129365816"/>
        <c:scaling>
          <c:orientation val="minMax"/>
        </c:scaling>
        <c:delete val="0"/>
        <c:axPos val="b"/>
        <c:title>
          <c:tx>
            <c:rich>
              <a:bodyPr/>
              <a:lstStyle/>
              <a:p>
                <a:pPr>
                  <a:defRPr/>
                </a:pPr>
                <a:r>
                  <a:rPr lang="en-US"/>
                  <a:t>CO2, ppm</a:t>
                </a:r>
              </a:p>
            </c:rich>
          </c:tx>
          <c:overlay val="0"/>
        </c:title>
        <c:majorTickMark val="out"/>
        <c:minorTickMark val="none"/>
        <c:tickLblPos val="nextTo"/>
        <c:crossAx val="2128692200"/>
        <c:crosses val="autoZero"/>
        <c:auto val="1"/>
        <c:lblAlgn val="ctr"/>
        <c:lblOffset val="100"/>
        <c:noMultiLvlLbl val="0"/>
      </c:catAx>
      <c:valAx>
        <c:axId val="2128692200"/>
        <c:scaling>
          <c:orientation val="minMax"/>
        </c:scaling>
        <c:delete val="0"/>
        <c:axPos val="l"/>
        <c:title>
          <c:tx>
            <c:rich>
              <a:bodyPr rot="-5400000" vert="horz"/>
              <a:lstStyle/>
              <a:p>
                <a:pPr>
                  <a:defRPr/>
                </a:pPr>
                <a:r>
                  <a:rPr lang="en-US"/>
                  <a:t>Frequency</a:t>
                </a:r>
              </a:p>
            </c:rich>
          </c:tx>
          <c:overlay val="0"/>
        </c:title>
        <c:numFmt formatCode="General" sourceLinked="1"/>
        <c:majorTickMark val="out"/>
        <c:minorTickMark val="none"/>
        <c:tickLblPos val="nextTo"/>
        <c:crossAx val="21293658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Fuego</c:v>
          </c:tx>
          <c:invertIfNegative val="0"/>
          <c:val>
            <c:numRef>
              <c:f>'Table S4'!$AQ$21:$AQ$31</c:f>
              <c:numCache>
                <c:formatCode>General</c:formatCode>
                <c:ptCount val="11"/>
                <c:pt idx="0">
                  <c:v>3</c:v>
                </c:pt>
                <c:pt idx="1">
                  <c:v>4</c:v>
                </c:pt>
                <c:pt idx="2">
                  <c:v>11</c:v>
                </c:pt>
                <c:pt idx="3">
                  <c:v>12</c:v>
                </c:pt>
                <c:pt idx="4">
                  <c:v>3</c:v>
                </c:pt>
                <c:pt idx="5">
                  <c:v>3</c:v>
                </c:pt>
                <c:pt idx="6">
                  <c:v>2</c:v>
                </c:pt>
                <c:pt idx="7">
                  <c:v>1</c:v>
                </c:pt>
                <c:pt idx="8">
                  <c:v>0</c:v>
                </c:pt>
                <c:pt idx="9">
                  <c:v>0</c:v>
                </c:pt>
                <c:pt idx="10">
                  <c:v>0</c:v>
                </c:pt>
              </c:numCache>
            </c:numRef>
          </c:val>
          <c:extLst>
            <c:ext xmlns:c16="http://schemas.microsoft.com/office/drawing/2014/chart" uri="{C3380CC4-5D6E-409C-BE32-E72D297353CC}">
              <c16:uniqueId val="{00000000-92C0-470D-BC49-D12C3B79F15C}"/>
            </c:ext>
          </c:extLst>
        </c:ser>
        <c:dLbls>
          <c:showLegendKey val="0"/>
          <c:showVal val="0"/>
          <c:showCatName val="0"/>
          <c:showSerName val="0"/>
          <c:showPercent val="0"/>
          <c:showBubbleSize val="0"/>
        </c:dLbls>
        <c:gapWidth val="150"/>
        <c:axId val="2100817432"/>
        <c:axId val="2101151304"/>
      </c:barChart>
      <c:catAx>
        <c:axId val="2100817432"/>
        <c:scaling>
          <c:orientation val="minMax"/>
        </c:scaling>
        <c:delete val="0"/>
        <c:axPos val="b"/>
        <c:title>
          <c:tx>
            <c:rich>
              <a:bodyPr/>
              <a:lstStyle/>
              <a:p>
                <a:pPr>
                  <a:defRPr/>
                </a:pPr>
                <a:r>
                  <a:rPr lang="en-US"/>
                  <a:t>CO2,</a:t>
                </a:r>
                <a:r>
                  <a:rPr lang="en-US" baseline="0"/>
                  <a:t> ppm</a:t>
                </a:r>
                <a:endParaRPr lang="en-US"/>
              </a:p>
            </c:rich>
          </c:tx>
          <c:overlay val="0"/>
        </c:title>
        <c:majorTickMark val="out"/>
        <c:minorTickMark val="none"/>
        <c:tickLblPos val="nextTo"/>
        <c:crossAx val="2101151304"/>
        <c:crosses val="autoZero"/>
        <c:auto val="1"/>
        <c:lblAlgn val="ctr"/>
        <c:lblOffset val="100"/>
        <c:noMultiLvlLbl val="0"/>
      </c:catAx>
      <c:valAx>
        <c:axId val="2101151304"/>
        <c:scaling>
          <c:orientation val="minMax"/>
        </c:scaling>
        <c:delete val="0"/>
        <c:axPos val="l"/>
        <c:title>
          <c:tx>
            <c:rich>
              <a:bodyPr rot="-5400000" vert="horz"/>
              <a:lstStyle/>
              <a:p>
                <a:pPr>
                  <a:defRPr/>
                </a:pPr>
                <a:r>
                  <a:rPr lang="en-US"/>
                  <a:t>Frequency</a:t>
                </a:r>
              </a:p>
            </c:rich>
          </c:tx>
          <c:overlay val="0"/>
        </c:title>
        <c:numFmt formatCode="General" sourceLinked="1"/>
        <c:majorTickMark val="out"/>
        <c:minorTickMark val="none"/>
        <c:tickLblPos val="nextTo"/>
        <c:crossAx val="2100817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Seguam</c:v>
          </c:tx>
          <c:invertIfNegative val="0"/>
          <c:val>
            <c:numRef>
              <c:f>'Table S4'!$AL$37:$AL$47</c:f>
              <c:numCache>
                <c:formatCode>General</c:formatCode>
                <c:ptCount val="11"/>
                <c:pt idx="0">
                  <c:v>11</c:v>
                </c:pt>
                <c:pt idx="1">
                  <c:v>7</c:v>
                </c:pt>
                <c:pt idx="2">
                  <c:v>2</c:v>
                </c:pt>
                <c:pt idx="3">
                  <c:v>2</c:v>
                </c:pt>
                <c:pt idx="4">
                  <c:v>0</c:v>
                </c:pt>
                <c:pt idx="5">
                  <c:v>1</c:v>
                </c:pt>
                <c:pt idx="6">
                  <c:v>0</c:v>
                </c:pt>
                <c:pt idx="7">
                  <c:v>0</c:v>
                </c:pt>
                <c:pt idx="8">
                  <c:v>0</c:v>
                </c:pt>
                <c:pt idx="9">
                  <c:v>0</c:v>
                </c:pt>
                <c:pt idx="10">
                  <c:v>0</c:v>
                </c:pt>
              </c:numCache>
            </c:numRef>
          </c:val>
          <c:extLst>
            <c:ext xmlns:c16="http://schemas.microsoft.com/office/drawing/2014/chart" uri="{C3380CC4-5D6E-409C-BE32-E72D297353CC}">
              <c16:uniqueId val="{00000000-2E55-41ED-B68E-00D48B22BD60}"/>
            </c:ext>
          </c:extLst>
        </c:ser>
        <c:dLbls>
          <c:showLegendKey val="0"/>
          <c:showVal val="0"/>
          <c:showCatName val="0"/>
          <c:showSerName val="0"/>
          <c:showPercent val="0"/>
          <c:showBubbleSize val="0"/>
        </c:dLbls>
        <c:gapWidth val="150"/>
        <c:axId val="2124601768"/>
        <c:axId val="2081732248"/>
      </c:barChart>
      <c:catAx>
        <c:axId val="2124601768"/>
        <c:scaling>
          <c:orientation val="minMax"/>
        </c:scaling>
        <c:delete val="0"/>
        <c:axPos val="b"/>
        <c:title>
          <c:tx>
            <c:rich>
              <a:bodyPr/>
              <a:lstStyle/>
              <a:p>
                <a:pPr>
                  <a:defRPr/>
                </a:pPr>
                <a:r>
                  <a:rPr lang="en-US"/>
                  <a:t>CO2, ppm</a:t>
                </a:r>
              </a:p>
            </c:rich>
          </c:tx>
          <c:overlay val="0"/>
        </c:title>
        <c:majorTickMark val="out"/>
        <c:minorTickMark val="none"/>
        <c:tickLblPos val="nextTo"/>
        <c:crossAx val="2081732248"/>
        <c:crosses val="autoZero"/>
        <c:auto val="1"/>
        <c:lblAlgn val="ctr"/>
        <c:lblOffset val="100"/>
        <c:noMultiLvlLbl val="0"/>
      </c:catAx>
      <c:valAx>
        <c:axId val="2081732248"/>
        <c:scaling>
          <c:orientation val="minMax"/>
        </c:scaling>
        <c:delete val="0"/>
        <c:axPos val="l"/>
        <c:title>
          <c:tx>
            <c:rich>
              <a:bodyPr rot="-5400000" vert="horz"/>
              <a:lstStyle/>
              <a:p>
                <a:pPr>
                  <a:defRPr/>
                </a:pPr>
                <a:r>
                  <a:rPr lang="en-US"/>
                  <a:t>Frequency</a:t>
                </a:r>
              </a:p>
            </c:rich>
          </c:tx>
          <c:overlay val="0"/>
        </c:title>
        <c:numFmt formatCode="General" sourceLinked="1"/>
        <c:majorTickMark val="out"/>
        <c:minorTickMark val="none"/>
        <c:tickLblPos val="nextTo"/>
        <c:crossAx val="21246017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133349</xdr:colOff>
      <xdr:row>4</xdr:row>
      <xdr:rowOff>9524</xdr:rowOff>
    </xdr:from>
    <xdr:to>
      <xdr:col>5</xdr:col>
      <xdr:colOff>400050</xdr:colOff>
      <xdr:row>23</xdr:row>
      <xdr:rowOff>57150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42949" y="771524"/>
          <a:ext cx="2705101" cy="3667126"/>
        </a:xfrm>
        <a:prstGeom prst="rect">
          <a:avLst/>
        </a:prstGeom>
        <a:solidFill>
          <a:schemeClr val="accent5">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Table S1</a:t>
          </a:r>
        </a:p>
        <a:p>
          <a:endParaRPr lang="en-US" sz="1100" baseline="0"/>
        </a:p>
        <a:p>
          <a:r>
            <a:rPr lang="en-US" sz="1100" baseline="0"/>
            <a:t>A summary of the major element and volatile concentrations of melt inclusion glasses. </a:t>
          </a:r>
        </a:p>
        <a:p>
          <a:endParaRPr lang="en-US" sz="1100"/>
        </a:p>
        <a:p>
          <a:r>
            <a:rPr lang="en-US" sz="1100"/>
            <a:t>Major element concentrations of the MI glass were measured by EPMA conducted at Virginia Tech. Volatile concentrations of the MI glass were measured by SIMS at CIW. Major element and volatile concentrations listed in this table have been corrected for PEC using Petrolog3 software (see methods). CO2 concentrations marked with an asterisk indicate a MI where CO2 was detected in the vapor bubble. The CO2 concentrations in this table have not been reconstructed to include CO2 in the bubble. Concentrations indicated by a " - " are below detection limits for EPMA.</a:t>
          </a:r>
        </a:p>
      </xdr:txBody>
    </xdr:sp>
    <xdr:clientData/>
  </xdr:twoCellAnchor>
  <xdr:twoCellAnchor>
    <xdr:from>
      <xdr:col>5</xdr:col>
      <xdr:colOff>457200</xdr:colOff>
      <xdr:row>4</xdr:row>
      <xdr:rowOff>9525</xdr:rowOff>
    </xdr:from>
    <xdr:to>
      <xdr:col>8</xdr:col>
      <xdr:colOff>533400</xdr:colOff>
      <xdr:row>9</xdr:row>
      <xdr:rowOff>133350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3505200" y="771525"/>
          <a:ext cx="1905000" cy="1076325"/>
        </a:xfrm>
        <a:prstGeom prst="rect">
          <a:avLst/>
        </a:prstGeom>
        <a:solidFill>
          <a:schemeClr val="accent5">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Table S2</a:t>
          </a:r>
        </a:p>
        <a:p>
          <a:endParaRPr lang="en-US" sz="1100"/>
        </a:p>
        <a:p>
          <a:r>
            <a:rPr lang="en-US" sz="1100"/>
            <a:t>Calculated</a:t>
          </a:r>
          <a:r>
            <a:rPr lang="en-US" sz="1100" baseline="0"/>
            <a:t>  "pseudo" degassing path that appears in Figure 1 (see text).</a:t>
          </a:r>
          <a:endParaRPr lang="en-US" sz="1100"/>
        </a:p>
      </xdr:txBody>
    </xdr:sp>
    <xdr:clientData/>
  </xdr:twoCellAnchor>
  <xdr:twoCellAnchor>
    <xdr:from>
      <xdr:col>5</xdr:col>
      <xdr:colOff>476250</xdr:colOff>
      <xdr:row>13</xdr:row>
      <xdr:rowOff>180976</xdr:rowOff>
    </xdr:from>
    <xdr:to>
      <xdr:col>8</xdr:col>
      <xdr:colOff>552450</xdr:colOff>
      <xdr:row>23</xdr:row>
      <xdr:rowOff>85726</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3524250" y="2657476"/>
          <a:ext cx="1905000" cy="1809750"/>
        </a:xfrm>
        <a:prstGeom prst="rect">
          <a:avLst/>
        </a:prstGeom>
        <a:solidFill>
          <a:schemeClr val="accent5">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Table S5</a:t>
          </a:r>
        </a:p>
        <a:p>
          <a:endParaRPr lang="en-US" sz="1100" b="0"/>
        </a:p>
        <a:p>
          <a:r>
            <a:rPr lang="en-US" sz="1100" b="0"/>
            <a:t>Mass balance reconstructions of melt inclusion CO2 contents.</a:t>
          </a:r>
        </a:p>
        <a:p>
          <a:endParaRPr lang="en-US" sz="1100" b="0"/>
        </a:p>
        <a:p>
          <a:r>
            <a:rPr lang="en-US" sz="1100" b="0"/>
            <a:t>See text</a:t>
          </a:r>
          <a:r>
            <a:rPr lang="en-US" sz="1100" b="0" baseline="0"/>
            <a:t> and Steele-MacInnis et al. (2011, J. Pet. vol. </a:t>
          </a:r>
          <a:r>
            <a:rPr lang="en-US" sz="1100">
              <a:solidFill>
                <a:schemeClr val="dk1"/>
              </a:solidFill>
              <a:effectLst/>
              <a:latin typeface="+mn-lt"/>
              <a:ea typeface="+mn-ea"/>
              <a:cs typeface="+mn-cs"/>
            </a:rPr>
            <a:t>52, p. 2461-2482</a:t>
          </a:r>
          <a:r>
            <a:rPr lang="en-US" sz="1100" b="0" baseline="0"/>
            <a:t>) for a discussion of mass balance calculations.</a:t>
          </a:r>
          <a:endParaRPr lang="en-US" sz="1100" b="0"/>
        </a:p>
      </xdr:txBody>
    </xdr:sp>
    <xdr:clientData/>
  </xdr:twoCellAnchor>
  <xdr:twoCellAnchor>
    <xdr:from>
      <xdr:col>9</xdr:col>
      <xdr:colOff>38100</xdr:colOff>
      <xdr:row>17</xdr:row>
      <xdr:rowOff>9525</xdr:rowOff>
    </xdr:from>
    <xdr:to>
      <xdr:col>12</xdr:col>
      <xdr:colOff>114300</xdr:colOff>
      <xdr:row>23</xdr:row>
      <xdr:rowOff>95250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524500" y="3248025"/>
          <a:ext cx="1905000" cy="1228725"/>
        </a:xfrm>
        <a:prstGeom prst="rect">
          <a:avLst/>
        </a:prstGeom>
        <a:solidFill>
          <a:schemeClr val="accent5">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Table S6</a:t>
          </a:r>
        </a:p>
        <a:p>
          <a:endParaRPr lang="en-US" sz="1100" b="0"/>
        </a:p>
        <a:p>
          <a:r>
            <a:rPr lang="en-US" sz="1100" b="0"/>
            <a:t>Uncorrected major element and volatile compositions of MI glasses.</a:t>
          </a:r>
        </a:p>
      </xdr:txBody>
    </xdr:sp>
    <xdr:clientData/>
  </xdr:twoCellAnchor>
  <xdr:twoCellAnchor>
    <xdr:from>
      <xdr:col>12</xdr:col>
      <xdr:colOff>114300</xdr:colOff>
      <xdr:row>4</xdr:row>
      <xdr:rowOff>0</xdr:rowOff>
    </xdr:from>
    <xdr:to>
      <xdr:col>15</xdr:col>
      <xdr:colOff>190500</xdr:colOff>
      <xdr:row>15</xdr:row>
      <xdr:rowOff>161925</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7429500" y="762000"/>
          <a:ext cx="1905000" cy="2257425"/>
        </a:xfrm>
        <a:prstGeom prst="rect">
          <a:avLst/>
        </a:prstGeom>
        <a:solidFill>
          <a:schemeClr val="accent5">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Table S4</a:t>
          </a:r>
        </a:p>
        <a:p>
          <a:endParaRPr lang="en-US" sz="1100"/>
        </a:p>
        <a:p>
          <a:r>
            <a:rPr lang="en-US" sz="1100"/>
            <a:t>Summary</a:t>
          </a:r>
          <a:r>
            <a:rPr lang="en-US" sz="1100" baseline="0"/>
            <a:t> of CO2 measured in melt inclusion glasses from Kilauea, Fuego, and Seguam eruptions. These CO2 concentrations were used to estimate the percentage (mass) of CO2 contained in melt inclusion bubbles when the CO2 concentration of the glass is unknown.</a:t>
          </a:r>
        </a:p>
      </xdr:txBody>
    </xdr:sp>
    <xdr:clientData/>
  </xdr:twoCellAnchor>
  <xdr:twoCellAnchor>
    <xdr:from>
      <xdr:col>8</xdr:col>
      <xdr:colOff>590550</xdr:colOff>
      <xdr:row>4</xdr:row>
      <xdr:rowOff>9525</xdr:rowOff>
    </xdr:from>
    <xdr:to>
      <xdr:col>12</xdr:col>
      <xdr:colOff>57150</xdr:colOff>
      <xdr:row>13</xdr:row>
      <xdr:rowOff>123824</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5467350" y="771525"/>
          <a:ext cx="1905000" cy="1828799"/>
        </a:xfrm>
        <a:prstGeom prst="rect">
          <a:avLst/>
        </a:prstGeom>
        <a:solidFill>
          <a:schemeClr val="accent5">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Table S3</a:t>
          </a:r>
        </a:p>
        <a:p>
          <a:endParaRPr lang="en-US" sz="1100"/>
        </a:p>
        <a:p>
          <a:r>
            <a:rPr lang="en-US" sz="1100"/>
            <a:t>Raman spectral data from repeated analyses of a synthetic fluid inclusion. The</a:t>
          </a:r>
          <a:r>
            <a:rPr lang="en-US" sz="1100" baseline="0"/>
            <a:t> relative standard deviation  calculated here is used to estimate the error associated with CO2 densities in vapor bubbles.</a:t>
          </a:r>
          <a:endParaRPr lang="en-US" sz="1100"/>
        </a:p>
      </xdr:txBody>
    </xdr:sp>
    <xdr:clientData/>
  </xdr:twoCellAnchor>
  <xdr:twoCellAnchor>
    <xdr:from>
      <xdr:col>1</xdr:col>
      <xdr:colOff>142875</xdr:colOff>
      <xdr:row>1</xdr:row>
      <xdr:rowOff>95251</xdr:rowOff>
    </xdr:from>
    <xdr:to>
      <xdr:col>5</xdr:col>
      <xdr:colOff>133350</xdr:colOff>
      <xdr:row>3</xdr:row>
      <xdr:rowOff>142875</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752475" y="285751"/>
          <a:ext cx="2428875" cy="428624"/>
        </a:xfrm>
        <a:prstGeom prst="rect">
          <a:avLst/>
        </a:prstGeom>
        <a:solidFill>
          <a:schemeClr val="accent5">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Table of Contents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25</xdr:row>
      <xdr:rowOff>104775</xdr:rowOff>
    </xdr:from>
    <xdr:to>
      <xdr:col>4</xdr:col>
      <xdr:colOff>152400</xdr:colOff>
      <xdr:row>42</xdr:row>
      <xdr:rowOff>123825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85725</xdr:colOff>
      <xdr:row>4</xdr:row>
      <xdr:rowOff>157162</xdr:rowOff>
    </xdr:from>
    <xdr:to>
      <xdr:col>8</xdr:col>
      <xdr:colOff>66675</xdr:colOff>
      <xdr:row>16</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20</xdr:row>
      <xdr:rowOff>0</xdr:rowOff>
    </xdr:from>
    <xdr:to>
      <xdr:col>7</xdr:col>
      <xdr:colOff>590550</xdr:colOff>
      <xdr:row>31</xdr:row>
      <xdr:rowOff>109538</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36</xdr:row>
      <xdr:rowOff>0</xdr:rowOff>
    </xdr:from>
    <xdr:to>
      <xdr:col>7</xdr:col>
      <xdr:colOff>590550</xdr:colOff>
      <xdr:row>47</xdr:row>
      <xdr:rowOff>109538</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hilipp\Library\Mail%20Downloads\Ion%20Probe\Volatiles%20IP\Volatiles%20Data%20Reduc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ooreLR\Documents\VT%20Volcanoes\Bubbles%20Matter%20Drafts\Bubbles%20Matter%20(Draft%205)%20Authors\Bubbles%20Matter%20(draft%205)%20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Si norm"/>
      <sheetName val="18O norm"/>
      <sheetName val="NanoSIMS"/>
      <sheetName val="NAMs"/>
      <sheetName val="H2O calib"/>
      <sheetName val="PlotDat2"/>
      <sheetName val="CO2 calib"/>
      <sheetName val="PlotDat3"/>
      <sheetName val="F calib"/>
      <sheetName val="PlotDat5"/>
      <sheetName val="S calib"/>
      <sheetName val="PlotDat6"/>
      <sheetName val="Cl calib"/>
      <sheetName val="PlotDat8"/>
      <sheetName val="OH calib"/>
      <sheetName val="PlotDat9"/>
      <sheetName val="Stats"/>
      <sheetName val="ANU expts"/>
      <sheetName val="ANU raw"/>
      <sheetName val="Bell NAMs"/>
      <sheetName val="Sheet1"/>
    </sheetNames>
    <sheetDataSet>
      <sheetData sheetId="0"/>
      <sheetData sheetId="1"/>
      <sheetData sheetId="2"/>
      <sheetData sheetId="3"/>
      <sheetData sheetId="4" refreshError="1"/>
      <sheetData sheetId="5"/>
      <sheetData sheetId="6" refreshError="1"/>
      <sheetData sheetId="7"/>
      <sheetData sheetId="8" refreshError="1"/>
      <sheetData sheetId="9"/>
      <sheetData sheetId="10" refreshError="1"/>
      <sheetData sheetId="11"/>
      <sheetData sheetId="12" refreshError="1"/>
      <sheetData sheetId="13"/>
      <sheetData sheetId="14" refreshError="1"/>
      <sheetData sheetId="15">
        <row r="1">
          <cell r="C1">
            <v>15.184139999999999</v>
          </cell>
          <cell r="D1">
            <v>6.07</v>
          </cell>
        </row>
        <row r="2">
          <cell r="C2">
            <v>14.47823</v>
          </cell>
          <cell r="D2">
            <v>6.07</v>
          </cell>
        </row>
        <row r="3">
          <cell r="C3">
            <v>12.96156</v>
          </cell>
          <cell r="D3">
            <v>4.96</v>
          </cell>
        </row>
        <row r="4">
          <cell r="C4">
            <v>12.90502</v>
          </cell>
          <cell r="D4">
            <v>4.96</v>
          </cell>
        </row>
        <row r="5">
          <cell r="C5">
            <v>14.32376</v>
          </cell>
          <cell r="D5">
            <v>5.27</v>
          </cell>
        </row>
        <row r="6">
          <cell r="C6">
            <v>14.03945</v>
          </cell>
          <cell r="D6">
            <v>5.27</v>
          </cell>
        </row>
        <row r="7">
          <cell r="C7">
            <v>10.04332</v>
          </cell>
          <cell r="D7">
            <v>4.1500000000000004</v>
          </cell>
        </row>
        <row r="8">
          <cell r="C8">
            <v>9.7071100000000001</v>
          </cell>
          <cell r="D8">
            <v>4.1500000000000004</v>
          </cell>
        </row>
        <row r="9">
          <cell r="C9">
            <v>6.0046600000000003</v>
          </cell>
          <cell r="D9">
            <v>2.78</v>
          </cell>
        </row>
        <row r="10">
          <cell r="C10">
            <v>5.6325900000000004</v>
          </cell>
          <cell r="D10">
            <v>2.78</v>
          </cell>
        </row>
        <row r="11">
          <cell r="C11">
            <v>5.4020299999999999</v>
          </cell>
          <cell r="D11">
            <v>2.4300000000000002</v>
          </cell>
        </row>
        <row r="12">
          <cell r="C12">
            <v>5.2152000000000003</v>
          </cell>
          <cell r="D12">
            <v>2.4300000000000002</v>
          </cell>
        </row>
        <row r="13">
          <cell r="C13">
            <v>4.3601700000000001</v>
          </cell>
          <cell r="D13">
            <v>1.55</v>
          </cell>
        </row>
        <row r="14">
          <cell r="C14">
            <v>4.2378299999999998</v>
          </cell>
          <cell r="D14">
            <v>1.55</v>
          </cell>
        </row>
        <row r="15">
          <cell r="C15">
            <v>3.7963800000000001</v>
          </cell>
          <cell r="D15">
            <v>1.41</v>
          </cell>
        </row>
        <row r="16">
          <cell r="C16">
            <v>3.73746</v>
          </cell>
          <cell r="D16">
            <v>1.41</v>
          </cell>
        </row>
        <row r="17">
          <cell r="C17">
            <v>3.3805299999999998</v>
          </cell>
          <cell r="D17">
            <v>1.4</v>
          </cell>
        </row>
        <row r="18">
          <cell r="C18">
            <v>3.2427800000000002</v>
          </cell>
          <cell r="D18">
            <v>1.4</v>
          </cell>
        </row>
        <row r="19">
          <cell r="C19">
            <v>3.0788099999999998</v>
          </cell>
          <cell r="D19">
            <v>1.17</v>
          </cell>
        </row>
        <row r="20">
          <cell r="C20">
            <v>2.9690599999999998</v>
          </cell>
          <cell r="D20">
            <v>1.17</v>
          </cell>
        </row>
        <row r="21">
          <cell r="C21">
            <v>2.94272</v>
          </cell>
          <cell r="D21">
            <v>1</v>
          </cell>
        </row>
        <row r="22">
          <cell r="C22">
            <v>2.8527900000000002</v>
          </cell>
          <cell r="D22">
            <v>1</v>
          </cell>
        </row>
        <row r="23">
          <cell r="C23">
            <v>2.6019600000000001</v>
          </cell>
          <cell r="D23">
            <v>0.77300000000000002</v>
          </cell>
        </row>
        <row r="24">
          <cell r="C24">
            <v>2.4936799999999999</v>
          </cell>
          <cell r="D24">
            <v>0.77300000000000002</v>
          </cell>
        </row>
        <row r="25">
          <cell r="C25">
            <v>1.7399</v>
          </cell>
          <cell r="D25">
            <v>0.64</v>
          </cell>
        </row>
        <row r="26">
          <cell r="C26">
            <v>1.6455599999999999</v>
          </cell>
          <cell r="D26">
            <v>0.64</v>
          </cell>
        </row>
        <row r="27">
          <cell r="C27">
            <v>1.3345</v>
          </cell>
          <cell r="D27">
            <v>0.49</v>
          </cell>
        </row>
        <row r="28">
          <cell r="C28">
            <v>1.3159400000000001</v>
          </cell>
          <cell r="D28">
            <v>0.49</v>
          </cell>
        </row>
        <row r="29">
          <cell r="C29">
            <v>1.2938000000000001</v>
          </cell>
          <cell r="D29">
            <v>0.48</v>
          </cell>
        </row>
        <row r="30">
          <cell r="C30">
            <v>1.27335</v>
          </cell>
          <cell r="D30">
            <v>0.48</v>
          </cell>
        </row>
        <row r="31">
          <cell r="C31">
            <v>1.3000499999999999</v>
          </cell>
          <cell r="D31">
            <v>0.443</v>
          </cell>
        </row>
        <row r="32">
          <cell r="C32">
            <v>1.31796</v>
          </cell>
          <cell r="D32">
            <v>0.443</v>
          </cell>
        </row>
        <row r="33">
          <cell r="C33">
            <v>0.88285999999999998</v>
          </cell>
          <cell r="D33">
            <v>0.253</v>
          </cell>
        </row>
        <row r="34">
          <cell r="C34">
            <v>0.86829999999999996</v>
          </cell>
          <cell r="D34">
            <v>0.253</v>
          </cell>
        </row>
      </sheetData>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 val="Table 2"/>
      <sheetName val="Table 3"/>
      <sheetName val="Table 4"/>
      <sheetName val="Contours"/>
      <sheetName val="Isobars"/>
    </sheetNames>
    <sheetDataSet>
      <sheetData sheetId="0" refreshError="1"/>
      <sheetData sheetId="1" refreshError="1"/>
      <sheetData sheetId="2">
        <row r="3">
          <cell r="B3">
            <v>1</v>
          </cell>
        </row>
      </sheetData>
      <sheetData sheetId="3">
        <row r="5">
          <cell r="N5">
            <v>1127.2727272727273</v>
          </cell>
        </row>
      </sheetData>
      <sheetData sheetId="4" refreshError="1"/>
      <sheetData sheetId="5">
        <row r="2">
          <cell r="A2">
            <v>2.2386718750000032</v>
          </cell>
          <cell r="B2">
            <v>0</v>
          </cell>
          <cell r="K2">
            <v>3.2257812499999994</v>
          </cell>
          <cell r="L2">
            <v>0</v>
          </cell>
        </row>
        <row r="3">
          <cell r="A3">
            <v>2.1914062500000036</v>
          </cell>
          <cell r="B3">
            <v>9.189453125</v>
          </cell>
          <cell r="K3">
            <v>3.1515624999999998</v>
          </cell>
          <cell r="L3">
            <v>18.703125</v>
          </cell>
        </row>
        <row r="4">
          <cell r="A4">
            <v>2.1433593750000037</v>
          </cell>
          <cell r="B4">
            <v>18.37890625</v>
          </cell>
          <cell r="K4">
            <v>3.0765625000000001</v>
          </cell>
          <cell r="L4">
            <v>37.40625</v>
          </cell>
        </row>
        <row r="5">
          <cell r="A5">
            <v>2.0945312500000042</v>
          </cell>
          <cell r="B5">
            <v>27.568359375</v>
          </cell>
          <cell r="K5">
            <v>3.0007812500000006</v>
          </cell>
          <cell r="L5">
            <v>56.109375</v>
          </cell>
        </row>
        <row r="6">
          <cell r="A6">
            <v>2.0451171875000043</v>
          </cell>
          <cell r="B6">
            <v>36.7578125</v>
          </cell>
          <cell r="K6">
            <v>2.9238281250000013</v>
          </cell>
          <cell r="L6">
            <v>74.8125</v>
          </cell>
        </row>
        <row r="7">
          <cell r="A7">
            <v>1.9947265625000044</v>
          </cell>
          <cell r="B7">
            <v>45.947265625</v>
          </cell>
          <cell r="K7">
            <v>2.8457031250000018</v>
          </cell>
          <cell r="L7">
            <v>93.515625</v>
          </cell>
        </row>
        <row r="8">
          <cell r="A8">
            <v>1.9433593750000044</v>
          </cell>
          <cell r="B8">
            <v>55.13671875</v>
          </cell>
          <cell r="K8">
            <v>2.7664062500000024</v>
          </cell>
          <cell r="L8">
            <v>112.21875</v>
          </cell>
        </row>
        <row r="9">
          <cell r="A9">
            <v>1.8910156250000048</v>
          </cell>
          <cell r="B9">
            <v>64.326171875</v>
          </cell>
          <cell r="K9">
            <v>2.6863281250000033</v>
          </cell>
          <cell r="L9">
            <v>130.921875</v>
          </cell>
        </row>
        <row r="10">
          <cell r="A10">
            <v>1.8375000000000048</v>
          </cell>
          <cell r="B10">
            <v>73.515625</v>
          </cell>
          <cell r="K10">
            <v>2.6042968750000037</v>
          </cell>
          <cell r="L10">
            <v>149.625</v>
          </cell>
        </row>
        <row r="11">
          <cell r="A11">
            <v>1.782812500000005</v>
          </cell>
          <cell r="B11">
            <v>82.705078125</v>
          </cell>
          <cell r="K11">
            <v>2.521484375000004</v>
          </cell>
          <cell r="L11">
            <v>168.328125</v>
          </cell>
        </row>
        <row r="12">
          <cell r="A12">
            <v>1.7267578125000052</v>
          </cell>
          <cell r="B12">
            <v>91.89453125</v>
          </cell>
          <cell r="K12">
            <v>2.4363281250000046</v>
          </cell>
          <cell r="L12">
            <v>187.03125</v>
          </cell>
        </row>
        <row r="13">
          <cell r="A13">
            <v>1.6693359375000052</v>
          </cell>
          <cell r="B13">
            <v>101.083984375</v>
          </cell>
          <cell r="K13">
            <v>2.3496093750000053</v>
          </cell>
          <cell r="L13">
            <v>205.734375</v>
          </cell>
        </row>
        <row r="14">
          <cell r="A14">
            <v>1.6099609375000052</v>
          </cell>
          <cell r="B14">
            <v>110.2734375</v>
          </cell>
          <cell r="K14">
            <v>2.2609375000000056</v>
          </cell>
          <cell r="L14">
            <v>224.4375</v>
          </cell>
        </row>
        <row r="15">
          <cell r="A15">
            <v>1.5488281250000053</v>
          </cell>
          <cell r="B15">
            <v>119.462890625</v>
          </cell>
          <cell r="K15">
            <v>2.1695312500000061</v>
          </cell>
          <cell r="L15">
            <v>243.140625</v>
          </cell>
        </row>
        <row r="16">
          <cell r="A16">
            <v>1.4855468750000056</v>
          </cell>
          <cell r="B16">
            <v>128.65234375</v>
          </cell>
          <cell r="K16">
            <v>2.0757812500000066</v>
          </cell>
          <cell r="L16">
            <v>261.84375</v>
          </cell>
        </row>
        <row r="17">
          <cell r="A17">
            <v>1.4195312500000057</v>
          </cell>
          <cell r="B17">
            <v>137.841796875</v>
          </cell>
          <cell r="K17">
            <v>1.9789062500000068</v>
          </cell>
          <cell r="L17">
            <v>280.546875</v>
          </cell>
        </row>
        <row r="18">
          <cell r="A18">
            <v>1.3507812500000058</v>
          </cell>
          <cell r="B18">
            <v>147.03125</v>
          </cell>
          <cell r="K18">
            <v>1.8781250000000071</v>
          </cell>
          <cell r="L18">
            <v>299.25</v>
          </cell>
        </row>
        <row r="19">
          <cell r="A19">
            <v>1.2785156250000058</v>
          </cell>
          <cell r="B19">
            <v>156.220703125</v>
          </cell>
          <cell r="K19">
            <v>1.7734375000000075</v>
          </cell>
          <cell r="L19">
            <v>317.953125</v>
          </cell>
        </row>
        <row r="20">
          <cell r="A20">
            <v>1.2019531250000062</v>
          </cell>
          <cell r="B20">
            <v>165.41015625</v>
          </cell>
          <cell r="K20">
            <v>1.6632812500000078</v>
          </cell>
          <cell r="L20">
            <v>336.65625</v>
          </cell>
        </row>
        <row r="21">
          <cell r="A21">
            <v>1.1207031250000064</v>
          </cell>
          <cell r="B21">
            <v>174.599609375</v>
          </cell>
          <cell r="K21">
            <v>1.5468750000000082</v>
          </cell>
          <cell r="L21">
            <v>355.359375</v>
          </cell>
        </row>
        <row r="22">
          <cell r="A22">
            <v>1.0324218750000067</v>
          </cell>
          <cell r="B22">
            <v>183.7890625</v>
          </cell>
          <cell r="K22">
            <v>1.4218750000000087</v>
          </cell>
          <cell r="L22">
            <v>374.0625</v>
          </cell>
        </row>
        <row r="23">
          <cell r="A23">
            <v>0.93515625000000668</v>
          </cell>
          <cell r="B23">
            <v>192.978515625</v>
          </cell>
          <cell r="K23">
            <v>1.2851562500000091</v>
          </cell>
          <cell r="L23">
            <v>392.765625</v>
          </cell>
        </row>
        <row r="24">
          <cell r="A24">
            <v>0.82578125000000657</v>
          </cell>
          <cell r="B24">
            <v>202.16796875</v>
          </cell>
          <cell r="K24">
            <v>1.1328125000000098</v>
          </cell>
          <cell r="L24">
            <v>411.46875</v>
          </cell>
        </row>
        <row r="25">
          <cell r="A25">
            <v>0.69687500000000635</v>
          </cell>
          <cell r="B25">
            <v>211.357421875</v>
          </cell>
          <cell r="K25">
            <v>0.95546875000001008</v>
          </cell>
          <cell r="L25">
            <v>430.171875</v>
          </cell>
        </row>
        <row r="26">
          <cell r="A26">
            <v>0.49921875000000621</v>
          </cell>
          <cell r="B26">
            <v>220.546875</v>
          </cell>
          <cell r="K26">
            <v>0.73046875000000988</v>
          </cell>
          <cell r="L26">
            <v>448.875</v>
          </cell>
        </row>
        <row r="27">
          <cell r="A27">
            <v>0</v>
          </cell>
          <cell r="B27">
            <v>229.736328125</v>
          </cell>
          <cell r="K27">
            <v>0</v>
          </cell>
          <cell r="L27">
            <v>467.578125</v>
          </cell>
        </row>
        <row r="30">
          <cell r="A30">
            <v>4.0371093749999867</v>
          </cell>
          <cell r="B30">
            <v>0</v>
          </cell>
          <cell r="K30">
            <v>4.7617187499999964</v>
          </cell>
          <cell r="L30">
            <v>0</v>
          </cell>
        </row>
        <row r="31">
          <cell r="A31">
            <v>3.9386718749999865</v>
          </cell>
          <cell r="B31">
            <v>28.61328125</v>
          </cell>
          <cell r="K31">
            <v>4.6406249999999947</v>
          </cell>
          <cell r="L31">
            <v>38.9765625</v>
          </cell>
        </row>
        <row r="32">
          <cell r="A32">
            <v>3.839453124999987</v>
          </cell>
          <cell r="B32">
            <v>57.2265625</v>
          </cell>
          <cell r="K32">
            <v>4.5187499999999936</v>
          </cell>
          <cell r="L32">
            <v>77.953125</v>
          </cell>
        </row>
        <row r="33">
          <cell r="A33">
            <v>3.7390624999999877</v>
          </cell>
          <cell r="B33">
            <v>85.83984375</v>
          </cell>
          <cell r="K33">
            <v>4.3960937499999924</v>
          </cell>
          <cell r="L33">
            <v>116.9296875</v>
          </cell>
        </row>
        <row r="34">
          <cell r="A34">
            <v>3.6378906249999883</v>
          </cell>
          <cell r="B34">
            <v>114.453125</v>
          </cell>
          <cell r="K34">
            <v>4.2718749999999908</v>
          </cell>
          <cell r="L34">
            <v>155.90625</v>
          </cell>
        </row>
        <row r="35">
          <cell r="A35">
            <v>3.535546874999989</v>
          </cell>
          <cell r="B35">
            <v>143.06640625</v>
          </cell>
          <cell r="K35">
            <v>4.146874999999989</v>
          </cell>
          <cell r="L35">
            <v>194.8828125</v>
          </cell>
        </row>
        <row r="36">
          <cell r="A36">
            <v>3.4316406249999898</v>
          </cell>
          <cell r="B36">
            <v>171.6796875</v>
          </cell>
          <cell r="K36">
            <v>4.0203124999999869</v>
          </cell>
          <cell r="L36">
            <v>233.859375</v>
          </cell>
        </row>
        <row r="37">
          <cell r="A37">
            <v>3.3269531249999904</v>
          </cell>
          <cell r="B37">
            <v>200.29296875</v>
          </cell>
          <cell r="K37">
            <v>3.8921874999999875</v>
          </cell>
          <cell r="L37">
            <v>272.8359375</v>
          </cell>
        </row>
        <row r="38">
          <cell r="A38">
            <v>3.220312499999991</v>
          </cell>
          <cell r="B38">
            <v>228.90625</v>
          </cell>
          <cell r="K38">
            <v>3.7624999999999882</v>
          </cell>
          <cell r="L38">
            <v>311.8125</v>
          </cell>
        </row>
        <row r="39">
          <cell r="A39">
            <v>3.1121093749999917</v>
          </cell>
          <cell r="B39">
            <v>257.51953125</v>
          </cell>
          <cell r="K39">
            <v>3.631249999999989</v>
          </cell>
          <cell r="L39">
            <v>350.7890625</v>
          </cell>
        </row>
        <row r="40">
          <cell r="A40">
            <v>3.0019531249999925</v>
          </cell>
          <cell r="B40">
            <v>286.1328125</v>
          </cell>
          <cell r="K40">
            <v>3.4976562499999897</v>
          </cell>
          <cell r="L40">
            <v>389.765625</v>
          </cell>
        </row>
        <row r="41">
          <cell r="A41">
            <v>2.8898437499999932</v>
          </cell>
          <cell r="B41">
            <v>314.74609375</v>
          </cell>
          <cell r="K41">
            <v>3.3624999999999905</v>
          </cell>
          <cell r="L41">
            <v>428.7421875</v>
          </cell>
        </row>
        <row r="42">
          <cell r="A42">
            <v>2.7757812499999934</v>
          </cell>
          <cell r="B42">
            <v>343.359375</v>
          </cell>
          <cell r="K42">
            <v>3.224218749999991</v>
          </cell>
          <cell r="L42">
            <v>467.71875</v>
          </cell>
        </row>
        <row r="43">
          <cell r="A43">
            <v>2.6585937499999939</v>
          </cell>
          <cell r="B43">
            <v>371.97265625</v>
          </cell>
          <cell r="K43">
            <v>3.0835937499999915</v>
          </cell>
          <cell r="L43">
            <v>506.6953125</v>
          </cell>
        </row>
        <row r="44">
          <cell r="A44">
            <v>2.538281249999994</v>
          </cell>
          <cell r="B44">
            <v>400.5859375</v>
          </cell>
          <cell r="K44">
            <v>2.9390624999999919</v>
          </cell>
          <cell r="L44">
            <v>545.671875</v>
          </cell>
        </row>
        <row r="45">
          <cell r="A45">
            <v>2.4148437499999944</v>
          </cell>
          <cell r="B45">
            <v>429.19921875</v>
          </cell>
          <cell r="K45">
            <v>2.7914062499999925</v>
          </cell>
          <cell r="L45">
            <v>584.6484375</v>
          </cell>
        </row>
        <row r="46">
          <cell r="A46">
            <v>2.2874999999999952</v>
          </cell>
          <cell r="B46">
            <v>457.8125</v>
          </cell>
          <cell r="K46">
            <v>2.6390624999999934</v>
          </cell>
          <cell r="L46">
            <v>623.625</v>
          </cell>
        </row>
        <row r="47">
          <cell r="A47">
            <v>2.1550781249999957</v>
          </cell>
          <cell r="B47">
            <v>486.42578125</v>
          </cell>
          <cell r="K47">
            <v>2.4820312499999941</v>
          </cell>
          <cell r="L47">
            <v>662.6015625</v>
          </cell>
        </row>
        <row r="48">
          <cell r="A48">
            <v>2.0167968749999963</v>
          </cell>
          <cell r="B48">
            <v>515.0390625</v>
          </cell>
          <cell r="K48">
            <v>2.3179687499999946</v>
          </cell>
          <cell r="L48">
            <v>701.578125</v>
          </cell>
        </row>
        <row r="49">
          <cell r="A49">
            <v>1.8714843749999968</v>
          </cell>
          <cell r="B49">
            <v>543.65234375</v>
          </cell>
          <cell r="K49">
            <v>2.146093749999995</v>
          </cell>
          <cell r="L49">
            <v>740.5546875</v>
          </cell>
        </row>
        <row r="50">
          <cell r="A50">
            <v>1.7160156249999974</v>
          </cell>
          <cell r="B50">
            <v>572.265625</v>
          </cell>
          <cell r="K50">
            <v>1.9648437499999956</v>
          </cell>
          <cell r="L50">
            <v>779.53125</v>
          </cell>
        </row>
        <row r="51">
          <cell r="A51">
            <v>1.548046874999998</v>
          </cell>
          <cell r="B51">
            <v>600.87890625</v>
          </cell>
          <cell r="K51">
            <v>1.7687499999999963</v>
          </cell>
          <cell r="L51">
            <v>818.5078125</v>
          </cell>
        </row>
        <row r="52">
          <cell r="A52">
            <v>1.3621093749999986</v>
          </cell>
          <cell r="B52">
            <v>629.4921875</v>
          </cell>
          <cell r="K52">
            <v>1.553124999999997</v>
          </cell>
          <cell r="L52">
            <v>857.484375</v>
          </cell>
        </row>
        <row r="53">
          <cell r="A53">
            <v>1.1472656249999995</v>
          </cell>
          <cell r="B53">
            <v>658.10546875</v>
          </cell>
          <cell r="K53">
            <v>1.3046874999999978</v>
          </cell>
          <cell r="L53">
            <v>896.4609375</v>
          </cell>
        </row>
        <row r="54">
          <cell r="A54">
            <v>0.87695312499999989</v>
          </cell>
          <cell r="B54">
            <v>686.71875</v>
          </cell>
          <cell r="K54">
            <v>0.99687499999999896</v>
          </cell>
          <cell r="L54">
            <v>935.4375</v>
          </cell>
        </row>
        <row r="55">
          <cell r="A55">
            <v>0</v>
          </cell>
          <cell r="B55">
            <v>715.33203125</v>
          </cell>
          <cell r="K55">
            <v>0</v>
          </cell>
          <cell r="L55">
            <v>974.4140625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62A12-93D6-4AA9-B7EA-C2AE69637C1D}">
  <sheetPr>
    <pageSetUpPr fitToPage="1"/>
  </sheetPr>
  <dimension ref="A1:AI100"/>
  <sheetViews>
    <sheetView tabSelected="1" topLeftCell="A49" workbookViewId="0">
      <selection activeCell="D56" sqref="D56"/>
    </sheetView>
  </sheetViews>
  <sheetFormatPr defaultColWidth="12.453125" defaultRowHeight="13.5"/>
  <cols>
    <col min="1" max="1" width="23.453125" style="36" bestFit="1" customWidth="1"/>
    <col min="2" max="2" width="12.453125" style="35" customWidth="1"/>
    <col min="3" max="3" width="12.453125" style="33" customWidth="1"/>
    <col min="4" max="4" width="12.453125" style="30" customWidth="1"/>
    <col min="5" max="5" width="12.453125" style="33" customWidth="1"/>
    <col min="6" max="6" width="12.453125" style="32" customWidth="1"/>
    <col min="7" max="7" width="2.6328125" style="31" customWidth="1"/>
    <col min="8" max="8" width="15.08984375" style="33" customWidth="1"/>
    <col min="9" max="9" width="13.81640625" style="58" customWidth="1"/>
    <col min="10" max="10" width="2.36328125" style="34" customWidth="1"/>
    <col min="11" max="14" width="12.453125" style="30" customWidth="1"/>
    <col min="15" max="15" width="14.453125" style="50" customWidth="1"/>
    <col min="16" max="16" width="13.81640625" style="31" customWidth="1"/>
    <col min="17" max="17" width="19.453125" style="31" customWidth="1"/>
    <col min="18" max="18" width="25.08984375" style="98" customWidth="1"/>
    <col min="19" max="19" width="15.81640625" style="31" customWidth="1"/>
    <col min="20" max="21" width="16.81640625" style="31" customWidth="1"/>
    <col min="22" max="22" width="21.36328125" style="98" customWidth="1"/>
    <col min="23" max="23" width="2.36328125" style="31" customWidth="1"/>
    <col min="24" max="24" width="10.6328125" style="33" customWidth="1"/>
    <col min="25" max="25" width="16.453125" style="32" customWidth="1"/>
    <col min="26" max="28" width="12.453125" style="31" customWidth="1"/>
    <col min="29" max="29" width="12.453125" style="31"/>
    <col min="30" max="30" width="13.36328125" style="31" bestFit="1" customWidth="1"/>
    <col min="31" max="35" width="12.453125" style="31"/>
    <col min="36" max="16384" width="12.453125" style="30"/>
  </cols>
  <sheetData>
    <row r="1" spans="1:35" s="89" customFormat="1" ht="58.5" customHeight="1">
      <c r="A1" s="80" t="s">
        <v>214</v>
      </c>
      <c r="B1" s="81" t="s">
        <v>215</v>
      </c>
      <c r="C1" s="82" t="s">
        <v>216</v>
      </c>
      <c r="D1" s="81" t="s">
        <v>222</v>
      </c>
      <c r="E1" s="82" t="s">
        <v>221</v>
      </c>
      <c r="F1" s="85" t="s">
        <v>220</v>
      </c>
      <c r="G1" s="86"/>
      <c r="H1" s="90" t="s">
        <v>224</v>
      </c>
      <c r="I1" s="83" t="s">
        <v>225</v>
      </c>
      <c r="J1" s="87"/>
      <c r="K1" s="83" t="s">
        <v>218</v>
      </c>
      <c r="L1" s="83" t="s">
        <v>217</v>
      </c>
      <c r="M1" s="83" t="s">
        <v>223</v>
      </c>
      <c r="N1" s="83" t="s">
        <v>219</v>
      </c>
      <c r="O1" s="85" t="s">
        <v>226</v>
      </c>
      <c r="P1" s="93" t="s">
        <v>227</v>
      </c>
      <c r="Q1" s="83" t="s">
        <v>228</v>
      </c>
      <c r="R1" s="97" t="s">
        <v>229</v>
      </c>
      <c r="S1" s="83" t="s">
        <v>230</v>
      </c>
      <c r="T1" s="83" t="s">
        <v>231</v>
      </c>
      <c r="U1" s="83" t="s">
        <v>232</v>
      </c>
      <c r="V1" s="97" t="s">
        <v>233</v>
      </c>
      <c r="W1" s="86"/>
      <c r="X1" s="94" t="s">
        <v>234</v>
      </c>
      <c r="Y1" s="84" t="s">
        <v>235</v>
      </c>
      <c r="Z1" s="95" t="s">
        <v>236</v>
      </c>
      <c r="AA1" s="83" t="s">
        <v>237</v>
      </c>
      <c r="AB1" s="83" t="s">
        <v>238</v>
      </c>
      <c r="AC1" s="86" t="s">
        <v>244</v>
      </c>
      <c r="AD1" s="88" t="s">
        <v>245</v>
      </c>
      <c r="AE1" s="88" t="s">
        <v>246</v>
      </c>
      <c r="AF1" s="88" t="s">
        <v>247</v>
      </c>
      <c r="AG1" s="88"/>
      <c r="AH1" s="88"/>
      <c r="AI1" s="88"/>
    </row>
    <row r="2" spans="1:35">
      <c r="A2" s="58" t="s">
        <v>40</v>
      </c>
      <c r="B2" s="58">
        <v>5.3</v>
      </c>
      <c r="C2" s="57">
        <v>189.64937585000001</v>
      </c>
      <c r="D2" s="56">
        <v>6.718669029</v>
      </c>
      <c r="E2" s="54">
        <v>4.0558199359999998</v>
      </c>
      <c r="F2" s="55">
        <v>1.9726566439999999E-2</v>
      </c>
      <c r="H2" s="54">
        <v>3.5285346595628653E-2</v>
      </c>
      <c r="I2" s="91">
        <f>0.19*H2</f>
        <v>6.7042158531694443E-3</v>
      </c>
      <c r="J2" s="53"/>
      <c r="K2" s="51">
        <v>56</v>
      </c>
      <c r="L2" s="51">
        <v>47.3</v>
      </c>
      <c r="M2" s="51">
        <v>14.5</v>
      </c>
      <c r="N2" s="51">
        <v>14.6</v>
      </c>
      <c r="O2" s="92">
        <v>0.5</v>
      </c>
      <c r="Q2" s="31">
        <f>(4/3)*3.14*(((M2+N2)/4)^3)/((10^4)^3)</f>
        <v>1.6120086862499999E-9</v>
      </c>
      <c r="R2" s="98">
        <f>Q2*H2</f>
        <v>5.688028520949525E-11</v>
      </c>
      <c r="S2" s="31">
        <f>(4/3)*3.14*((K2/2)*(L2/2)*(L2/2))/((10^4)^3)</f>
        <v>6.5567512266666656E-8</v>
      </c>
      <c r="T2" s="31">
        <f>S2-Q2</f>
        <v>6.3955503580416652E-8</v>
      </c>
      <c r="U2" s="31">
        <f>T2*2.75</f>
        <v>1.7587763484614579E-7</v>
      </c>
      <c r="V2" s="98">
        <f>U2*C2*(10^-6)</f>
        <v>3.3355083674545763E-11</v>
      </c>
      <c r="X2" s="42">
        <f>R2/(R2+V2)</f>
        <v>0.63035465929762569</v>
      </c>
      <c r="Y2" s="38">
        <f>C2*(1/(1-X2))</f>
        <v>513.05766627449293</v>
      </c>
      <c r="AA2" s="41">
        <f>Y4-Y2</f>
        <v>45.504426903689364</v>
      </c>
      <c r="AB2" s="41">
        <f>Y2-Y3</f>
        <v>163.71720417892271</v>
      </c>
      <c r="AC2" s="31">
        <f>Q2/S2</f>
        <v>2.4585478852604207E-2</v>
      </c>
      <c r="AD2" s="31">
        <f>(10^6*Q2*H2)/(2.75*(S2-Q2))</f>
        <v>323.40829042449298</v>
      </c>
      <c r="AE2" s="41">
        <f>C2+AD2</f>
        <v>513.05766627449293</v>
      </c>
      <c r="AF2" s="31">
        <f>AD2/(AD2+C2)</f>
        <v>0.6303546592976258</v>
      </c>
    </row>
    <row r="3" spans="1:35" ht="14.5">
      <c r="A3" s="58"/>
      <c r="B3" s="58"/>
      <c r="C3" s="57"/>
      <c r="D3" s="56"/>
      <c r="E3" s="54"/>
      <c r="F3" s="55"/>
      <c r="H3" s="54"/>
      <c r="I3" s="91"/>
      <c r="J3" s="53"/>
      <c r="K3" s="51"/>
      <c r="L3" s="51"/>
      <c r="M3" s="51"/>
      <c r="N3" s="51"/>
      <c r="P3" s="40" t="s">
        <v>37</v>
      </c>
      <c r="Q3" s="31">
        <f>(4/3)*3.14*((((M2-O2)+(N2-O2))/4)^3)/((10^4)^3)</f>
        <v>1.4514676820833335E-9</v>
      </c>
      <c r="R3" s="98">
        <f>Q3*(H2-I2)</f>
        <v>4.1484587590077975E-11</v>
      </c>
      <c r="S3" s="31">
        <f>(4/3)*3.14*(((K2+O2)/2)*((K2+O2)/2)*((L2+O2)/2))/((10^4)^3)</f>
        <v>7.9855197833333324E-8</v>
      </c>
      <c r="T3" s="31">
        <f>S3-Q3</f>
        <v>7.8403730151249993E-8</v>
      </c>
      <c r="U3" s="31">
        <f>T3*3.2</f>
        <v>2.50891936484E-7</v>
      </c>
      <c r="V3" s="98">
        <f>U3*(C2+D2)*(10^-6)</f>
        <v>4.926715904326933E-11</v>
      </c>
      <c r="X3" s="39">
        <f>R3/(R3+V3)</f>
        <v>0.45712164370436698</v>
      </c>
      <c r="Y3" s="38">
        <f>C2*(1/(1-X3))</f>
        <v>349.34046209557022</v>
      </c>
      <c r="AD3" s="31">
        <f t="shared" ref="AD3:AD4" si="0">(10^6*Q3*AC3)/(2.75*(S3-R3))</f>
        <v>0</v>
      </c>
    </row>
    <row r="4" spans="1:35" ht="14.5">
      <c r="A4" s="58"/>
      <c r="B4" s="58"/>
      <c r="C4" s="57"/>
      <c r="D4" s="56"/>
      <c r="E4" s="54"/>
      <c r="F4" s="55"/>
      <c r="H4" s="54"/>
      <c r="I4" s="91"/>
      <c r="J4" s="53"/>
      <c r="K4" s="51"/>
      <c r="L4" s="51"/>
      <c r="M4" s="51"/>
      <c r="N4" s="51"/>
      <c r="P4" s="40" t="s">
        <v>36</v>
      </c>
      <c r="Q4" s="31">
        <f>(4/3)*3.14*((((M2+O2)+(N2+O2))/4)^3)/((10^4)^3)</f>
        <v>1.783971440416667E-9</v>
      </c>
      <c r="R4" s="98">
        <f>Q3*(H2+I2)</f>
        <v>6.094649287925035E-11</v>
      </c>
      <c r="S4" s="31">
        <f>(4/3)*3.14*(((K2-O2)/2)*((L2-O2)/2)*((L2-O2)/2))/((10^4)^3)</f>
        <v>6.3615520799999985E-8</v>
      </c>
      <c r="T4" s="31">
        <f>S4-Q4</f>
        <v>6.1831549359583313E-8</v>
      </c>
      <c r="U4" s="31">
        <f>T4*2.77</f>
        <v>1.7127339172604577E-7</v>
      </c>
      <c r="V4" s="98">
        <f>U4*(C2-D2)*(10^-6)</f>
        <v>3.1331162608075566E-11</v>
      </c>
      <c r="X4" s="39">
        <f>R4/(R4+V4)</f>
        <v>0.6604685886023749</v>
      </c>
      <c r="Y4" s="38">
        <f>C2*(1/(1-X4))</f>
        <v>558.56209317818229</v>
      </c>
      <c r="Z4" s="37">
        <f>(Y4-Y3)/Y2</f>
        <v>0.40779359677412091</v>
      </c>
      <c r="AD4" s="31">
        <f t="shared" si="0"/>
        <v>0</v>
      </c>
    </row>
    <row r="5" spans="1:35" ht="14.5">
      <c r="A5" s="58"/>
      <c r="B5" s="58"/>
      <c r="C5" s="57"/>
      <c r="D5" s="56"/>
      <c r="E5" s="54"/>
      <c r="F5" s="55"/>
      <c r="H5" s="54"/>
      <c r="I5" s="91"/>
      <c r="J5" s="53"/>
      <c r="K5" s="51"/>
      <c r="L5" s="51"/>
      <c r="M5" s="51"/>
      <c r="N5" s="51"/>
      <c r="P5" s="40"/>
      <c r="X5" s="39"/>
      <c r="Y5" s="38"/>
    </row>
    <row r="6" spans="1:35">
      <c r="A6" s="58" t="s">
        <v>40</v>
      </c>
      <c r="B6" s="58">
        <v>9.1999999999999993</v>
      </c>
      <c r="C6" s="57">
        <v>504.15231849999998</v>
      </c>
      <c r="D6" s="56">
        <v>11.549215591999999</v>
      </c>
      <c r="E6" s="54">
        <v>4.3940218</v>
      </c>
      <c r="F6" s="55">
        <v>2.2599352440000001E-2</v>
      </c>
      <c r="H6" s="54">
        <v>0.12193329139699927</v>
      </c>
      <c r="I6" s="91">
        <f>0.19*H6</f>
        <v>2.3167325365429862E-2</v>
      </c>
      <c r="J6" s="53"/>
      <c r="K6" s="51">
        <v>98</v>
      </c>
      <c r="L6" s="51">
        <v>82</v>
      </c>
      <c r="M6" s="51">
        <v>25.1</v>
      </c>
      <c r="N6" s="51">
        <v>26.4</v>
      </c>
      <c r="O6" s="92">
        <v>0.5</v>
      </c>
      <c r="Q6" s="31">
        <f>(4/3)*3.14*(((M6+N6)/4)^3)/((10^4)^3)</f>
        <v>8.9353197395833315E-9</v>
      </c>
      <c r="R6" s="98">
        <f>Q6*H6</f>
        <v>1.089512945531974E-9</v>
      </c>
      <c r="S6" s="31">
        <f>(4/3)*3.14*((K6/2)*(L6/2)*(L6/2))/((10^4)^3)</f>
        <v>3.4485154666666662E-7</v>
      </c>
      <c r="T6" s="31">
        <f>S6-Q6</f>
        <v>3.3591622692708331E-7</v>
      </c>
      <c r="U6" s="31">
        <f>T6*2.75</f>
        <v>9.2376962404947909E-7</v>
      </c>
      <c r="V6" s="98">
        <f>U6*C6*(10^-6)</f>
        <v>4.6572059772441818E-10</v>
      </c>
      <c r="X6" s="42">
        <f>R6/(R6+V6)</f>
        <v>0.70054619787245642</v>
      </c>
      <c r="Y6" s="38">
        <f>C6*(1/(1-X6))</f>
        <v>1683.5729415292951</v>
      </c>
      <c r="AA6" s="41">
        <f>Y8-Y6</f>
        <v>191.52682440790181</v>
      </c>
      <c r="AB6" s="41">
        <f>Y6-Y7</f>
        <v>560.11926476463941</v>
      </c>
    </row>
    <row r="7" spans="1:35" ht="14.5">
      <c r="A7" s="58"/>
      <c r="B7" s="58"/>
      <c r="C7" s="57"/>
      <c r="D7" s="56"/>
      <c r="E7" s="54"/>
      <c r="F7" s="55"/>
      <c r="H7" s="54"/>
      <c r="I7" s="91"/>
      <c r="J7" s="53"/>
      <c r="K7" s="51"/>
      <c r="L7" s="51"/>
      <c r="M7" s="51"/>
      <c r="N7" s="51"/>
      <c r="O7" s="92"/>
      <c r="P7" s="40" t="s">
        <v>37</v>
      </c>
      <c r="Q7" s="31">
        <f>(4/3)*3.14*((((M6-O6)+(N6-O6))/4)^3)/((10^4)^3)</f>
        <v>8.4248571354166678E-9</v>
      </c>
      <c r="R7" s="98">
        <f>Q7*(H6-I6)</f>
        <v>8.3208915365738767E-10</v>
      </c>
      <c r="S7" s="31">
        <f>(4/3)*3.14*(((K6+O6)/2)*((K6+O6)/2)*((L6+O6)/2))/((10^4)^3)</f>
        <v>4.1889464375E-7</v>
      </c>
      <c r="T7" s="31">
        <f>S7-Q7</f>
        <v>4.1046978661458335E-7</v>
      </c>
      <c r="U7" s="31">
        <f>T7*3.2</f>
        <v>1.3135033171666667E-6</v>
      </c>
      <c r="V7" s="98">
        <f>U7*(C6+D6)*(10^-6)</f>
        <v>6.7737567569778078E-10</v>
      </c>
      <c r="X7" s="39">
        <f>R7/(R7+V7)</f>
        <v>0.55124779158508086</v>
      </c>
      <c r="Y7" s="38">
        <f>C6*(1/(1-X7))</f>
        <v>1123.4536767646557</v>
      </c>
    </row>
    <row r="8" spans="1:35" ht="14.5">
      <c r="A8" s="58"/>
      <c r="B8" s="58"/>
      <c r="C8" s="57"/>
      <c r="D8" s="56"/>
      <c r="E8" s="54"/>
      <c r="F8" s="55"/>
      <c r="H8" s="54"/>
      <c r="I8" s="91"/>
      <c r="J8" s="53"/>
      <c r="K8" s="51"/>
      <c r="L8" s="51"/>
      <c r="M8" s="51"/>
      <c r="N8" s="51"/>
      <c r="O8" s="92"/>
      <c r="P8" s="40" t="s">
        <v>36</v>
      </c>
      <c r="Q8" s="31">
        <f>(4/3)*3.14*((((M6+O6)+(N6+O6))/4)^3)/((10^4)^3)</f>
        <v>9.4659960937499993E-9</v>
      </c>
      <c r="R8" s="98">
        <f>Q7*(H6+I6)</f>
        <v>1.2224519664843105E-9</v>
      </c>
      <c r="S8" s="31">
        <f>(4/3)*3.14*(((K6-O6)/2)*((L6-O6)/2)*((L6-O6)/2))/((10^4)^3)</f>
        <v>3.3892080624999995E-7</v>
      </c>
      <c r="T8" s="31">
        <f>S8-Q8</f>
        <v>3.2945481015624995E-7</v>
      </c>
      <c r="U8" s="31">
        <f>T8*2.77</f>
        <v>9.1258982413281232E-7</v>
      </c>
      <c r="V8" s="98">
        <f>U8*(C6-D6)*(10^-6)</f>
        <v>4.4954457905008932E-10</v>
      </c>
      <c r="X8" s="39">
        <f>R8/(R8+V8)</f>
        <v>0.73113306947269618</v>
      </c>
      <c r="Y8" s="38">
        <f>C6*(1/(1-X8))</f>
        <v>1875.0997659371969</v>
      </c>
      <c r="Z8" s="37">
        <f>(Y8-Y7)/Y6</f>
        <v>0.4464588795836632</v>
      </c>
    </row>
    <row r="9" spans="1:35" ht="14.5">
      <c r="A9" s="58"/>
      <c r="B9" s="58"/>
      <c r="C9" s="57"/>
      <c r="D9" s="56"/>
      <c r="E9" s="54"/>
      <c r="F9" s="55"/>
      <c r="H9" s="54"/>
      <c r="I9" s="91"/>
      <c r="J9" s="53"/>
      <c r="K9" s="51"/>
      <c r="L9" s="51"/>
      <c r="M9" s="51"/>
      <c r="N9" s="51"/>
      <c r="O9" s="92"/>
      <c r="P9" s="40"/>
      <c r="X9" s="39"/>
      <c r="Y9" s="38"/>
      <c r="Z9" s="37"/>
    </row>
    <row r="10" spans="1:35">
      <c r="A10" s="58" t="s">
        <v>40</v>
      </c>
      <c r="B10" s="58">
        <v>11.1</v>
      </c>
      <c r="C10" s="57">
        <v>513.97129319999999</v>
      </c>
      <c r="D10" s="56">
        <v>6.9514811899999991</v>
      </c>
      <c r="E10" s="54">
        <v>4.3119352920000003</v>
      </c>
      <c r="F10" s="55">
        <v>4.0657988560000004E-2</v>
      </c>
      <c r="H10" s="54">
        <v>0.15110304026893573</v>
      </c>
      <c r="I10" s="91">
        <f>0.19*H10</f>
        <v>2.870957765109779E-2</v>
      </c>
      <c r="J10" s="53"/>
      <c r="K10" s="51">
        <v>104.7</v>
      </c>
      <c r="L10" s="51">
        <v>85.69</v>
      </c>
      <c r="M10" s="51">
        <v>32</v>
      </c>
      <c r="N10" s="51">
        <v>26.2</v>
      </c>
      <c r="O10" s="50">
        <v>0.5</v>
      </c>
      <c r="Q10" s="31">
        <f>(4/3)*3.14*(((M10+N10)/4)^3)/((10^4)^3)</f>
        <v>1.2896069489999999E-8</v>
      </c>
      <c r="R10" s="98">
        <f>Q10*H10</f>
        <v>1.9486353074584632E-9</v>
      </c>
      <c r="S10" s="31">
        <f>(4/3)*3.14*((K10/2)*(L10/2)*(L10/2))/((10^4)^3)</f>
        <v>4.0233273084729995E-7</v>
      </c>
      <c r="T10" s="31">
        <f>S10-Q10</f>
        <v>3.8943666135729997E-7</v>
      </c>
      <c r="U10" s="31">
        <f>T10*2.75</f>
        <v>1.070950818732575E-6</v>
      </c>
      <c r="V10" s="98">
        <f>U10*C10*(10^-6)</f>
        <v>5.504379772575803E-10</v>
      </c>
      <c r="X10" s="42">
        <f>R10/(R10+V10)</f>
        <v>0.77974316294605028</v>
      </c>
      <c r="Y10" s="38">
        <f>C10*(1/(1-X10))</f>
        <v>2333.5089165659265</v>
      </c>
      <c r="AA10" s="41">
        <f>Y12-Y10</f>
        <v>288.42530894875017</v>
      </c>
      <c r="AB10" s="41">
        <f>Y10-Y11</f>
        <v>870.75357364362162</v>
      </c>
    </row>
    <row r="11" spans="1:35" ht="14.5">
      <c r="A11" s="58"/>
      <c r="B11" s="58"/>
      <c r="C11" s="57"/>
      <c r="D11" s="56"/>
      <c r="E11" s="54"/>
      <c r="F11" s="55"/>
      <c r="H11" s="54"/>
      <c r="I11" s="91"/>
      <c r="J11" s="53"/>
      <c r="K11" s="51"/>
      <c r="L11" s="51"/>
      <c r="M11" s="51"/>
      <c r="N11" s="51"/>
      <c r="P11" s="40" t="s">
        <v>37</v>
      </c>
      <c r="Q11" s="31">
        <f>(4/3)*3.14*((((M10-O10)+(N10-O10))/4)^3)/((10^4)^3)</f>
        <v>1.2242679973333333E-8</v>
      </c>
      <c r="R11" s="98">
        <f>Q11*(H10-I10)</f>
        <v>1.4984239936583265E-9</v>
      </c>
      <c r="S11" s="31">
        <f>(4/3)*3.14*(((K10+O10)/2)*((K10+O10)/2)*((L10+O10)/2))/((10^4)^3)</f>
        <v>4.9919101294400004E-7</v>
      </c>
      <c r="T11" s="31">
        <f>S11-Q11</f>
        <v>4.8694833297066666E-7</v>
      </c>
      <c r="U11" s="31">
        <f>T11*3.2</f>
        <v>1.5582346655061333E-6</v>
      </c>
      <c r="V11" s="98">
        <f>U11*(C10+D10)*(10^-6)</f>
        <v>8.1171992510612856E-10</v>
      </c>
      <c r="X11" s="39">
        <f>R11/(R11+V11)</f>
        <v>0.64862798438104907</v>
      </c>
      <c r="Y11" s="38">
        <f>C10*(1/(1-X11))</f>
        <v>1462.7553429223049</v>
      </c>
    </row>
    <row r="12" spans="1:35" ht="14.5">
      <c r="A12" s="58"/>
      <c r="B12" s="58"/>
      <c r="C12" s="57"/>
      <c r="D12" s="56"/>
      <c r="E12" s="54"/>
      <c r="F12" s="55"/>
      <c r="H12" s="54"/>
      <c r="I12" s="91"/>
      <c r="J12" s="53"/>
      <c r="K12" s="51"/>
      <c r="L12" s="51"/>
      <c r="M12" s="51"/>
      <c r="N12" s="51"/>
      <c r="P12" s="40" t="s">
        <v>36</v>
      </c>
      <c r="Q12" s="31">
        <f>(4/3)*3.14*((((M10+O10)+(N10+O10))/4)^3)/((10^4)^3)</f>
        <v>1.3572302506666668E-8</v>
      </c>
      <c r="R12" s="98">
        <f>Q11*(H10+I10)</f>
        <v>2.201388336362233E-9</v>
      </c>
      <c r="S12" s="31">
        <f>(4/3)*3.14*(((K10-O10)/2)*((L10-O10)/2)*((L10-O10)/2))/((10^4)^3)</f>
        <v>3.9575221398113336E-7</v>
      </c>
      <c r="T12" s="31">
        <f>S12-Q12</f>
        <v>3.8217991147446672E-7</v>
      </c>
      <c r="U12" s="31">
        <f>T12*2.77</f>
        <v>1.0586383547842728E-6</v>
      </c>
      <c r="V12" s="98">
        <f>U12*(C10-D10)*(10^-6)</f>
        <v>5.3675061962929767E-10</v>
      </c>
      <c r="X12" s="39">
        <f>R12/(R12+V12)</f>
        <v>0.80397246879863693</v>
      </c>
      <c r="Y12" s="38">
        <f>C10*(1/(1-X12))</f>
        <v>2621.9342255146767</v>
      </c>
      <c r="Z12" s="37">
        <f>(Y12-Y11)/Y10</f>
        <v>0.49675356899782497</v>
      </c>
    </row>
    <row r="13" spans="1:35" ht="14.5">
      <c r="A13" s="58"/>
      <c r="B13" s="58"/>
      <c r="C13" s="57"/>
      <c r="D13" s="56"/>
      <c r="E13" s="54"/>
      <c r="F13" s="55"/>
      <c r="H13" s="54"/>
      <c r="I13" s="91"/>
      <c r="J13" s="53"/>
      <c r="K13" s="51"/>
      <c r="L13" s="51"/>
      <c r="M13" s="51"/>
      <c r="N13" s="51"/>
      <c r="P13" s="40"/>
      <c r="X13" s="39"/>
      <c r="Y13" s="38"/>
      <c r="Z13" s="37"/>
    </row>
    <row r="14" spans="1:35">
      <c r="A14" s="58" t="s">
        <v>40</v>
      </c>
      <c r="B14" s="58">
        <v>19.100000000000001</v>
      </c>
      <c r="C14" s="57">
        <v>494.52783850000003</v>
      </c>
      <c r="D14" s="56">
        <v>7.5696134180000003</v>
      </c>
      <c r="E14" s="54">
        <v>4.1670167559999998</v>
      </c>
      <c r="F14" s="55">
        <v>2.9732521839999998E-2</v>
      </c>
      <c r="H14" s="54">
        <v>0.17007860627927585</v>
      </c>
      <c r="I14" s="91">
        <f>0.19*H14</f>
        <v>3.2314935193062409E-2</v>
      </c>
      <c r="J14" s="53"/>
      <c r="K14" s="51">
        <v>63.4</v>
      </c>
      <c r="L14" s="51">
        <v>52</v>
      </c>
      <c r="M14" s="51">
        <v>18.399999999999999</v>
      </c>
      <c r="N14" s="51">
        <v>17.2</v>
      </c>
      <c r="O14" s="50">
        <v>0.5</v>
      </c>
      <c r="Q14" s="31">
        <f>(4/3)*3.14*(((M14+N14)/4)^3)/((10^4)^3)</f>
        <v>2.9514702133333322E-9</v>
      </c>
      <c r="R14" s="98">
        <f>Q14*H14</f>
        <v>5.0198194035853008E-10</v>
      </c>
      <c r="S14" s="31">
        <f>(4/3)*3.14*((K14/2)*(L14/2)*(L14/2))/((10^4)^3)</f>
        <v>8.9716917333333311E-8</v>
      </c>
      <c r="T14" s="31">
        <f t="shared" ref="T14:T19" si="1">S14-Q14</f>
        <v>8.6765447119999981E-8</v>
      </c>
      <c r="U14" s="31">
        <f>T14*2.75</f>
        <v>2.3860497957999998E-7</v>
      </c>
      <c r="V14" s="98">
        <f>U14*C14*(10^-6)</f>
        <v>1.1799680480703403E-10</v>
      </c>
      <c r="X14" s="42">
        <f t="shared" ref="X14:X19" si="2">R14/(R14+V14)</f>
        <v>0.80967604820787331</v>
      </c>
      <c r="Y14" s="38">
        <f>C14*(1/(1-X14))</f>
        <v>2598.3478897082127</v>
      </c>
      <c r="AA14" s="41">
        <f>Y16-Y14</f>
        <v>286.98218996121432</v>
      </c>
      <c r="AB14" s="41">
        <f>Y14-Y15</f>
        <v>1054.3182992383399</v>
      </c>
    </row>
    <row r="15" spans="1:35" ht="14.5">
      <c r="A15" s="58"/>
      <c r="B15" s="58"/>
      <c r="C15" s="57"/>
      <c r="D15" s="56"/>
      <c r="E15" s="54"/>
      <c r="F15" s="55"/>
      <c r="H15" s="54"/>
      <c r="I15" s="91"/>
      <c r="J15" s="53"/>
      <c r="K15" s="51"/>
      <c r="L15" s="51"/>
      <c r="M15" s="51"/>
      <c r="N15" s="51"/>
      <c r="P15" s="40" t="s">
        <v>37</v>
      </c>
      <c r="Q15" s="31">
        <f>(4/3)*3.14*((((M14-O14)+(N14-O14))/4)^3)/((10^4)^3)</f>
        <v>2.7096718966666652E-9</v>
      </c>
      <c r="R15" s="98">
        <f>Q15*(H14-I14)</f>
        <v>3.7329434792394257E-10</v>
      </c>
      <c r="S15" s="31">
        <f>(4/3)*3.14*(((K14+O14)/2)*((K14+O14)/2)*((L14+O14)/2))/((10^4)^3)</f>
        <v>1.1218619475E-7</v>
      </c>
      <c r="T15" s="31">
        <f t="shared" si="1"/>
        <v>1.0947652285333333E-7</v>
      </c>
      <c r="U15" s="31">
        <f>T15*3.2</f>
        <v>3.5032487313066666E-7</v>
      </c>
      <c r="V15" s="98">
        <f>U15*(C14+D14)*(10^-6)</f>
        <v>1.7589722614240436E-10</v>
      </c>
      <c r="X15" s="39">
        <f t="shared" si="2"/>
        <v>0.67971608733903388</v>
      </c>
      <c r="Y15" s="38">
        <f>C14*(1/(1-X15))</f>
        <v>1544.0295904698728</v>
      </c>
    </row>
    <row r="16" spans="1:35" ht="14.5">
      <c r="A16" s="58"/>
      <c r="B16" s="58"/>
      <c r="C16" s="57"/>
      <c r="D16" s="56"/>
      <c r="E16" s="54"/>
      <c r="F16" s="55"/>
      <c r="H16" s="54"/>
      <c r="I16" s="91"/>
      <c r="J16" s="53"/>
      <c r="K16" s="51"/>
      <c r="L16" s="51"/>
      <c r="M16" s="51"/>
      <c r="N16" s="51"/>
      <c r="P16" s="40" t="s">
        <v>36</v>
      </c>
      <c r="Q16" s="31">
        <f>(4/3)*3.14*((((M14+O14)+(N14+O14))/4)^3)/((10^4)^3)</f>
        <v>3.2072415299999981E-9</v>
      </c>
      <c r="R16" s="98">
        <f>Q15*(H14+I14)</f>
        <v>5.4842009139443413E-10</v>
      </c>
      <c r="S16" s="31">
        <f>(4/3)*3.14*(((K14-O14)/2)*((L14-O14)/2)*((L14-O14)/2))/((10^4)^3)</f>
        <v>8.7305881416666657E-8</v>
      </c>
      <c r="T16" s="31">
        <f t="shared" si="1"/>
        <v>8.4098639886666656E-8</v>
      </c>
      <c r="U16" s="31">
        <f>T16*2.77</f>
        <v>2.3295323248606663E-7</v>
      </c>
      <c r="V16" s="98">
        <f>U16*(C14-D14)*(10^-6)</f>
        <v>1.1343849261852951E-10</v>
      </c>
      <c r="X16" s="39">
        <f t="shared" si="2"/>
        <v>0.82860614735744265</v>
      </c>
      <c r="Y16" s="38">
        <f>C14*(1/(1-X16))</f>
        <v>2885.3300796694271</v>
      </c>
      <c r="Z16" s="37">
        <f>(Y16-Y15)/Y14</f>
        <v>0.51621281911952854</v>
      </c>
    </row>
    <row r="17" spans="1:28" ht="14.5">
      <c r="A17" s="58" t="s">
        <v>39</v>
      </c>
      <c r="B17" s="58">
        <v>2.1</v>
      </c>
      <c r="C17" s="57">
        <v>103.36992285000001</v>
      </c>
      <c r="D17" s="56">
        <v>3.08264074</v>
      </c>
      <c r="E17" s="54">
        <v>4.0663395639999997</v>
      </c>
      <c r="F17" s="55">
        <v>4.6949280000000003E-2</v>
      </c>
      <c r="H17" s="54">
        <v>6.6796991814044304E-3</v>
      </c>
      <c r="I17" s="91">
        <f>0.19*H17</f>
        <v>1.2691428444668417E-3</v>
      </c>
      <c r="J17" s="53"/>
      <c r="K17" s="51">
        <v>105.8</v>
      </c>
      <c r="L17" s="52">
        <v>92.8</v>
      </c>
      <c r="M17" s="51">
        <v>27.6</v>
      </c>
      <c r="N17" s="51">
        <v>27</v>
      </c>
      <c r="O17" s="50">
        <v>0.5</v>
      </c>
      <c r="Q17" s="31">
        <f>(4/3)*3.14*(((M17+N17)/4)^3)/((10^4)^3)</f>
        <v>1.064795823E-8</v>
      </c>
      <c r="R17" s="98">
        <f>Q17*H17</f>
        <v>7.1125157872559567E-11</v>
      </c>
      <c r="S17" s="31">
        <f>(4/3)*3.14*((K17/2)*(L17/2)*(L17/2))/((10^4)^3)</f>
        <v>4.768260983466666E-7</v>
      </c>
      <c r="T17" s="31">
        <f t="shared" si="1"/>
        <v>4.661781401166666E-7</v>
      </c>
      <c r="U17" s="31">
        <f>T17*2.75</f>
        <v>1.2819898853208332E-6</v>
      </c>
      <c r="V17" s="98">
        <f>U17*C17*(10^-6)</f>
        <v>1.3251919554009487E-10</v>
      </c>
      <c r="X17" s="42">
        <f t="shared" si="2"/>
        <v>0.34926162538096606</v>
      </c>
      <c r="Y17" s="38">
        <f>C17*(1/(1-X17))</f>
        <v>158.85020291068057</v>
      </c>
      <c r="AA17" s="41">
        <f>Y19-Y17</f>
        <v>9.5436027494531004</v>
      </c>
      <c r="AB17" s="41">
        <f>Y17-Y18</f>
        <v>24.945914063727741</v>
      </c>
    </row>
    <row r="18" spans="1:28" ht="14.5">
      <c r="A18" s="58"/>
      <c r="B18" s="58"/>
      <c r="C18" s="57"/>
      <c r="D18" s="56"/>
      <c r="E18" s="54"/>
      <c r="F18" s="55"/>
      <c r="H18" s="54"/>
      <c r="I18" s="91"/>
      <c r="J18" s="53"/>
      <c r="K18" s="51"/>
      <c r="L18" s="52"/>
      <c r="M18" s="51"/>
      <c r="N18" s="51"/>
      <c r="P18" s="40" t="s">
        <v>37</v>
      </c>
      <c r="Q18" s="31">
        <f>(4/3)*3.14*((((M17-O17)+(N17-O17))/4)^3)/((10^4)^3)</f>
        <v>1.0073555413333333E-8</v>
      </c>
      <c r="R18" s="98">
        <f>Q18*(H17-I17)</f>
        <v>5.450353907710261E-11</v>
      </c>
      <c r="S18" s="31">
        <f>(4/3)*3.14*(((K17+O17)/2)*((K17+O17)/2)*((L17+O17)/2))/((10^4)^3)</f>
        <v>5.5172996362999992E-7</v>
      </c>
      <c r="T18" s="31">
        <f t="shared" si="1"/>
        <v>5.4165640821666657E-7</v>
      </c>
      <c r="U18" s="31">
        <f>T18*3.2</f>
        <v>1.7333005062933331E-6</v>
      </c>
      <c r="V18" s="98">
        <f>U18*(C17+D17)*(10^-6)</f>
        <v>1.8451428236677025E-10</v>
      </c>
      <c r="X18" s="39">
        <f t="shared" si="2"/>
        <v>0.22803127711504709</v>
      </c>
      <c r="Y18" s="38">
        <f>C17*(1/(1-X18))</f>
        <v>133.90428884695282</v>
      </c>
    </row>
    <row r="19" spans="1:28" ht="14.5">
      <c r="A19" s="58"/>
      <c r="B19" s="58"/>
      <c r="C19" s="57"/>
      <c r="D19" s="56"/>
      <c r="E19" s="54"/>
      <c r="F19" s="55"/>
      <c r="H19" s="54"/>
      <c r="I19" s="91"/>
      <c r="J19" s="53"/>
      <c r="K19" s="51"/>
      <c r="L19" s="52"/>
      <c r="M19" s="51"/>
      <c r="N19" s="51"/>
      <c r="P19" s="40" t="s">
        <v>36</v>
      </c>
      <c r="Q19" s="31">
        <f>(4/3)*3.14*((((M17+O17)+(N17+O17))/4)^3)/((10^4)^3)</f>
        <v>1.1243791546666667E-8</v>
      </c>
      <c r="R19" s="98">
        <f>Q18*(H17+I17)</f>
        <v>8.0073100619447043E-11</v>
      </c>
      <c r="S19" s="31">
        <f>(4/3)*3.14*(((K17-O17)/2)*((L17-O17)/2)*((L17-O17)/2))/((10^4)^3)</f>
        <v>4.6947251402999989E-7</v>
      </c>
      <c r="T19" s="31">
        <f t="shared" si="1"/>
        <v>4.5822872248333322E-7</v>
      </c>
      <c r="U19" s="31">
        <f>T19*2.77</f>
        <v>1.269293561278833E-6</v>
      </c>
      <c r="V19" s="98">
        <f>U19*(C17-D17)*(10^-6)</f>
        <v>1.2729400146037689E-10</v>
      </c>
      <c r="X19" s="39">
        <f t="shared" si="2"/>
        <v>0.38614177377385389</v>
      </c>
      <c r="Y19" s="38">
        <f>C17*(1/(1-X19))</f>
        <v>168.39380566013367</v>
      </c>
      <c r="Z19" s="37">
        <f>(Y19-Y18)/Y17</f>
        <v>0.21711975295728048</v>
      </c>
    </row>
    <row r="20" spans="1:28" ht="14.5">
      <c r="A20" s="58"/>
      <c r="B20" s="58"/>
      <c r="C20" s="57"/>
      <c r="D20" s="56"/>
      <c r="E20" s="54"/>
      <c r="F20" s="55"/>
      <c r="H20" s="54"/>
      <c r="I20" s="91"/>
      <c r="J20" s="53"/>
      <c r="K20" s="51"/>
      <c r="L20" s="52"/>
      <c r="M20" s="51"/>
      <c r="N20" s="51"/>
      <c r="X20" s="39"/>
      <c r="Y20" s="38"/>
    </row>
    <row r="21" spans="1:28" ht="14.5">
      <c r="A21" s="58" t="s">
        <v>39</v>
      </c>
      <c r="B21" s="58">
        <v>5.2</v>
      </c>
      <c r="C21" s="57">
        <v>197.57573665999999</v>
      </c>
      <c r="D21" s="56">
        <v>5.6078436290000004</v>
      </c>
      <c r="E21" s="54">
        <v>3.9149237399999999</v>
      </c>
      <c r="F21" s="55">
        <v>2.8285622399999998E-2</v>
      </c>
      <c r="H21" s="54">
        <v>2.8385073987010401E-2</v>
      </c>
      <c r="I21" s="91">
        <f>0.19*H21</f>
        <v>5.3931640575319763E-3</v>
      </c>
      <c r="J21" s="53"/>
      <c r="K21" s="52">
        <v>121</v>
      </c>
      <c r="L21" s="51">
        <v>115</v>
      </c>
      <c r="M21" s="51">
        <v>37</v>
      </c>
      <c r="N21" s="51">
        <v>35</v>
      </c>
      <c r="O21" s="50">
        <v>0.5</v>
      </c>
      <c r="Q21" s="31">
        <f>(4/3)*3.14*(((M21+N21)/4)^3)/((10^4)^3)</f>
        <v>2.4416640000000001E-8</v>
      </c>
      <c r="R21" s="98">
        <f>Q21*H21</f>
        <v>6.9306813291419763E-10</v>
      </c>
      <c r="S21" s="31">
        <f>(4/3)*3.14*((K21/2)*(L21/2)*(L21/2))/((10^4)^3)</f>
        <v>8.3745108333333323E-7</v>
      </c>
      <c r="T21" s="31">
        <f>S21-Q21</f>
        <v>8.1303444333333319E-7</v>
      </c>
      <c r="U21" s="31">
        <f>T21*2.75</f>
        <v>2.2358447191666664E-6</v>
      </c>
      <c r="V21" s="98">
        <f>U21*C21*(10^-6)</f>
        <v>4.4174866744672487E-10</v>
      </c>
      <c r="X21" s="42">
        <f>R21/(R21+V21)</f>
        <v>0.61073129397958414</v>
      </c>
      <c r="Y21" s="38">
        <f>C21*(1/(1-X21))</f>
        <v>507.55617804437071</v>
      </c>
      <c r="AA21" s="41">
        <f>Y23-Y21</f>
        <v>56.733386015924054</v>
      </c>
      <c r="AB21" s="41">
        <f>Y21-Y22</f>
        <v>121.71599915295189</v>
      </c>
    </row>
    <row r="22" spans="1:28" ht="14.5">
      <c r="A22" s="58"/>
      <c r="B22" s="58"/>
      <c r="C22" s="57"/>
      <c r="D22" s="56"/>
      <c r="E22" s="54"/>
      <c r="F22" s="55"/>
      <c r="H22" s="54"/>
      <c r="I22" s="91"/>
      <c r="J22" s="53"/>
      <c r="K22" s="52"/>
      <c r="L22" s="51"/>
      <c r="M22" s="51"/>
      <c r="N22" s="51"/>
      <c r="P22" s="40" t="s">
        <v>37</v>
      </c>
      <c r="Q22" s="31">
        <f>(4/3)*3.14*((((M21-O21)+(N21-O21))/4)^3)/((10^4)^3)</f>
        <v>2.3413344583333333E-8</v>
      </c>
      <c r="R22" s="98">
        <f>Q22*(H21-I21)</f>
        <v>5.3831750980784153E-10</v>
      </c>
      <c r="S22" s="31">
        <f>(4/3)*3.14*(((K21+O21)/2)*((K21+O21)/2)*((L21+O21)/2))/((10^4)^3)</f>
        <v>8.9230420124999988E-7</v>
      </c>
      <c r="T22" s="31">
        <f>S22-Q22</f>
        <v>8.6889085666666652E-7</v>
      </c>
      <c r="U22" s="31">
        <f>T22*3.2</f>
        <v>2.7804507413333331E-6</v>
      </c>
      <c r="V22" s="98">
        <f>U22*(C21+D21)*(10^-6)</f>
        <v>5.6494193644131078E-10</v>
      </c>
      <c r="X22" s="39">
        <f>R22/(R22+V22)</f>
        <v>0.48793374182111615</v>
      </c>
      <c r="Y22" s="38">
        <f>C21*(1/(1-X22))</f>
        <v>385.84017889141882</v>
      </c>
    </row>
    <row r="23" spans="1:28" ht="14.5">
      <c r="A23" s="58"/>
      <c r="B23" s="58"/>
      <c r="C23" s="57"/>
      <c r="D23" s="56"/>
      <c r="E23" s="54"/>
      <c r="F23" s="55"/>
      <c r="H23" s="54"/>
      <c r="I23" s="91"/>
      <c r="J23" s="53"/>
      <c r="K23" s="52"/>
      <c r="L23" s="51"/>
      <c r="M23" s="51"/>
      <c r="N23" s="51"/>
      <c r="P23" s="40" t="s">
        <v>36</v>
      </c>
      <c r="Q23" s="31">
        <f>(4/3)*3.14*((((M21+O21)+(N21+O21))/4)^3)/((10^4)^3)</f>
        <v>2.5448195416666667E-8</v>
      </c>
      <c r="R23" s="98">
        <f>Q22*(H21+I21)</f>
        <v>7.9086152675473025E-10</v>
      </c>
      <c r="S23" s="31">
        <f>(4/3)*3.14*(((K21-O21)/2)*((L21-O21)/2)*((L21-O21)/2))/((10^4)^3)</f>
        <v>8.2675421541666663E-7</v>
      </c>
      <c r="T23" s="31">
        <f>S23-Q23</f>
        <v>8.0130601999999998E-7</v>
      </c>
      <c r="U23" s="31">
        <f>T23*2.77</f>
        <v>2.2196176754E-6</v>
      </c>
      <c r="V23" s="98">
        <f>U23*(C21-D21)*(10^-6)</f>
        <v>4.2609532848090404E-10</v>
      </c>
      <c r="X23" s="39">
        <f>R23/(R23+V23)</f>
        <v>0.64986817186842594</v>
      </c>
      <c r="Y23" s="38">
        <f>C21*(1/(1-X23))</f>
        <v>564.28956406029477</v>
      </c>
      <c r="Z23" s="37">
        <f>(Y23-Y22)/Y21</f>
        <v>0.35158548528844003</v>
      </c>
    </row>
    <row r="24" spans="1:28" ht="14.5">
      <c r="A24" s="58"/>
      <c r="B24" s="58"/>
      <c r="C24" s="57"/>
      <c r="D24" s="56"/>
      <c r="E24" s="54"/>
      <c r="F24" s="55"/>
      <c r="H24" s="54"/>
      <c r="I24" s="91"/>
      <c r="J24" s="53"/>
      <c r="K24" s="52"/>
      <c r="L24" s="51"/>
      <c r="M24" s="51"/>
      <c r="N24" s="51"/>
      <c r="X24" s="39"/>
      <c r="Y24" s="38"/>
    </row>
    <row r="25" spans="1:28" ht="14.5">
      <c r="A25" s="58" t="s">
        <v>39</v>
      </c>
      <c r="B25" s="58">
        <v>6.1</v>
      </c>
      <c r="C25" s="57">
        <v>114.01860793</v>
      </c>
      <c r="D25" s="56">
        <v>1.8419450129999999</v>
      </c>
      <c r="E25" s="54">
        <v>3.8971067519999996</v>
      </c>
      <c r="F25" s="55">
        <v>1.2646149039999999E-2</v>
      </c>
      <c r="H25" s="54">
        <v>4.3355177804187406E-2</v>
      </c>
      <c r="I25" s="91">
        <f>0.19*H25</f>
        <v>8.2374837827956064E-3</v>
      </c>
      <c r="J25" s="53"/>
      <c r="K25" s="51">
        <v>166</v>
      </c>
      <c r="L25" s="52">
        <v>159</v>
      </c>
      <c r="M25" s="51">
        <v>36</v>
      </c>
      <c r="N25" s="51">
        <v>37</v>
      </c>
      <c r="O25" s="50">
        <v>0.5</v>
      </c>
      <c r="Q25" s="31">
        <f>(4/3)*3.14*(((M25+N25)/4)^3)/((10^4)^3)</f>
        <v>2.5448195416666667E-8</v>
      </c>
      <c r="R25" s="98">
        <f>Q25*H25</f>
        <v>1.1033110370852904E-9</v>
      </c>
      <c r="S25" s="31">
        <f>(4/3)*3.14*((K25/2)*(L25/2)*(L25/2))/((10^4)^3)</f>
        <v>2.1962447399999999E-6</v>
      </c>
      <c r="T25" s="31">
        <f>S25-Q25</f>
        <v>2.1707965445833332E-6</v>
      </c>
      <c r="U25" s="31">
        <f>T25*2.75</f>
        <v>5.9696904976041661E-6</v>
      </c>
      <c r="V25" s="98">
        <f>U25*C25*(10^-6)</f>
        <v>6.8065580030977594E-10</v>
      </c>
      <c r="X25" s="42">
        <f>R25/(R25+V25)</f>
        <v>0.61845938722512139</v>
      </c>
      <c r="Y25" s="38">
        <f>C25*(1/(1-X25))</f>
        <v>298.83740842360783</v>
      </c>
      <c r="AA25" s="41">
        <f>Y27-Y25</f>
        <v>30.2392913332734</v>
      </c>
      <c r="AB25" s="41">
        <f>Y25-Y26</f>
        <v>69.648277605687639</v>
      </c>
    </row>
    <row r="26" spans="1:28" ht="14.5">
      <c r="A26" s="58"/>
      <c r="B26" s="58"/>
      <c r="C26" s="57"/>
      <c r="D26" s="56"/>
      <c r="E26" s="54"/>
      <c r="F26" s="55"/>
      <c r="H26" s="54"/>
      <c r="I26" s="91"/>
      <c r="J26" s="53"/>
      <c r="K26" s="51"/>
      <c r="L26" s="52"/>
      <c r="M26" s="51"/>
      <c r="N26" s="51"/>
      <c r="P26" s="40" t="s">
        <v>37</v>
      </c>
      <c r="Q26" s="31">
        <f>(4/3)*3.14*((((M25-O25)+(N25-O25))/4)^3)/((10^4)^3)</f>
        <v>2.4416640000000001E-8</v>
      </c>
      <c r="R26" s="98">
        <f>Q26*(H25-I25)</f>
        <v>8.5745609255047577E-10</v>
      </c>
      <c r="S26" s="31">
        <f>(4/3)*3.14*(((K25+O25)/2)*((K25+O25)/2)*((L25+O25)/2))/((10^4)^3)</f>
        <v>2.3140224112499999E-6</v>
      </c>
      <c r="T26" s="31">
        <f>S26-Q26</f>
        <v>2.28960577125E-6</v>
      </c>
      <c r="U26" s="31">
        <f>T26*3.2</f>
        <v>7.3267384680000007E-6</v>
      </c>
      <c r="V26" s="98">
        <f>U26*(C25+D25)*(10^-6)</f>
        <v>8.4887997017122881E-10</v>
      </c>
      <c r="X26" s="39">
        <f>R26/(R26+V26)</f>
        <v>0.50251302265907916</v>
      </c>
      <c r="Y26" s="38">
        <f>C25*(1/(1-X26))</f>
        <v>229.18913081792019</v>
      </c>
    </row>
    <row r="27" spans="1:28" ht="14.5">
      <c r="A27" s="58"/>
      <c r="B27" s="58"/>
      <c r="C27" s="57"/>
      <c r="D27" s="56"/>
      <c r="E27" s="54"/>
      <c r="F27" s="55"/>
      <c r="H27" s="54"/>
      <c r="I27" s="91"/>
      <c r="J27" s="53"/>
      <c r="K27" s="51"/>
      <c r="L27" s="52"/>
      <c r="M27" s="51"/>
      <c r="N27" s="51"/>
      <c r="P27" s="40" t="s">
        <v>36</v>
      </c>
      <c r="Q27" s="31">
        <f>(4/3)*3.14*((((M25+O25)+(N25+O25))/4)^3)/((10^4)^3)</f>
        <v>2.6508403333333333E-8</v>
      </c>
      <c r="R27" s="98">
        <f>Q26*(H25+I25)</f>
        <v>1.259719444611193E-9</v>
      </c>
      <c r="S27" s="31">
        <f>(4/3)*3.14*(((K25-O25)/2)*((L25-O25)/2)*((L25-O25)/2))/((10^4)^3)</f>
        <v>2.1758799429166668E-6</v>
      </c>
      <c r="T27" s="31">
        <f>S27-Q27</f>
        <v>2.1493715395833333E-6</v>
      </c>
      <c r="U27" s="31">
        <f>T27*2.77</f>
        <v>5.9537591646458331E-6</v>
      </c>
      <c r="V27" s="98">
        <f>U27*(C25-D25)*(10^-6)</f>
        <v>6.6787283490147514E-10</v>
      </c>
      <c r="X27" s="39">
        <f>R27/(R27+V27)</f>
        <v>0.65351965662036882</v>
      </c>
      <c r="Y27" s="38">
        <f>C25*(1/(1-X27))</f>
        <v>329.07669975688123</v>
      </c>
      <c r="Z27" s="37">
        <f>(Y27-Y26)/Y25</f>
        <v>0.33425389902113084</v>
      </c>
    </row>
    <row r="28" spans="1:28" ht="14.5">
      <c r="A28" s="58"/>
      <c r="B28" s="58"/>
      <c r="C28" s="57"/>
      <c r="D28" s="56"/>
      <c r="E28" s="54"/>
      <c r="F28" s="55"/>
      <c r="H28" s="54"/>
      <c r="I28" s="91"/>
      <c r="J28" s="53"/>
      <c r="K28" s="51"/>
      <c r="L28" s="52"/>
      <c r="M28" s="51"/>
      <c r="N28" s="51"/>
      <c r="X28" s="39"/>
      <c r="Y28" s="38"/>
    </row>
    <row r="29" spans="1:28" ht="14.5">
      <c r="A29" s="58" t="s">
        <v>39</v>
      </c>
      <c r="B29" s="58">
        <v>7.5</v>
      </c>
      <c r="C29" s="57">
        <v>184.12251821000001</v>
      </c>
      <c r="D29" s="56">
        <v>2.5912308320000004</v>
      </c>
      <c r="E29" s="54">
        <v>3.7908422440000002</v>
      </c>
      <c r="F29" s="55">
        <v>2.7795336519999998E-2</v>
      </c>
      <c r="H29" s="54">
        <v>1.5846115165913943E-2</v>
      </c>
      <c r="I29" s="91">
        <f>0.19*H29</f>
        <v>3.010761881523649E-3</v>
      </c>
      <c r="J29" s="53"/>
      <c r="K29" s="51">
        <v>114</v>
      </c>
      <c r="L29" s="52">
        <v>84.2</v>
      </c>
      <c r="M29" s="51">
        <v>31.4</v>
      </c>
      <c r="N29" s="51">
        <v>30.8</v>
      </c>
      <c r="O29" s="50">
        <v>0.5</v>
      </c>
      <c r="Q29" s="31">
        <f>(4/3)*3.14*(((M29+N29)/4)^3)/((10^4)^3)</f>
        <v>1.574198755666667E-8</v>
      </c>
      <c r="R29" s="98">
        <f>Q29*H29</f>
        <v>2.494493477633243E-10</v>
      </c>
      <c r="S29" s="31">
        <f>(4/3)*3.14*((K29/2)*(L29/2)*(L29/2))/((10^4)^3)</f>
        <v>4.2296792240000005E-7</v>
      </c>
      <c r="T29" s="31">
        <f>S29-Q29</f>
        <v>4.0722593484333337E-7</v>
      </c>
      <c r="U29" s="31">
        <f>T29*2.75</f>
        <v>1.1198713208191668E-6</v>
      </c>
      <c r="V29" s="98">
        <f>U29*C29*(10^-6)</f>
        <v>2.0619352766038379E-10</v>
      </c>
      <c r="X29" s="42">
        <f>R29/(R29+V29)</f>
        <v>0.54746680178277385</v>
      </c>
      <c r="Y29" s="38">
        <f>C29*(1/(1-X29))</f>
        <v>406.87074215849469</v>
      </c>
      <c r="AA29" s="41">
        <f>Y31-Y29</f>
        <v>36.34062153491675</v>
      </c>
      <c r="AB29" s="41">
        <f>Y29-Y30</f>
        <v>117.98434862165408</v>
      </c>
    </row>
    <row r="30" spans="1:28" ht="14.5">
      <c r="A30" s="58"/>
      <c r="B30" s="58"/>
      <c r="C30" s="57"/>
      <c r="D30" s="56"/>
      <c r="E30" s="54"/>
      <c r="F30" s="55"/>
      <c r="H30" s="54"/>
      <c r="I30" s="91"/>
      <c r="J30" s="53"/>
      <c r="K30" s="51"/>
      <c r="L30" s="52"/>
      <c r="M30" s="51"/>
      <c r="N30" s="51"/>
      <c r="P30" s="40" t="s">
        <v>37</v>
      </c>
      <c r="Q30" s="31">
        <f>(4/3)*3.14*((((M29-O29)+(N29-O29))/4)^3)/((10^4)^3)</f>
        <v>1.4994869040000004E-8</v>
      </c>
      <c r="R30" s="98">
        <f>Q30*(H29-I29)</f>
        <v>1.9246444158156636E-10</v>
      </c>
      <c r="S30" s="31">
        <f>(4/3)*3.14*(((K29+O29)/2)*((K29+O29)/2)*((L29+O29)/2))/((10^4)^3)</f>
        <v>5.8112931158333333E-7</v>
      </c>
      <c r="T30" s="31">
        <f>S30-Q30</f>
        <v>5.6613444254333328E-7</v>
      </c>
      <c r="U30" s="31">
        <f>T30*3.2</f>
        <v>1.8116302161386666E-6</v>
      </c>
      <c r="V30" s="98">
        <f>U30*(C29+D29)*(10^-6)</f>
        <v>3.3825626953301923E-10</v>
      </c>
      <c r="X30" s="39">
        <f>R30/(R30+V30)</f>
        <v>0.36264731628310659</v>
      </c>
      <c r="Y30" s="38">
        <f>C29*(1/(1-X30))</f>
        <v>288.88639353684061</v>
      </c>
    </row>
    <row r="31" spans="1:28" ht="14.5">
      <c r="A31" s="58"/>
      <c r="B31" s="58"/>
      <c r="C31" s="57"/>
      <c r="D31" s="56"/>
      <c r="E31" s="54"/>
      <c r="F31" s="55"/>
      <c r="H31" s="54"/>
      <c r="I31" s="91"/>
      <c r="J31" s="53"/>
      <c r="K31" s="51"/>
      <c r="L31" s="52"/>
      <c r="M31" s="51"/>
      <c r="N31" s="51"/>
      <c r="P31" s="40" t="s">
        <v>36</v>
      </c>
      <c r="Q31" s="31">
        <f>(4/3)*3.14*((((M29+O29)+(N29+O29))/4)^3)/((10^4)^3)</f>
        <v>1.6513519573333335E-8</v>
      </c>
      <c r="R31" s="98">
        <f>Q30*(H29+I29)</f>
        <v>2.8275640182970863E-10</v>
      </c>
      <c r="S31" s="31">
        <f>(4/3)*3.14*(((K29-O29)/2)*((L29-O29)/2)*((L29-O29)/2))/((10^4)^3)</f>
        <v>4.1612630985000001E-7</v>
      </c>
      <c r="T31" s="31">
        <f>S31-Q31</f>
        <v>3.9961279027666666E-7</v>
      </c>
      <c r="U31" s="31">
        <f>T31*2.77</f>
        <v>1.1069274290663667E-6</v>
      </c>
      <c r="V31" s="98">
        <f>U31*(C29-D29)*(10^-6)</f>
        <v>2.0094196123243733E-10</v>
      </c>
      <c r="X31" s="39">
        <f>R31/(R31+V31)</f>
        <v>0.58457175674456407</v>
      </c>
      <c r="Y31" s="38">
        <f>C29*(1/(1-X31))</f>
        <v>443.21136369341144</v>
      </c>
      <c r="Z31" s="37">
        <f>(Y31-Y30)/Y29</f>
        <v>0.37929729067727908</v>
      </c>
    </row>
    <row r="32" spans="1:28" ht="14.5">
      <c r="A32" s="58"/>
      <c r="B32" s="58"/>
      <c r="C32" s="57"/>
      <c r="D32" s="56"/>
      <c r="E32" s="54"/>
      <c r="F32" s="55"/>
      <c r="H32" s="54"/>
      <c r="I32" s="91"/>
      <c r="J32" s="53"/>
      <c r="K32" s="51"/>
      <c r="L32" s="52"/>
      <c r="M32" s="51"/>
      <c r="N32" s="51"/>
      <c r="X32" s="39"/>
      <c r="Y32" s="38"/>
    </row>
    <row r="33" spans="1:28" ht="14.5">
      <c r="A33" s="58" t="s">
        <v>39</v>
      </c>
      <c r="B33" s="58">
        <v>8.3000000000000007</v>
      </c>
      <c r="C33" s="57">
        <v>186.56252440000003</v>
      </c>
      <c r="D33" s="56">
        <v>3.7315111510000003</v>
      </c>
      <c r="E33" s="54">
        <v>4.1157550000000001</v>
      </c>
      <c r="F33" s="55">
        <v>2.0181684319999997E-2</v>
      </c>
      <c r="H33" s="54">
        <v>1.4073401478526648E-2</v>
      </c>
      <c r="I33" s="91">
        <f>0.19*H33</f>
        <v>2.6739462809200632E-3</v>
      </c>
      <c r="J33" s="53"/>
      <c r="K33" s="51">
        <v>140</v>
      </c>
      <c r="L33" s="52">
        <v>126</v>
      </c>
      <c r="M33" s="51">
        <v>40</v>
      </c>
      <c r="N33" s="51">
        <v>41</v>
      </c>
      <c r="O33" s="50">
        <v>0.5</v>
      </c>
      <c r="Q33" s="31">
        <f>(4/3)*3.14*(((M33+N33)/4)^3)/((10^4)^3)</f>
        <v>3.4765098749999995E-8</v>
      </c>
      <c r="R33" s="98">
        <f>Q33*H33</f>
        <v>4.8926319214937481E-10</v>
      </c>
      <c r="S33" s="31">
        <f>(4/3)*3.14*((K33/2)*(L33/2)*(L33/2))/((10^4)^3)</f>
        <v>1.1631815999999999E-6</v>
      </c>
      <c r="T33" s="31">
        <f>S33-Q33</f>
        <v>1.12841650125E-6</v>
      </c>
      <c r="U33" s="31">
        <f>T33*2.75</f>
        <v>3.1031453784374998E-6</v>
      </c>
      <c r="V33" s="98">
        <f>U33*C33*(10^-6)</f>
        <v>5.7893063538149334E-10</v>
      </c>
      <c r="X33" s="42">
        <f>R33/(R33+V33)</f>
        <v>0.45802847717282502</v>
      </c>
      <c r="Y33" s="38">
        <f>C33*(1/(1-X33))</f>
        <v>344.2293857559219</v>
      </c>
      <c r="AA33" s="41">
        <f>Y35-Y33</f>
        <v>27.85727351894684</v>
      </c>
      <c r="AB33" s="41">
        <f>Y33-Y34</f>
        <v>65.80273766729016</v>
      </c>
    </row>
    <row r="34" spans="1:28" ht="14.5">
      <c r="A34" s="58"/>
      <c r="B34" s="58"/>
      <c r="C34" s="57"/>
      <c r="D34" s="56"/>
      <c r="E34" s="54"/>
      <c r="F34" s="55"/>
      <c r="H34" s="54"/>
      <c r="I34" s="91"/>
      <c r="J34" s="53"/>
      <c r="K34" s="51"/>
      <c r="L34" s="52"/>
      <c r="M34" s="51"/>
      <c r="N34" s="51"/>
      <c r="P34" s="40" t="s">
        <v>37</v>
      </c>
      <c r="Q34" s="31">
        <f>(4/3)*3.14*((((M33-O33)+(N33-O33))/4)^3)/((10^4)^3)</f>
        <v>3.3493333333333337E-8</v>
      </c>
      <c r="R34" s="98">
        <f>Q34*(H33-I33)</f>
        <v>3.8180575275183658E-10</v>
      </c>
      <c r="S34" s="31">
        <f>(4/3)*3.14*(((K33+O33)/2)*((K33+O33)/2)*((L33+O33)/2))/((10^4)^3)</f>
        <v>1.3068374504166668E-6</v>
      </c>
      <c r="T34" s="31">
        <f>S34-Q34</f>
        <v>1.2733441170833334E-6</v>
      </c>
      <c r="U34" s="31">
        <f>T34*3.2</f>
        <v>4.074701174666667E-6</v>
      </c>
      <c r="V34" s="98">
        <f>U34*(C33+D33)*(10^-6)</f>
        <v>7.7539133019172038E-10</v>
      </c>
      <c r="X34" s="39">
        <f>R34/(R34+V34)</f>
        <v>0.32994012720861604</v>
      </c>
      <c r="Y34" s="38">
        <f>C33*(1/(1-X34))</f>
        <v>278.42664808863174</v>
      </c>
    </row>
    <row r="35" spans="1:28" ht="14.5">
      <c r="A35" s="58"/>
      <c r="B35" s="58"/>
      <c r="C35" s="57"/>
      <c r="D35" s="56"/>
      <c r="E35" s="54"/>
      <c r="F35" s="55"/>
      <c r="H35" s="54"/>
      <c r="I35" s="91"/>
      <c r="J35" s="53"/>
      <c r="K35" s="51"/>
      <c r="L35" s="52"/>
      <c r="M35" s="51"/>
      <c r="N35" s="51"/>
      <c r="P35" s="40" t="s">
        <v>36</v>
      </c>
      <c r="Q35" s="31">
        <f>(4/3)*3.14*((((M33+O33)+(N33+O33))/4)^3)/((10^4)^3)</f>
        <v>3.6068656666666664E-8</v>
      </c>
      <c r="R35" s="98">
        <f>Q34*(H33+I33)</f>
        <v>5.6092450095640189E-10</v>
      </c>
      <c r="S35" s="31">
        <f>(4/3)*3.14*(((K33-O33)/2)*((L33-O33)/2)*((L33-O33)/2))/((10^4)^3)</f>
        <v>1.14984700125E-6</v>
      </c>
      <c r="T35" s="31">
        <f>S35-Q35</f>
        <v>1.1137783445833334E-6</v>
      </c>
      <c r="U35" s="31">
        <f>T35*2.77</f>
        <v>3.0851660144958335E-6</v>
      </c>
      <c r="V35" s="98">
        <f>U35*(C33-D33)*(10^-6)</f>
        <v>5.6406402847165227E-10</v>
      </c>
      <c r="X35" s="39">
        <f>R35/(R35+V35)</f>
        <v>0.49860464021048884</v>
      </c>
      <c r="Y35" s="38">
        <f>C33*(1/(1-X35))</f>
        <v>372.08665927486874</v>
      </c>
      <c r="Z35" s="37">
        <f>(Y35-Y34)/Y33</f>
        <v>0.27208604222025151</v>
      </c>
    </row>
    <row r="36" spans="1:28" ht="14.5">
      <c r="A36" s="58"/>
      <c r="B36" s="58"/>
      <c r="C36" s="57"/>
      <c r="D36" s="56"/>
      <c r="E36" s="54"/>
      <c r="F36" s="55"/>
      <c r="H36" s="54"/>
      <c r="I36" s="91"/>
      <c r="J36" s="53"/>
      <c r="K36" s="51"/>
      <c r="L36" s="52"/>
      <c r="M36" s="51"/>
      <c r="N36" s="51"/>
      <c r="X36" s="39"/>
      <c r="Y36" s="38"/>
    </row>
    <row r="37" spans="1:28" ht="14.5">
      <c r="A37" s="58" t="s">
        <v>39</v>
      </c>
      <c r="B37" s="58">
        <v>10.1</v>
      </c>
      <c r="C37" s="57">
        <v>500.74565359999997</v>
      </c>
      <c r="D37" s="56">
        <v>46.384379319999994</v>
      </c>
      <c r="E37" s="54">
        <v>3.8559733799999996</v>
      </c>
      <c r="F37" s="55">
        <v>4.2901399239999999E-2</v>
      </c>
      <c r="H37" s="54">
        <v>1.9048795795242768E-2</v>
      </c>
      <c r="I37" s="91">
        <f>0.19*H37</f>
        <v>3.6192712010961257E-3</v>
      </c>
      <c r="J37" s="53"/>
      <c r="K37" s="51">
        <v>77.8</v>
      </c>
      <c r="L37" s="52">
        <v>66</v>
      </c>
      <c r="M37" s="51">
        <v>19.2</v>
      </c>
      <c r="N37" s="51">
        <v>19.8</v>
      </c>
      <c r="O37" s="50">
        <v>0.5</v>
      </c>
      <c r="Q37" s="31">
        <f>(4/3)*3.14*(((M37+N37)/4)^3)/((10^4)^3)</f>
        <v>3.8804512499999998E-9</v>
      </c>
      <c r="R37" s="98">
        <f>Q37*H37</f>
        <v>7.3917923454644532E-11</v>
      </c>
      <c r="S37" s="31">
        <f>(4/3)*3.14*((K37/2)*(L37/2)*(L37/2))/((10^4)^3)</f>
        <v>1.7735599199999999E-7</v>
      </c>
      <c r="T37" s="31">
        <f>S37-Q37</f>
        <v>1.7347554074999999E-7</v>
      </c>
      <c r="U37" s="31">
        <f>T37*2.75</f>
        <v>4.7705773706249998E-7</v>
      </c>
      <c r="V37" s="98">
        <f>U37*C37*(10^-6)</f>
        <v>2.3888458835029847E-10</v>
      </c>
      <c r="X37" s="42">
        <f>R37/(R37+V37)</f>
        <v>0.23630859940388899</v>
      </c>
      <c r="Y37" s="38">
        <f>C37*(1/(1-X37))</f>
        <v>655.69109879872315</v>
      </c>
      <c r="AA37" s="41">
        <f>Y39-Y37</f>
        <v>36.195680706109556</v>
      </c>
      <c r="AB37" s="41">
        <f>Y37-Y38</f>
        <v>79.433904382002311</v>
      </c>
    </row>
    <row r="38" spans="1:28" ht="14.5">
      <c r="A38" s="58"/>
      <c r="B38" s="58"/>
      <c r="C38" s="57"/>
      <c r="D38" s="56"/>
      <c r="E38" s="54"/>
      <c r="F38" s="55"/>
      <c r="H38" s="54"/>
      <c r="I38" s="91"/>
      <c r="J38" s="53"/>
      <c r="K38" s="51"/>
      <c r="L38" s="52"/>
      <c r="M38" s="51"/>
      <c r="N38" s="51"/>
      <c r="P38" s="40" t="s">
        <v>37</v>
      </c>
      <c r="Q38" s="31">
        <f>(4/3)*3.14*((((M37-O37)+(N37-O37))/4)^3)/((10^4)^3)</f>
        <v>3.5895433333333329E-9</v>
      </c>
      <c r="R38" s="98">
        <f>Q38*(H37-I37)</f>
        <v>5.5384947143421776E-11</v>
      </c>
      <c r="S38" s="31">
        <f>(4/3)*3.14*(((K37+O37)/2)*((K37+O37)/2)*((L37+O37)/2))/((10^4)^3)</f>
        <v>2.1336519014999996E-7</v>
      </c>
      <c r="T38" s="31">
        <f>S38-Q38</f>
        <v>2.0977564681666663E-7</v>
      </c>
      <c r="U38" s="31">
        <f>T38*3.2</f>
        <v>6.7128206981333321E-7</v>
      </c>
      <c r="V38" s="98">
        <f>U38*(C37+D37)*(10^-6)</f>
        <v>3.6727858095557474E-10</v>
      </c>
      <c r="X38" s="39">
        <f>R38/(R38+V38)</f>
        <v>0.13103791423055902</v>
      </c>
      <c r="Y38" s="38">
        <f>C37*(1/(1-X38))</f>
        <v>576.25719441672084</v>
      </c>
    </row>
    <row r="39" spans="1:28" ht="14.5">
      <c r="A39" s="58"/>
      <c r="B39" s="58"/>
      <c r="C39" s="57"/>
      <c r="D39" s="56"/>
      <c r="E39" s="54"/>
      <c r="F39" s="55"/>
      <c r="H39" s="54"/>
      <c r="I39" s="91"/>
      <c r="J39" s="53"/>
      <c r="K39" s="51"/>
      <c r="L39" s="52"/>
      <c r="M39" s="51"/>
      <c r="N39" s="51"/>
      <c r="P39" s="40" t="s">
        <v>36</v>
      </c>
      <c r="Q39" s="31">
        <f>(4/3)*3.14*((((M37+O37)+(N37+O37))/4)^3)/((10^4)^3)</f>
        <v>4.1866666666666671E-9</v>
      </c>
      <c r="R39" s="98">
        <f>Q38*(H37+I37)</f>
        <v>8.1368008766261629E-11</v>
      </c>
      <c r="S39" s="31">
        <f>(4/3)*3.14*(((K37-O37)/2)*((L37-O37)/2)*((L37-O37)/2))/((10^4)^3)</f>
        <v>1.7355634341666665E-7</v>
      </c>
      <c r="T39" s="31">
        <f>S39-Q39</f>
        <v>1.6936967674999998E-7</v>
      </c>
      <c r="U39" s="31">
        <f>T39*2.77</f>
        <v>4.6915400459749996E-7</v>
      </c>
      <c r="V39" s="98">
        <f>U39*(C37-D37)*(10^-6)</f>
        <v>2.1316541136248504E-10</v>
      </c>
      <c r="X39" s="39">
        <f>R39/(R39+V39)</f>
        <v>0.27626069982378904</v>
      </c>
      <c r="Y39" s="38">
        <f>C37*(1/(1-X39))</f>
        <v>691.8867795048327</v>
      </c>
      <c r="Z39" s="37">
        <f>(Y39-Y38)/Y37</f>
        <v>0.17634765105085951</v>
      </c>
    </row>
    <row r="40" spans="1:28" ht="14.5">
      <c r="A40" s="58"/>
      <c r="B40" s="58"/>
      <c r="C40" s="57"/>
      <c r="D40" s="56"/>
      <c r="E40" s="54"/>
      <c r="F40" s="55"/>
      <c r="H40" s="54"/>
      <c r="I40" s="91"/>
      <c r="J40" s="53"/>
      <c r="K40" s="51"/>
      <c r="L40" s="52"/>
      <c r="M40" s="51"/>
      <c r="N40" s="51"/>
      <c r="X40" s="39"/>
      <c r="Y40" s="38"/>
    </row>
    <row r="41" spans="1:28" ht="14.5">
      <c r="A41" s="58" t="s">
        <v>39</v>
      </c>
      <c r="B41" s="58">
        <v>13.1</v>
      </c>
      <c r="C41" s="57">
        <v>172.27879353</v>
      </c>
      <c r="D41" s="56">
        <v>0.82791180529999997</v>
      </c>
      <c r="E41" s="54">
        <v>3.8690866480000001</v>
      </c>
      <c r="F41" s="55">
        <v>3.0596819399999999E-2</v>
      </c>
      <c r="H41" s="54">
        <v>4.2618054540071171E-2</v>
      </c>
      <c r="I41" s="91">
        <f>0.19*H41</f>
        <v>8.0974303626135218E-3</v>
      </c>
      <c r="J41" s="53"/>
      <c r="K41" s="52">
        <v>93.2</v>
      </c>
      <c r="L41" s="51">
        <v>80.2</v>
      </c>
      <c r="M41" s="51">
        <v>28</v>
      </c>
      <c r="N41" s="51">
        <v>29.2</v>
      </c>
      <c r="O41" s="50">
        <v>0.5</v>
      </c>
      <c r="Q41" s="31">
        <f>(4/3)*3.14*(((M41+N41)/4)^3)/((10^4)^3)</f>
        <v>1.2242679973333333E-8</v>
      </c>
      <c r="R41" s="98">
        <f>Q41*H41</f>
        <v>5.2175920282015703E-10</v>
      </c>
      <c r="S41" s="31">
        <f>(4/3)*3.14*((K41/2)*(L41/2)*(L41/2))/((10^4)^3)</f>
        <v>3.1372060698666671E-7</v>
      </c>
      <c r="T41" s="31">
        <f>S41-Q41</f>
        <v>3.0147792701333338E-7</v>
      </c>
      <c r="U41" s="31">
        <f>T41*2.75</f>
        <v>8.2906429928666678E-7</v>
      </c>
      <c r="V41" s="98">
        <f>U41*C41*(10^-6)</f>
        <v>1.4283019723990181E-10</v>
      </c>
      <c r="X41" s="42">
        <f>R41/(R41+V41)</f>
        <v>0.7850850506688879</v>
      </c>
      <c r="Y41" s="38">
        <f>C41*(1/(1-X41))</f>
        <v>801.61382010041541</v>
      </c>
      <c r="AA41" s="41">
        <f>Y43-Y41</f>
        <v>94.169793201230277</v>
      </c>
      <c r="AB41" s="41">
        <f>Y41-Y42</f>
        <v>282.25413222220152</v>
      </c>
    </row>
    <row r="42" spans="1:28" ht="14.5">
      <c r="A42" s="58"/>
      <c r="B42" s="58"/>
      <c r="C42" s="57"/>
      <c r="D42" s="56"/>
      <c r="E42" s="54"/>
      <c r="F42" s="55"/>
      <c r="H42" s="54"/>
      <c r="I42" s="91"/>
      <c r="J42" s="53"/>
      <c r="K42" s="52"/>
      <c r="L42" s="51"/>
      <c r="M42" s="51"/>
      <c r="N42" s="51"/>
      <c r="P42" s="40" t="s">
        <v>37</v>
      </c>
      <c r="Q42" s="31">
        <f>(4/3)*3.14*((((M41-O41)+(N41-O41))/4)^3)/((10^4)^3)</f>
        <v>1.1611741456666668E-8</v>
      </c>
      <c r="R42" s="98">
        <f>Q42*(H41-I41)</f>
        <v>4.0084456287139462E-10</v>
      </c>
      <c r="S42" s="31">
        <f>(4/3)*3.14*(((K41+O41)/2)*((K41+O41)/2)*((L41+O41)/2))/((10^4)^3)</f>
        <v>3.7079264777000003E-7</v>
      </c>
      <c r="T42" s="31">
        <f>S42-Q42</f>
        <v>3.5918090631333334E-7</v>
      </c>
      <c r="U42" s="31">
        <f>T42*3.2</f>
        <v>1.1493789002026667E-6</v>
      </c>
      <c r="V42" s="98">
        <f>U42*(C41+D41)*(10^-6)</f>
        <v>1.9896519459599419E-10</v>
      </c>
      <c r="X42" s="39">
        <f>R42/(R42+V42)</f>
        <v>0.66828616554005993</v>
      </c>
      <c r="Y42" s="38">
        <f>C41*(1/(1-X42))</f>
        <v>519.35968787821389</v>
      </c>
    </row>
    <row r="43" spans="1:28" ht="14.5">
      <c r="A43" s="58"/>
      <c r="B43" s="58"/>
      <c r="C43" s="57"/>
      <c r="D43" s="56"/>
      <c r="E43" s="54"/>
      <c r="F43" s="55"/>
      <c r="H43" s="54"/>
      <c r="I43" s="91"/>
      <c r="J43" s="53"/>
      <c r="K43" s="52"/>
      <c r="L43" s="51"/>
      <c r="M43" s="51"/>
      <c r="N43" s="51"/>
      <c r="P43" s="40" t="s">
        <v>36</v>
      </c>
      <c r="Q43" s="31">
        <f>(4/3)*3.14*((((M41+O41)+(N41+O41))/4)^3)/((10^4)^3)</f>
        <v>1.2896069489999999E-8</v>
      </c>
      <c r="R43" s="98">
        <f>Q42*(H41+I41)</f>
        <v>5.8889509853945639E-10</v>
      </c>
      <c r="S43" s="31">
        <f>(4/3)*3.14*(((K41-O41)/2)*((L41-O41)/2)*((L41-O41)/2))/((10^4)^3)</f>
        <v>3.0815894216999999E-7</v>
      </c>
      <c r="T43" s="31">
        <f>S43-Q43</f>
        <v>2.9526287268000001E-7</v>
      </c>
      <c r="U43" s="31">
        <f>T43*2.77</f>
        <v>8.1787815732360004E-7</v>
      </c>
      <c r="V43" s="98">
        <f>U43*(C41-D41)*(10^-6)</f>
        <v>1.4022593121650411E-10</v>
      </c>
      <c r="X43" s="39">
        <f>R43/(R43+V43)</f>
        <v>0.80767811447786897</v>
      </c>
      <c r="Y43" s="38">
        <f>C41*(1/(1-X43))</f>
        <v>895.78361330164569</v>
      </c>
      <c r="Z43" s="37">
        <f>(Y43-Y42)/Y41</f>
        <v>0.46958262942158163</v>
      </c>
    </row>
    <row r="44" spans="1:28" ht="14.5">
      <c r="A44" s="58"/>
      <c r="B44" s="58"/>
      <c r="C44" s="57"/>
      <c r="D44" s="56"/>
      <c r="E44" s="54"/>
      <c r="F44" s="55"/>
      <c r="H44" s="54"/>
      <c r="I44" s="91"/>
      <c r="J44" s="53"/>
      <c r="K44" s="52"/>
      <c r="L44" s="51"/>
      <c r="M44" s="51"/>
      <c r="N44" s="51"/>
      <c r="X44" s="39"/>
      <c r="Y44" s="38"/>
    </row>
    <row r="45" spans="1:28" ht="14.5">
      <c r="A45" s="58" t="s">
        <v>39</v>
      </c>
      <c r="B45" s="58">
        <v>15.1</v>
      </c>
      <c r="C45" s="57">
        <v>49.174876989999994</v>
      </c>
      <c r="D45" s="56">
        <v>1.1840777183</v>
      </c>
      <c r="E45" s="54">
        <v>3.8867277959999997</v>
      </c>
      <c r="F45" s="55">
        <v>1.2875532320000001E-2</v>
      </c>
      <c r="H45" s="54">
        <v>6.6922550286108162E-2</v>
      </c>
      <c r="I45" s="91">
        <f>0.19*H45</f>
        <v>1.2715284554360551E-2</v>
      </c>
      <c r="J45" s="53"/>
      <c r="K45" s="51">
        <v>82</v>
      </c>
      <c r="L45" s="52">
        <v>58.8</v>
      </c>
      <c r="M45" s="51">
        <v>20</v>
      </c>
      <c r="N45" s="51">
        <v>20</v>
      </c>
      <c r="O45" s="50">
        <v>0.5</v>
      </c>
      <c r="Q45" s="31">
        <f>(4/3)*3.14*(((M45+N45)/4)^3)/((10^4)^3)</f>
        <v>4.1866666666666671E-9</v>
      </c>
      <c r="R45" s="98">
        <f>Q45*H45</f>
        <v>2.8018241053117288E-10</v>
      </c>
      <c r="S45" s="31">
        <f>(4/3)*3.14*((K45/2)*(L45/2)*(L45/2))/((10^4)^3)</f>
        <v>1.4837027519999998E-7</v>
      </c>
      <c r="T45" s="31">
        <f>S45-Q45</f>
        <v>1.4418360853333331E-7</v>
      </c>
      <c r="U45" s="31">
        <f>T45*2.75</f>
        <v>3.9650492346666661E-7</v>
      </c>
      <c r="V45" s="98">
        <f>U45*C45*(10^-6)</f>
        <v>1.9498080837402691E-11</v>
      </c>
      <c r="X45" s="42">
        <f>R45/(R45+V45)</f>
        <v>0.93493710335177582</v>
      </c>
      <c r="Y45" s="38">
        <f>C45*(1/(1-X45))</f>
        <v>755.80522115198778</v>
      </c>
      <c r="AA45" s="41">
        <f>Y47-Y45</f>
        <v>107.24022128131367</v>
      </c>
      <c r="AB45" s="41">
        <f>Y45-Y46</f>
        <v>397.05374852216158</v>
      </c>
    </row>
    <row r="46" spans="1:28" ht="14.5">
      <c r="A46" s="58"/>
      <c r="B46" s="58"/>
      <c r="C46" s="57"/>
      <c r="D46" s="56"/>
      <c r="E46" s="54"/>
      <c r="F46" s="55"/>
      <c r="H46" s="54"/>
      <c r="I46" s="91"/>
      <c r="J46" s="53"/>
      <c r="K46" s="51"/>
      <c r="L46" s="52"/>
      <c r="M46" s="51"/>
      <c r="N46" s="51"/>
      <c r="P46" s="40" t="s">
        <v>37</v>
      </c>
      <c r="Q46" s="31">
        <f>(4/3)*3.14*((((M45-O45)+(N45-O45))/4)^3)/((10^4)^3)</f>
        <v>3.8804512499999998E-9</v>
      </c>
      <c r="R46" s="98">
        <f>Q46*(H45-I45)</f>
        <v>2.1034865206784217E-10</v>
      </c>
      <c r="S46" s="31">
        <f>(4/3)*3.14*(((K45+O45)/2)*((K45+O45)/2)*((L45+O45)/2))/((10^4)^3)</f>
        <v>2.1122289375E-7</v>
      </c>
      <c r="T46" s="31">
        <f>S46-Q46</f>
        <v>2.073424425E-7</v>
      </c>
      <c r="U46" s="31">
        <f>T46*3.2</f>
        <v>6.6349581600000005E-7</v>
      </c>
      <c r="V46" s="98">
        <f>U46*(C45+D45)*(10^-6)</f>
        <v>3.3412955747090547E-11</v>
      </c>
      <c r="X46" s="39">
        <f>R46/(R46+V46)</f>
        <v>0.86292773482008656</v>
      </c>
      <c r="Y46" s="38">
        <f>C45*(1/(1-X46))</f>
        <v>358.7514726298262</v>
      </c>
    </row>
    <row r="47" spans="1:28" ht="14.5">
      <c r="A47" s="58"/>
      <c r="B47" s="58"/>
      <c r="C47" s="57"/>
      <c r="D47" s="56"/>
      <c r="E47" s="54"/>
      <c r="F47" s="55"/>
      <c r="H47" s="54"/>
      <c r="I47" s="91"/>
      <c r="J47" s="53"/>
      <c r="K47" s="51"/>
      <c r="L47" s="52"/>
      <c r="M47" s="51"/>
      <c r="N47" s="51"/>
      <c r="P47" s="40" t="s">
        <v>36</v>
      </c>
      <c r="Q47" s="31">
        <f>(4/3)*3.14*((((M45+O45)+(N45+O45))/4)^3)/((10^4)^3)</f>
        <v>4.5085820833333331E-9</v>
      </c>
      <c r="R47" s="98">
        <f>Q46*(H45+I45)</f>
        <v>3.0903073575399036E-10</v>
      </c>
      <c r="S47" s="31">
        <f>(4/3)*3.14*(((K45-O45)/2)*((L45-O45)/2)*((L45-O45)/2))/((10^4)^3)</f>
        <v>1.4496832331666664E-7</v>
      </c>
      <c r="T47" s="31">
        <f>S47-Q47</f>
        <v>1.4045974123333332E-7</v>
      </c>
      <c r="U47" s="31">
        <f>T47*2.77</f>
        <v>3.8907348321633328E-7</v>
      </c>
      <c r="V47" s="98">
        <f>U47*(C45-D45)*(10^-6)</f>
        <v>1.8671947434976187E-11</v>
      </c>
      <c r="X47" s="39">
        <f>R47/(R47+V47)</f>
        <v>0.94302168278491272</v>
      </c>
      <c r="Y47" s="38">
        <f>C45*(1/(1-X47))</f>
        <v>863.04544243330145</v>
      </c>
      <c r="Z47" s="37">
        <f>(Y47-Y46)/Y45</f>
        <v>0.66722742274105673</v>
      </c>
    </row>
    <row r="48" spans="1:28" ht="14.5">
      <c r="A48" s="58"/>
      <c r="B48" s="58"/>
      <c r="C48" s="57"/>
      <c r="D48" s="56"/>
      <c r="E48" s="54"/>
      <c r="F48" s="55"/>
      <c r="H48" s="54"/>
      <c r="I48" s="91"/>
      <c r="J48" s="53"/>
      <c r="K48" s="51"/>
      <c r="L48" s="52"/>
      <c r="M48" s="51"/>
      <c r="N48" s="51"/>
      <c r="X48" s="39"/>
      <c r="Y48" s="38"/>
    </row>
    <row r="49" spans="1:28" ht="14.5">
      <c r="A49" s="58" t="s">
        <v>39</v>
      </c>
      <c r="B49" s="58">
        <v>16.100000000000001</v>
      </c>
      <c r="C49" s="57">
        <v>207.84866600000001</v>
      </c>
      <c r="D49" s="56">
        <v>3.3937320049999999</v>
      </c>
      <c r="E49" s="54">
        <v>4.128718804</v>
      </c>
      <c r="F49" s="55">
        <v>1.68019516E-2</v>
      </c>
      <c r="H49" s="54">
        <v>1.4073401478526648E-2</v>
      </c>
      <c r="I49" s="91">
        <f>0.19*H49</f>
        <v>2.6739462809200632E-3</v>
      </c>
      <c r="J49" s="53"/>
      <c r="K49" s="51">
        <v>128</v>
      </c>
      <c r="L49" s="52">
        <v>103.8</v>
      </c>
      <c r="M49" s="51">
        <v>28.4</v>
      </c>
      <c r="N49" s="51">
        <v>28.2</v>
      </c>
      <c r="O49" s="50">
        <v>0.5</v>
      </c>
      <c r="Q49" s="31">
        <f>(4/3)*3.14*(((M49+N49)/4)^3)/((10^4)^3)</f>
        <v>1.186144786333333E-8</v>
      </c>
      <c r="R49" s="98">
        <f>Q49*H49</f>
        <v>1.6693091789730205E-10</v>
      </c>
      <c r="S49" s="31">
        <f>(4/3)*3.14*((K49/2)*(L49/2)*(L49/2))/((10^4)^3)</f>
        <v>7.217438207999999E-7</v>
      </c>
      <c r="T49" s="31">
        <f>S49-Q49</f>
        <v>7.0988237293666659E-7</v>
      </c>
      <c r="U49" s="31">
        <f>T49*2.75</f>
        <v>1.9521765255758333E-6</v>
      </c>
      <c r="V49" s="98">
        <f>U49*C49*(10^-6)</f>
        <v>4.0575728663745185E-10</v>
      </c>
      <c r="X49" s="42">
        <f>R49/(R49+V49)</f>
        <v>0.29148656559622182</v>
      </c>
      <c r="Y49" s="38">
        <f>C49*(1/(1-X49))</f>
        <v>293.35882131142216</v>
      </c>
      <c r="AA49" s="41">
        <f>Y51-Y49</f>
        <v>13.284262088015566</v>
      </c>
      <c r="AB49" s="41">
        <f>Y49-Y50</f>
        <v>41.231335522569395</v>
      </c>
    </row>
    <row r="50" spans="1:28" ht="14.5">
      <c r="A50" s="58"/>
      <c r="B50" s="58"/>
      <c r="C50" s="57"/>
      <c r="D50" s="56"/>
      <c r="E50" s="54"/>
      <c r="F50" s="55"/>
      <c r="H50" s="54"/>
      <c r="I50" s="91"/>
      <c r="J50" s="53"/>
      <c r="K50" s="51"/>
      <c r="L50" s="52"/>
      <c r="M50" s="51"/>
      <c r="N50" s="51"/>
      <c r="P50" s="40" t="s">
        <v>37</v>
      </c>
      <c r="Q50" s="31">
        <f>(4/3)*3.14*((((M49-O49)+(N49-O49))/4)^3)/((10^4)^3)</f>
        <v>1.1243791546666664E-8</v>
      </c>
      <c r="R50" s="98">
        <f>Q50*(H49-I49)</f>
        <v>1.2817309798745428E-10</v>
      </c>
      <c r="S50" s="31">
        <f>(4/3)*3.14*(((K49+O49)/2)*((K49+O49)/2)*((L49+O49)/2))/((10^4)^3)</f>
        <v>9.0129914991666672E-7</v>
      </c>
      <c r="T50" s="31">
        <f>S50-Q50</f>
        <v>8.900553583700001E-7</v>
      </c>
      <c r="U50" s="31">
        <f>T50*3.2</f>
        <v>2.8481771467840006E-6</v>
      </c>
      <c r="V50" s="98">
        <f>U50*(C49+D49)*(10^-6)</f>
        <v>6.0165577042969111E-10</v>
      </c>
      <c r="X50" s="39">
        <f>R50/(R50+V50)</f>
        <v>0.17562075650067996</v>
      </c>
      <c r="Y50" s="38">
        <f>C49*(1/(1-X50))</f>
        <v>252.12748578885277</v>
      </c>
    </row>
    <row r="51" spans="1:28" ht="14.5">
      <c r="A51" s="58"/>
      <c r="B51" s="58"/>
      <c r="C51" s="57"/>
      <c r="D51" s="56"/>
      <c r="E51" s="54"/>
      <c r="F51" s="55"/>
      <c r="H51" s="54"/>
      <c r="I51" s="91"/>
      <c r="J51" s="53"/>
      <c r="K51" s="51"/>
      <c r="L51" s="52"/>
      <c r="M51" s="51"/>
      <c r="N51" s="51"/>
      <c r="P51" s="40" t="s">
        <v>36</v>
      </c>
      <c r="Q51" s="31">
        <f>(4/3)*3.14*((((M49+O49)+(N49+O49))/4)^3)/((10^4)^3)</f>
        <v>1.2501319679999995E-8</v>
      </c>
      <c r="R51" s="98">
        <f>Q50*(H49+I49)</f>
        <v>1.8830368716675382E-10</v>
      </c>
      <c r="S51" s="31">
        <f>(4/3)*3.14*(((K49-O49)/2)*((L49-O49)/2)*((L49-O49)/2))/((10^4)^3)</f>
        <v>7.1201513524999995E-7</v>
      </c>
      <c r="T51" s="31">
        <f>S51-Q51</f>
        <v>6.9951381556999999E-7</v>
      </c>
      <c r="U51" s="31">
        <f>T51*2.77</f>
        <v>1.9376532691289001E-6</v>
      </c>
      <c r="V51" s="98">
        <f>U51*(C49-D49)*(10^-6)</f>
        <v>3.9616277124494527E-10</v>
      </c>
      <c r="X51" s="39">
        <f>R51/(R51+V51)</f>
        <v>0.32218048522146742</v>
      </c>
      <c r="Y51" s="38">
        <f>C49*(1/(1-X51))</f>
        <v>306.64308339943773</v>
      </c>
      <c r="Z51" s="37">
        <f>(Y51-Y50)/Y49</f>
        <v>0.1858324810785649</v>
      </c>
    </row>
    <row r="52" spans="1:28" ht="14.5">
      <c r="A52" s="58"/>
      <c r="B52" s="58"/>
      <c r="C52" s="57"/>
      <c r="D52" s="56"/>
      <c r="E52" s="54"/>
      <c r="F52" s="55"/>
      <c r="H52" s="54"/>
      <c r="I52" s="91"/>
      <c r="J52" s="53"/>
      <c r="K52" s="51"/>
      <c r="L52" s="52"/>
      <c r="M52" s="51"/>
      <c r="N52" s="51"/>
      <c r="X52" s="39"/>
      <c r="Y52" s="38"/>
    </row>
    <row r="53" spans="1:28" ht="14.5">
      <c r="A53" s="58" t="s">
        <v>39</v>
      </c>
      <c r="B53" s="58">
        <v>22.1</v>
      </c>
      <c r="C53" s="57">
        <v>224.00175160000001</v>
      </c>
      <c r="D53" s="56">
        <v>4.754934242</v>
      </c>
      <c r="E53" s="54">
        <v>4.1890758839999993</v>
      </c>
      <c r="F53" s="55">
        <v>2.5782847719999998E-2</v>
      </c>
      <c r="H53" s="54">
        <v>5.4120787935971748E-2</v>
      </c>
      <c r="I53" s="91">
        <f>0.19*H53</f>
        <v>1.0282949707834632E-2</v>
      </c>
      <c r="J53" s="53"/>
      <c r="K53" s="51">
        <v>69.2</v>
      </c>
      <c r="L53" s="52">
        <v>61.4</v>
      </c>
      <c r="M53" s="51">
        <v>20.399999999999999</v>
      </c>
      <c r="N53" s="51">
        <v>20.6</v>
      </c>
      <c r="O53" s="50">
        <v>0.5</v>
      </c>
      <c r="Q53" s="31">
        <f>(4/3)*3.14*(((M53+N53)/4)^3)/((10^4)^3)</f>
        <v>4.5085820833333331E-9</v>
      </c>
      <c r="R53" s="98">
        <f>Q53*H53</f>
        <v>2.4400801482400504E-10</v>
      </c>
      <c r="S53" s="31">
        <f>(4/3)*3.14*((K53/2)*(L53/2)*(L53/2))/((10^4)^3)</f>
        <v>1.3652784474666667E-7</v>
      </c>
      <c r="T53" s="31">
        <f>S53-Q53</f>
        <v>1.3201926266333335E-7</v>
      </c>
      <c r="U53" s="31">
        <f>T53*2.75</f>
        <v>3.630529723241667E-7</v>
      </c>
      <c r="V53" s="98">
        <f>U53*C53*(10^-6)</f>
        <v>8.1324501724199667E-11</v>
      </c>
      <c r="X53" s="42">
        <f>R53/(R53+V53)</f>
        <v>0.75002651875362192</v>
      </c>
      <c r="Y53" s="38">
        <f>C53*(1/(1-X53))</f>
        <v>896.10206043904361</v>
      </c>
      <c r="AA53" s="41">
        <f>Y55-Y53</f>
        <v>101.87540041958516</v>
      </c>
      <c r="AB53" s="41">
        <f>Y53-Y54</f>
        <v>305.47652560892266</v>
      </c>
    </row>
    <row r="54" spans="1:28" ht="14.5">
      <c r="A54" s="58"/>
      <c r="B54" s="58"/>
      <c r="C54" s="57"/>
      <c r="D54" s="56"/>
      <c r="E54" s="54"/>
      <c r="F54" s="55"/>
      <c r="H54" s="54"/>
      <c r="I54" s="91"/>
      <c r="J54" s="53"/>
      <c r="K54" s="51"/>
      <c r="L54" s="52"/>
      <c r="M54" s="51"/>
      <c r="N54" s="51"/>
      <c r="P54" s="40" t="s">
        <v>37</v>
      </c>
      <c r="Q54" s="31">
        <f>(4/3)*3.14*((((M53-O53)+(N53-O53))/4)^3)/((10^4)^3)</f>
        <v>4.1866666666666671E-9</v>
      </c>
      <c r="R54" s="98">
        <f>Q54*(H53-I53)</f>
        <v>1.8353441604846741E-10</v>
      </c>
      <c r="S54" s="31">
        <f>(4/3)*3.14*(((K53+O53)/2)*((K53+O53)/2)*((L53+O53)/2))/((10^4)^3)</f>
        <v>1.5737458682333333E-7</v>
      </c>
      <c r="T54" s="31">
        <f>S54-Q54</f>
        <v>1.5318792015666667E-7</v>
      </c>
      <c r="U54" s="31">
        <f>T54*3.2</f>
        <v>4.9020134450133338E-7</v>
      </c>
      <c r="V54" s="98">
        <f>U54*(C53+D53)*(10^-6)</f>
        <v>1.1213683496341754E-10</v>
      </c>
      <c r="X54" s="39">
        <f>R54/(R54+V54)</f>
        <v>0.62073811850273519</v>
      </c>
      <c r="Y54" s="38">
        <f>C53*(1/(1-X54))</f>
        <v>590.62553483012096</v>
      </c>
    </row>
    <row r="55" spans="1:28" ht="14.5">
      <c r="A55" s="58"/>
      <c r="B55" s="58"/>
      <c r="C55" s="57"/>
      <c r="D55" s="56"/>
      <c r="E55" s="54"/>
      <c r="F55" s="55"/>
      <c r="H55" s="54"/>
      <c r="I55" s="91"/>
      <c r="J55" s="53"/>
      <c r="K55" s="51"/>
      <c r="L55" s="52"/>
      <c r="M55" s="51"/>
      <c r="N55" s="51"/>
      <c r="P55" s="40" t="s">
        <v>36</v>
      </c>
      <c r="Q55" s="31">
        <f>(4/3)*3.14*((((M53+O53)+(N53+O53))/4)^3)/((10^4)^3)</f>
        <v>4.8465900000000003E-9</v>
      </c>
      <c r="R55" s="98">
        <f>Q54*(H53+I53)</f>
        <v>2.6963698160206945E-10</v>
      </c>
      <c r="S55" s="31">
        <f>(4/3)*3.14*(((K53-O53)/2)*((L53-O53)/2)*((L53-O53)/2))/((10^4)^3)</f>
        <v>1.3334284593000001E-7</v>
      </c>
      <c r="T55" s="31">
        <f>S55-Q55</f>
        <v>1.2849625593E-7</v>
      </c>
      <c r="U55" s="31">
        <f>T55*2.77</f>
        <v>3.5593462892609997E-7</v>
      </c>
      <c r="V55" s="98">
        <f>U55*(C53-D53)*(10^-6)</f>
        <v>7.8037534579548142E-11</v>
      </c>
      <c r="X55" s="39">
        <f>R55/(R55+V55)</f>
        <v>0.77554427791658154</v>
      </c>
      <c r="Y55" s="38">
        <f>C53*(1/(1-X55))</f>
        <v>997.97746085862877</v>
      </c>
      <c r="Z55" s="37">
        <f>(Y55-Y54)/Y53</f>
        <v>0.45458206605275125</v>
      </c>
    </row>
    <row r="56" spans="1:28" ht="14.5">
      <c r="A56" s="58"/>
      <c r="B56" s="58"/>
      <c r="C56" s="57"/>
      <c r="D56" s="56"/>
      <c r="E56" s="54"/>
      <c r="F56" s="55"/>
      <c r="H56" s="54"/>
      <c r="I56" s="91"/>
      <c r="J56" s="53"/>
      <c r="K56" s="51"/>
      <c r="L56" s="52"/>
      <c r="M56" s="51"/>
      <c r="N56" s="51"/>
      <c r="X56" s="39"/>
      <c r="Y56" s="38"/>
    </row>
    <row r="57" spans="1:28" ht="14.5">
      <c r="A57" s="58" t="s">
        <v>39</v>
      </c>
      <c r="B57" s="58">
        <v>23.1</v>
      </c>
      <c r="C57" s="57">
        <v>200.84485169999999</v>
      </c>
      <c r="D57" s="56">
        <v>4.7514052659999999</v>
      </c>
      <c r="E57" s="54">
        <v>3.9737114479999995</v>
      </c>
      <c r="F57" s="55">
        <v>3.053140692E-2</v>
      </c>
      <c r="H57" s="54">
        <v>1.4427568174141925E-2</v>
      </c>
      <c r="I57" s="91">
        <f>0.19*H57</f>
        <v>2.7412379530869658E-3</v>
      </c>
      <c r="J57" s="53"/>
      <c r="K57" s="51">
        <v>117</v>
      </c>
      <c r="L57" s="52">
        <v>92.8</v>
      </c>
      <c r="M57" s="51">
        <v>28.6</v>
      </c>
      <c r="N57" s="51">
        <v>28</v>
      </c>
      <c r="O57" s="50">
        <v>0.5</v>
      </c>
      <c r="Q57" s="31">
        <f>(4/3)*3.14*(((M57+N57)/4)^3)/((10^4)^3)</f>
        <v>1.1861447863333335E-8</v>
      </c>
      <c r="R57" s="98">
        <f>Q57*H57</f>
        <v>1.7113184769227177E-10</v>
      </c>
      <c r="S57" s="31">
        <f>(4/3)*3.14*((K57/2)*(L57/2)*(L57/2))/((10^4)^3)</f>
        <v>5.2730296320000001E-7</v>
      </c>
      <c r="T57" s="31">
        <f>S57-Q57</f>
        <v>5.154415153366667E-7</v>
      </c>
      <c r="U57" s="31">
        <f>T57*2.75</f>
        <v>1.4174641671758334E-6</v>
      </c>
      <c r="V57" s="98">
        <f>U57*C57*(10^-6)</f>
        <v>2.8469038044649422E-10</v>
      </c>
      <c r="X57" s="42">
        <f>R57/(R57+V57)</f>
        <v>0.37543550342212378</v>
      </c>
      <c r="Y57" s="38">
        <f>C57*(1/(1-X57))</f>
        <v>321.5758385250399</v>
      </c>
      <c r="AA57" s="41">
        <f>Y59-Y57</f>
        <v>20.082306009959268</v>
      </c>
      <c r="AB57" s="41">
        <f>Y57-Y58</f>
        <v>60.217038337499446</v>
      </c>
    </row>
    <row r="58" spans="1:28" ht="14.5">
      <c r="A58" s="58"/>
      <c r="B58" s="58"/>
      <c r="C58" s="57"/>
      <c r="D58" s="56"/>
      <c r="E58" s="54"/>
      <c r="F58" s="55"/>
      <c r="H58" s="54"/>
      <c r="I58" s="91"/>
      <c r="J58" s="53"/>
      <c r="K58" s="51"/>
      <c r="L58" s="52"/>
      <c r="M58" s="51"/>
      <c r="N58" s="51"/>
      <c r="P58" s="40" t="s">
        <v>37</v>
      </c>
      <c r="Q58" s="31">
        <f>(4/3)*3.14*((((M57-O57)+(N57-O57))/4)^3)/((10^4)^3)</f>
        <v>1.1243791546666667E-8</v>
      </c>
      <c r="R58" s="98">
        <f>Q58*(H57-I57)</f>
        <v>1.3139866095105296E-10</v>
      </c>
      <c r="S58" s="31">
        <f>(4/3)*3.14*(((K57+O57)/2)*((K57+O57)/2)*((L57+O57)/2))/((10^4)^3)</f>
        <v>6.7411776874999993E-7</v>
      </c>
      <c r="T58" s="31">
        <f>S58-Q58</f>
        <v>6.6287397720333331E-7</v>
      </c>
      <c r="U58" s="31">
        <f>T58*3.2</f>
        <v>2.1211967270506668E-6</v>
      </c>
      <c r="V58" s="98">
        <f>U58*(C57+D57)*(10^-6)</f>
        <v>4.3611010737014704E-10</v>
      </c>
      <c r="X58" s="39">
        <f>R58/(R58+V58)</f>
        <v>0.2315359132507423</v>
      </c>
      <c r="Y58" s="38">
        <f>C57*(1/(1-X58))</f>
        <v>261.35880018754045</v>
      </c>
    </row>
    <row r="59" spans="1:28" ht="14.5">
      <c r="A59" s="58"/>
      <c r="B59" s="58"/>
      <c r="C59" s="57"/>
      <c r="D59" s="56"/>
      <c r="E59" s="54"/>
      <c r="F59" s="55"/>
      <c r="H59" s="54"/>
      <c r="I59" s="91"/>
      <c r="J59" s="53"/>
      <c r="K59" s="51"/>
      <c r="L59" s="52"/>
      <c r="M59" s="51"/>
      <c r="N59" s="51"/>
      <c r="P59" s="40" t="s">
        <v>36</v>
      </c>
      <c r="Q59" s="31">
        <f>(4/3)*3.14*((((M57+O57)+(N57+O57))/4)^3)/((10^4)^3)</f>
        <v>1.250131968E-8</v>
      </c>
      <c r="R59" s="98">
        <f>Q58*(H57+I57)</f>
        <v>1.9304247719969506E-10</v>
      </c>
      <c r="S59" s="31">
        <f>(4/3)*3.14*(((K57-O57)/2)*((L57-O57)/2)*((L57-O57)/2))/((10^4)^3)</f>
        <v>5.1940691248333324E-7</v>
      </c>
      <c r="T59" s="31">
        <f>S59-Q59</f>
        <v>5.0690559280333328E-7</v>
      </c>
      <c r="U59" s="31">
        <f>T59*2.77</f>
        <v>1.4041284920652332E-6</v>
      </c>
      <c r="V59" s="98">
        <f>U59*(C57-D57)*(10^-6)</f>
        <v>2.7534039524524696E-10</v>
      </c>
      <c r="X59" s="39">
        <f>R59/(R59+V59)</f>
        <v>0.41214674693807685</v>
      </c>
      <c r="Y59" s="38">
        <f>C57*(1/(1-X59))</f>
        <v>341.65814453499917</v>
      </c>
      <c r="Z59" s="37">
        <f>(Y59-Y58)/Y57</f>
        <v>0.24970577614215286</v>
      </c>
    </row>
    <row r="60" spans="1:28" ht="14.5">
      <c r="A60" s="58"/>
      <c r="B60" s="58"/>
      <c r="C60" s="57"/>
      <c r="D60" s="56"/>
      <c r="E60" s="54"/>
      <c r="F60" s="55"/>
      <c r="H60" s="54"/>
      <c r="I60" s="91"/>
      <c r="J60" s="53"/>
      <c r="K60" s="51"/>
      <c r="L60" s="52"/>
      <c r="M60" s="51"/>
      <c r="N60" s="51"/>
      <c r="X60" s="39"/>
      <c r="Y60" s="38"/>
    </row>
    <row r="61" spans="1:28" ht="14.5">
      <c r="A61" s="58" t="s">
        <v>39</v>
      </c>
      <c r="B61" s="58">
        <v>24.9</v>
      </c>
      <c r="C61" s="57">
        <v>63.060194489999994</v>
      </c>
      <c r="D61" s="56">
        <v>2.8697592729999997</v>
      </c>
      <c r="E61" s="54">
        <v>3.3262465880000001</v>
      </c>
      <c r="F61" s="55">
        <v>1.3373599119999999E-2</v>
      </c>
      <c r="H61" s="54">
        <v>1.6201221085793804E-2</v>
      </c>
      <c r="I61" s="91">
        <f>0.19*H61</f>
        <v>3.0782320063008229E-3</v>
      </c>
      <c r="J61" s="53"/>
      <c r="K61" s="52">
        <v>79.8</v>
      </c>
      <c r="L61" s="51">
        <v>48.6</v>
      </c>
      <c r="M61" s="51">
        <v>7.5</v>
      </c>
      <c r="N61" s="51">
        <v>7.7</v>
      </c>
      <c r="O61" s="50">
        <v>0.5</v>
      </c>
      <c r="Q61" s="31">
        <f>(4/3)*3.14*(((M61+N61)/4)^3)/((10^4)^3)</f>
        <v>2.2973077333333331E-10</v>
      </c>
      <c r="R61" s="98">
        <f>Q61*H61</f>
        <v>3.7219190489837163E-12</v>
      </c>
      <c r="S61" s="31">
        <f>(4/3)*3.14*((K61/2)*(L61/2)*(L61/2))/((10^4)^3)</f>
        <v>9.8640173520000006E-8</v>
      </c>
      <c r="T61" s="31">
        <f t="shared" ref="T61:T66" si="3">S61-Q61</f>
        <v>9.8410442746666671E-8</v>
      </c>
      <c r="U61" s="31">
        <f>T61*2.75</f>
        <v>2.7062871755333337E-7</v>
      </c>
      <c r="V61" s="98">
        <f>U61*C61*(10^-6)</f>
        <v>1.7065899563492475E-11</v>
      </c>
      <c r="X61" s="42">
        <f t="shared" ref="X61:X66" si="4">R61/(R61+V61)</f>
        <v>0.17904327136806641</v>
      </c>
      <c r="Y61" s="38">
        <f>C61*(1/(1-X61))</f>
        <v>76.81305517172062</v>
      </c>
      <c r="AA61" s="41">
        <f>Y63-Y61</f>
        <v>0.5135355342696073</v>
      </c>
      <c r="AB61" s="41">
        <f>Y61-Y62</f>
        <v>9.3136165860022828</v>
      </c>
    </row>
    <row r="62" spans="1:28" ht="14.5">
      <c r="C62" s="49"/>
      <c r="D62" s="48"/>
      <c r="E62" s="76"/>
      <c r="F62" s="47"/>
      <c r="H62" s="54"/>
      <c r="I62" s="91"/>
      <c r="K62" s="46"/>
      <c r="P62" s="40" t="s">
        <v>37</v>
      </c>
      <c r="Q62" s="31">
        <f>(4/3)*3.14*((((M61-O61)+(N61-O61))/4)^3)/((10^4)^3)</f>
        <v>1.8730675666666664E-10</v>
      </c>
      <c r="R62" s="98">
        <f>Q62*(H61-I61)</f>
        <v>2.4580245222519156E-12</v>
      </c>
      <c r="S62" s="31">
        <f>(4/3)*3.14*(((K61+O61)/2)*((K61+O61)/2)*((L61+O61)/2))/((10^4)^3)</f>
        <v>1.6568797127666666E-7</v>
      </c>
      <c r="T62" s="31">
        <f t="shared" si="3"/>
        <v>1.6550066452E-7</v>
      </c>
      <c r="U62" s="31">
        <f>T62*3.2</f>
        <v>5.2960212646400006E-7</v>
      </c>
      <c r="V62" s="98">
        <f>U62*(C61+D61)*(10^-6)</f>
        <v>3.4916643710557996E-11</v>
      </c>
      <c r="X62" s="39">
        <f t="shared" si="4"/>
        <v>6.5767126197366535E-2</v>
      </c>
      <c r="Y62" s="38">
        <f>C61*(1/(1-X62))</f>
        <v>67.499438585718337</v>
      </c>
    </row>
    <row r="63" spans="1:28" ht="14.5">
      <c r="C63" s="49"/>
      <c r="D63" s="48"/>
      <c r="E63" s="54"/>
      <c r="F63" s="55"/>
      <c r="H63" s="54"/>
      <c r="I63" s="91"/>
      <c r="K63" s="46"/>
      <c r="P63" s="40" t="s">
        <v>36</v>
      </c>
      <c r="Q63" s="31">
        <f>(4/3)*3.14*((((M61+O61)+(N61+O61))/4)^3)/((10^4)^3)</f>
        <v>2.7812078999999992E-10</v>
      </c>
      <c r="R63" s="98">
        <f>Q62*(H61+I61)</f>
        <v>3.6111718289873818E-12</v>
      </c>
      <c r="S63" s="31">
        <f>(4/3)*3.14*(((K61-O61)/2)*((L61-O61)/2)*((L61-O61)/2))/((10^4)^3)</f>
        <v>9.6015586203333341E-8</v>
      </c>
      <c r="T63" s="31">
        <f t="shared" si="3"/>
        <v>9.5737465413333336E-8</v>
      </c>
      <c r="U63" s="31">
        <f>T63*2.77</f>
        <v>2.6519277919493333E-7</v>
      </c>
      <c r="V63" s="98">
        <f>U63*(C61-D61)*(10^-6)</f>
        <v>1.5962068796148819E-11</v>
      </c>
      <c r="X63" s="39">
        <f t="shared" si="4"/>
        <v>0.18449534740557316</v>
      </c>
      <c r="Y63" s="38">
        <f>C61*(1/(1-X63))</f>
        <v>77.326590705990228</v>
      </c>
      <c r="Z63" s="37">
        <f>(Y63-Y62)/Y61</f>
        <v>0.12793596216558042</v>
      </c>
    </row>
    <row r="64" spans="1:28">
      <c r="C64" s="57"/>
      <c r="D64" s="56"/>
      <c r="E64" s="54"/>
      <c r="F64" s="55"/>
      <c r="H64" s="54"/>
      <c r="I64" s="91"/>
      <c r="X64" s="42"/>
      <c r="Y64" s="38"/>
      <c r="AA64" s="41"/>
      <c r="AB64" s="41"/>
    </row>
    <row r="65" spans="3:28" ht="14.5">
      <c r="C65" s="57"/>
      <c r="D65" s="56"/>
      <c r="E65" s="54"/>
      <c r="F65" s="55"/>
      <c r="H65" s="54"/>
      <c r="I65" s="91"/>
      <c r="P65" s="40"/>
      <c r="X65" s="39"/>
      <c r="Y65" s="38"/>
    </row>
    <row r="66" spans="3:28" ht="14.5">
      <c r="C66" s="57"/>
      <c r="D66" s="56"/>
      <c r="E66" s="54"/>
      <c r="F66" s="55"/>
      <c r="H66" s="54"/>
      <c r="I66" s="91"/>
      <c r="P66" s="40"/>
      <c r="X66" s="39"/>
      <c r="Y66" s="38"/>
      <c r="Z66" s="37"/>
    </row>
    <row r="67" spans="3:28">
      <c r="C67" s="57"/>
      <c r="D67" s="56"/>
      <c r="E67" s="54"/>
      <c r="F67" s="55"/>
      <c r="H67" s="54"/>
      <c r="I67" s="91"/>
    </row>
    <row r="68" spans="3:28">
      <c r="C68" s="57"/>
      <c r="D68" s="56"/>
      <c r="E68" s="54"/>
      <c r="F68" s="55"/>
      <c r="H68" s="54"/>
      <c r="I68" s="91"/>
      <c r="X68" s="42"/>
      <c r="Y68" s="38"/>
      <c r="AA68" s="41"/>
      <c r="AB68" s="41"/>
    </row>
    <row r="69" spans="3:28" ht="14.5">
      <c r="C69" s="57"/>
      <c r="D69" s="56"/>
      <c r="E69" s="54"/>
      <c r="F69" s="55"/>
      <c r="H69" s="54"/>
      <c r="I69" s="91"/>
      <c r="P69" s="40"/>
      <c r="X69" s="39"/>
      <c r="Y69" s="38"/>
    </row>
    <row r="70" spans="3:28" ht="14.5">
      <c r="C70" s="57"/>
      <c r="D70" s="56"/>
      <c r="E70" s="54"/>
      <c r="F70" s="55"/>
      <c r="H70" s="54"/>
      <c r="I70" s="91"/>
      <c r="P70" s="40"/>
      <c r="X70" s="39"/>
      <c r="Y70" s="38"/>
      <c r="Z70" s="37"/>
    </row>
    <row r="71" spans="3:28">
      <c r="C71" s="57"/>
      <c r="D71" s="56"/>
      <c r="E71" s="54"/>
      <c r="F71" s="55"/>
      <c r="H71" s="54"/>
      <c r="I71" s="91"/>
    </row>
    <row r="72" spans="3:28">
      <c r="C72" s="57"/>
      <c r="D72" s="56"/>
      <c r="E72" s="54"/>
      <c r="F72" s="55"/>
      <c r="H72" s="54"/>
      <c r="I72" s="91"/>
      <c r="X72" s="42"/>
      <c r="Y72" s="38"/>
      <c r="AA72" s="41"/>
      <c r="AB72" s="41"/>
    </row>
    <row r="73" spans="3:28" ht="14.5">
      <c r="C73" s="57"/>
      <c r="D73" s="56"/>
      <c r="E73" s="54"/>
      <c r="F73" s="55"/>
      <c r="H73" s="54"/>
      <c r="I73" s="91"/>
      <c r="P73" s="40"/>
      <c r="X73" s="39"/>
      <c r="Y73" s="38"/>
    </row>
    <row r="74" spans="3:28" ht="14.5">
      <c r="C74" s="57"/>
      <c r="D74" s="56"/>
      <c r="E74" s="54"/>
      <c r="F74" s="55"/>
      <c r="H74" s="54"/>
      <c r="I74" s="91"/>
      <c r="P74" s="40"/>
      <c r="X74" s="39"/>
      <c r="Y74" s="38"/>
      <c r="Z74" s="37"/>
    </row>
    <row r="75" spans="3:28">
      <c r="C75" s="57"/>
      <c r="D75" s="56"/>
      <c r="E75" s="54"/>
      <c r="F75" s="55"/>
      <c r="H75" s="54"/>
      <c r="I75" s="91"/>
    </row>
    <row r="76" spans="3:28">
      <c r="C76" s="57"/>
      <c r="D76" s="56"/>
      <c r="E76" s="54"/>
      <c r="F76" s="55"/>
      <c r="H76" s="54"/>
      <c r="I76" s="91"/>
      <c r="X76" s="42"/>
      <c r="Y76" s="38"/>
      <c r="AA76" s="41"/>
      <c r="AB76" s="41"/>
    </row>
    <row r="77" spans="3:28" ht="14.5">
      <c r="C77" s="57"/>
      <c r="D77" s="56"/>
      <c r="E77" s="54"/>
      <c r="F77" s="55"/>
      <c r="H77" s="54"/>
      <c r="I77" s="91"/>
      <c r="P77" s="40"/>
      <c r="X77" s="39"/>
      <c r="Y77" s="38"/>
    </row>
    <row r="78" spans="3:28" ht="14.5">
      <c r="C78" s="57"/>
      <c r="D78" s="56"/>
      <c r="E78" s="54"/>
      <c r="F78" s="55"/>
      <c r="H78" s="54"/>
      <c r="I78" s="91"/>
      <c r="P78" s="40"/>
      <c r="X78" s="39"/>
      <c r="Y78" s="38"/>
      <c r="Z78" s="37"/>
    </row>
    <row r="79" spans="3:28">
      <c r="C79" s="57"/>
      <c r="D79" s="56"/>
      <c r="E79" s="54"/>
      <c r="F79" s="55"/>
      <c r="H79" s="54"/>
      <c r="I79" s="91"/>
    </row>
    <row r="80" spans="3:28">
      <c r="C80" s="57"/>
      <c r="D80" s="56"/>
      <c r="E80" s="54"/>
      <c r="F80" s="55"/>
      <c r="H80" s="54"/>
      <c r="I80" s="91"/>
      <c r="X80" s="42"/>
      <c r="Y80" s="38"/>
      <c r="AA80" s="41"/>
      <c r="AB80" s="41"/>
    </row>
    <row r="81" spans="3:28" ht="14.5">
      <c r="C81" s="57"/>
      <c r="D81" s="56"/>
      <c r="E81" s="54"/>
      <c r="F81" s="55"/>
      <c r="H81" s="54"/>
      <c r="I81" s="91"/>
      <c r="P81" s="40"/>
      <c r="X81" s="39"/>
      <c r="Y81" s="38"/>
    </row>
    <row r="82" spans="3:28" ht="14.5">
      <c r="C82" s="57"/>
      <c r="D82" s="56"/>
      <c r="E82" s="54"/>
      <c r="F82" s="55"/>
      <c r="H82" s="54"/>
      <c r="I82" s="91"/>
      <c r="P82" s="40"/>
      <c r="X82" s="39"/>
      <c r="Y82" s="38"/>
      <c r="Z82" s="37"/>
    </row>
    <row r="83" spans="3:28">
      <c r="C83" s="57"/>
      <c r="D83" s="56"/>
      <c r="E83" s="54"/>
      <c r="F83" s="55"/>
      <c r="H83" s="54"/>
      <c r="I83" s="91"/>
    </row>
    <row r="84" spans="3:28">
      <c r="C84" s="57"/>
      <c r="D84" s="56"/>
      <c r="E84" s="54"/>
      <c r="F84" s="55"/>
      <c r="H84" s="54"/>
      <c r="I84" s="91"/>
      <c r="X84" s="42"/>
      <c r="Y84" s="38"/>
      <c r="AA84" s="41"/>
      <c r="AB84" s="41"/>
    </row>
    <row r="85" spans="3:28" ht="14.5">
      <c r="C85" s="57"/>
      <c r="D85" s="56"/>
      <c r="E85" s="54"/>
      <c r="F85" s="55"/>
      <c r="H85" s="54"/>
      <c r="I85" s="91"/>
      <c r="P85" s="40"/>
      <c r="X85" s="39"/>
      <c r="Y85" s="38"/>
    </row>
    <row r="86" spans="3:28" ht="14.5">
      <c r="C86" s="57"/>
      <c r="D86" s="56"/>
      <c r="E86" s="54"/>
      <c r="F86" s="55"/>
      <c r="H86" s="54"/>
      <c r="I86" s="91"/>
      <c r="P86" s="40"/>
      <c r="X86" s="39"/>
      <c r="Y86" s="38"/>
      <c r="Z86" s="37"/>
    </row>
    <row r="87" spans="3:28">
      <c r="C87" s="57"/>
      <c r="D87" s="56"/>
      <c r="E87" s="54"/>
      <c r="F87" s="55"/>
      <c r="H87" s="54"/>
      <c r="I87" s="91"/>
    </row>
    <row r="88" spans="3:28">
      <c r="C88" s="57"/>
      <c r="D88" s="56"/>
      <c r="E88" s="54"/>
      <c r="F88" s="55"/>
      <c r="H88" s="54"/>
      <c r="I88" s="91"/>
      <c r="X88" s="42"/>
      <c r="Y88" s="38"/>
      <c r="AA88" s="41"/>
      <c r="AB88" s="41"/>
    </row>
    <row r="89" spans="3:28" ht="14.5">
      <c r="C89" s="77"/>
      <c r="D89" s="44"/>
      <c r="E89" s="79"/>
      <c r="F89" s="78"/>
      <c r="I89" s="91"/>
      <c r="P89" s="40"/>
      <c r="X89" s="39"/>
      <c r="Y89" s="38"/>
    </row>
    <row r="90" spans="3:28" ht="14.5">
      <c r="C90" s="45"/>
      <c r="D90" s="44"/>
      <c r="E90" s="45"/>
      <c r="F90" s="78"/>
      <c r="I90" s="91"/>
      <c r="P90" s="40"/>
      <c r="X90" s="39"/>
      <c r="Y90" s="38"/>
      <c r="Z90" s="37"/>
    </row>
    <row r="91" spans="3:28">
      <c r="C91" s="45"/>
      <c r="D91" s="44"/>
      <c r="E91" s="45"/>
      <c r="F91" s="78"/>
      <c r="H91" s="30"/>
      <c r="I91" s="51"/>
      <c r="J91" s="30"/>
      <c r="P91" s="30"/>
      <c r="Q91" s="30"/>
      <c r="R91" s="99"/>
      <c r="S91" s="30"/>
      <c r="T91" s="30"/>
      <c r="U91" s="30"/>
      <c r="V91" s="99"/>
      <c r="W91" s="30"/>
      <c r="X91" s="30"/>
      <c r="Y91" s="30"/>
      <c r="Z91" s="30"/>
      <c r="AA91" s="30"/>
      <c r="AB91" s="30"/>
    </row>
    <row r="92" spans="3:28">
      <c r="C92" s="45"/>
      <c r="D92" s="44"/>
      <c r="E92" s="45"/>
      <c r="F92" s="78"/>
      <c r="K92" s="96"/>
    </row>
    <row r="93" spans="3:28">
      <c r="C93" s="45"/>
      <c r="D93" s="44"/>
      <c r="E93" s="45"/>
      <c r="F93" s="43"/>
      <c r="K93" s="96"/>
      <c r="X93" s="42"/>
      <c r="Y93" s="38"/>
      <c r="AA93" s="41"/>
      <c r="AB93" s="41"/>
    </row>
    <row r="94" spans="3:28" ht="14.5">
      <c r="C94" s="45"/>
      <c r="D94" s="44"/>
      <c r="E94" s="45"/>
      <c r="F94" s="43"/>
      <c r="P94" s="40"/>
      <c r="X94" s="39"/>
      <c r="Y94" s="38"/>
    </row>
    <row r="95" spans="3:28" ht="14.5">
      <c r="C95" s="45"/>
      <c r="D95" s="44"/>
      <c r="E95" s="45"/>
      <c r="F95" s="43"/>
      <c r="P95" s="40"/>
      <c r="X95" s="39"/>
      <c r="Y95" s="38"/>
      <c r="Z95" s="37"/>
    </row>
    <row r="96" spans="3:28">
      <c r="C96" s="45"/>
      <c r="D96" s="44"/>
      <c r="E96" s="45"/>
      <c r="F96" s="43"/>
    </row>
    <row r="97" spans="3:28">
      <c r="C97" s="45"/>
      <c r="D97" s="44"/>
      <c r="E97" s="45"/>
      <c r="F97" s="43"/>
      <c r="X97" s="42"/>
      <c r="Y97" s="38"/>
      <c r="AA97" s="41"/>
      <c r="AB97" s="41"/>
    </row>
    <row r="98" spans="3:28" ht="14.5">
      <c r="P98" s="40"/>
      <c r="X98" s="39"/>
      <c r="Y98" s="38"/>
    </row>
    <row r="99" spans="3:28" ht="14.5">
      <c r="P99" s="40"/>
      <c r="X99" s="39"/>
      <c r="Y99" s="38"/>
      <c r="Z99" s="37"/>
    </row>
    <row r="100" spans="3:28" ht="14.5">
      <c r="Z100" s="37"/>
    </row>
  </sheetData>
  <pageMargins left="0.25" right="0.25" top="0.75" bottom="0.75" header="0.3" footer="0.3"/>
  <pageSetup scale="90" orientation="landscape"/>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S24"/>
  <sheetViews>
    <sheetView workbookViewId="0">
      <selection activeCell="I29" sqref="I29"/>
    </sheetView>
  </sheetViews>
  <sheetFormatPr defaultColWidth="8.81640625" defaultRowHeight="14.5"/>
  <sheetData>
    <row r="2" spans="2:19">
      <c r="B2" s="75"/>
      <c r="C2" s="75"/>
      <c r="D2" s="75"/>
      <c r="E2" s="75"/>
      <c r="F2" s="75"/>
      <c r="G2" s="75"/>
      <c r="H2" s="75"/>
      <c r="I2" s="75"/>
      <c r="J2" s="75"/>
      <c r="K2" s="75"/>
      <c r="L2" s="75"/>
      <c r="M2" s="75"/>
      <c r="N2" s="75"/>
      <c r="O2" s="75"/>
      <c r="P2" s="75"/>
      <c r="Q2" s="72"/>
      <c r="R2" s="72"/>
      <c r="S2" s="72"/>
    </row>
    <row r="3" spans="2:19">
      <c r="B3" s="75"/>
      <c r="C3" s="75"/>
      <c r="D3" s="75"/>
      <c r="E3" s="75"/>
      <c r="F3" s="75"/>
      <c r="G3" s="75" t="s">
        <v>242</v>
      </c>
      <c r="H3" s="75"/>
      <c r="I3" s="75"/>
      <c r="J3" s="75"/>
      <c r="K3" s="75"/>
      <c r="L3" s="75"/>
      <c r="M3" s="75"/>
      <c r="N3" s="75"/>
      <c r="O3" s="75"/>
      <c r="P3" s="75"/>
      <c r="Q3" s="72"/>
      <c r="R3" s="72"/>
      <c r="S3" s="72"/>
    </row>
    <row r="4" spans="2:19">
      <c r="B4" s="75"/>
      <c r="C4" s="75"/>
      <c r="D4" s="75"/>
      <c r="E4" s="75"/>
      <c r="F4" s="75"/>
      <c r="G4" s="75" t="s">
        <v>243</v>
      </c>
      <c r="H4" s="75"/>
      <c r="I4" s="75"/>
      <c r="J4" s="75"/>
      <c r="K4" s="75"/>
      <c r="L4" s="75"/>
      <c r="M4" s="75"/>
      <c r="N4" s="75"/>
      <c r="O4" s="75"/>
      <c r="P4" s="75"/>
      <c r="Q4" s="72"/>
      <c r="R4" s="72"/>
      <c r="S4" s="72"/>
    </row>
    <row r="5" spans="2:19">
      <c r="B5" s="75"/>
      <c r="C5" s="75"/>
      <c r="D5" s="75"/>
      <c r="E5" s="75"/>
      <c r="F5" s="75"/>
      <c r="G5" s="75"/>
      <c r="H5" s="75"/>
      <c r="I5" s="75"/>
      <c r="J5" s="75"/>
      <c r="K5" s="75"/>
      <c r="L5" s="75"/>
      <c r="M5" s="75"/>
      <c r="N5" s="75"/>
      <c r="O5" s="75"/>
      <c r="P5" s="75"/>
      <c r="Q5" s="72"/>
      <c r="R5" s="72"/>
      <c r="S5" s="72"/>
    </row>
    <row r="6" spans="2:19">
      <c r="B6" s="75"/>
      <c r="C6" s="75"/>
      <c r="D6" s="75"/>
      <c r="E6" s="75"/>
      <c r="F6" s="75"/>
      <c r="G6" s="75"/>
      <c r="H6" s="75"/>
      <c r="I6" s="75"/>
      <c r="J6" s="75"/>
      <c r="K6" s="75"/>
      <c r="L6" s="75"/>
      <c r="M6" s="75"/>
      <c r="N6" s="75"/>
      <c r="O6" s="75"/>
      <c r="P6" s="75"/>
      <c r="Q6" s="72"/>
      <c r="R6" s="72"/>
      <c r="S6" s="72"/>
    </row>
    <row r="7" spans="2:19">
      <c r="B7" s="75"/>
      <c r="C7" s="75"/>
      <c r="D7" s="75"/>
      <c r="E7" s="75"/>
      <c r="F7" s="75"/>
      <c r="G7" s="75"/>
      <c r="H7" s="75"/>
      <c r="I7" s="75"/>
      <c r="J7" s="75"/>
      <c r="K7" s="75"/>
      <c r="L7" s="75"/>
      <c r="M7" s="75"/>
      <c r="N7" s="75"/>
      <c r="O7" s="75"/>
      <c r="P7" s="75"/>
      <c r="Q7" s="72"/>
      <c r="R7" s="72"/>
      <c r="S7" s="72"/>
    </row>
    <row r="8" spans="2:19">
      <c r="B8" s="75"/>
      <c r="C8" s="75"/>
      <c r="D8" s="75"/>
      <c r="E8" s="75"/>
      <c r="F8" s="75"/>
      <c r="G8" s="75"/>
      <c r="H8" s="75"/>
      <c r="I8" s="75"/>
      <c r="J8" s="75"/>
      <c r="K8" s="75"/>
      <c r="L8" s="75"/>
      <c r="M8" s="75"/>
      <c r="N8" s="75"/>
      <c r="O8" s="75"/>
      <c r="P8" s="75"/>
      <c r="Q8" s="72"/>
      <c r="R8" s="72"/>
      <c r="S8" s="72"/>
    </row>
    <row r="9" spans="2:19">
      <c r="B9" s="75"/>
      <c r="C9" s="75"/>
      <c r="D9" s="75"/>
      <c r="E9" s="75"/>
      <c r="F9" s="75"/>
      <c r="G9" s="75"/>
      <c r="H9" s="75"/>
      <c r="I9" s="75"/>
      <c r="J9" s="75"/>
      <c r="K9" s="75"/>
      <c r="L9" s="75"/>
      <c r="M9" s="75"/>
      <c r="N9" s="75"/>
      <c r="O9" s="75"/>
      <c r="P9" s="75"/>
      <c r="Q9" s="72"/>
      <c r="R9" s="72"/>
      <c r="S9" s="72"/>
    </row>
    <row r="10" spans="2:19">
      <c r="B10" s="75"/>
      <c r="C10" s="75"/>
      <c r="D10" s="75"/>
      <c r="E10" s="75"/>
      <c r="F10" s="75"/>
      <c r="G10" s="75"/>
      <c r="H10" s="75"/>
      <c r="I10" s="75"/>
      <c r="J10" s="75"/>
      <c r="K10" s="75"/>
      <c r="L10" s="75"/>
      <c r="M10" s="75"/>
      <c r="N10" s="75"/>
      <c r="O10" s="75"/>
      <c r="P10" s="75"/>
      <c r="Q10" s="72"/>
      <c r="R10" s="72"/>
      <c r="S10" s="72"/>
    </row>
    <row r="11" spans="2:19">
      <c r="B11" s="75"/>
      <c r="C11" s="75"/>
      <c r="D11" s="75"/>
      <c r="E11" s="75"/>
      <c r="F11" s="75"/>
      <c r="G11" s="75"/>
      <c r="H11" s="75"/>
      <c r="I11" s="75"/>
      <c r="J11" s="75"/>
      <c r="K11" s="75"/>
      <c r="L11" s="75"/>
      <c r="M11" s="75"/>
      <c r="N11" s="75"/>
      <c r="O11" s="75"/>
      <c r="P11" s="75"/>
      <c r="Q11" s="72"/>
      <c r="R11" s="72"/>
      <c r="S11" s="72"/>
    </row>
    <row r="12" spans="2:19">
      <c r="B12" s="75"/>
      <c r="C12" s="75"/>
      <c r="D12" s="75"/>
      <c r="E12" s="75"/>
      <c r="F12" s="75"/>
      <c r="G12" s="75"/>
      <c r="H12" s="75"/>
      <c r="I12" s="75"/>
      <c r="J12" s="75"/>
      <c r="K12" s="75"/>
      <c r="L12" s="75"/>
      <c r="M12" s="75"/>
      <c r="N12" s="75"/>
      <c r="O12" s="75"/>
      <c r="P12" s="75"/>
      <c r="Q12" s="72"/>
      <c r="R12" s="72"/>
      <c r="S12" s="72"/>
    </row>
    <row r="13" spans="2:19">
      <c r="B13" s="75"/>
      <c r="C13" s="75"/>
      <c r="D13" s="75"/>
      <c r="E13" s="75"/>
      <c r="F13" s="75"/>
      <c r="G13" s="75"/>
      <c r="H13" s="75"/>
      <c r="I13" s="75"/>
      <c r="J13" s="75"/>
      <c r="K13" s="75"/>
      <c r="L13" s="75"/>
      <c r="M13" s="75"/>
      <c r="N13" s="75"/>
      <c r="O13" s="75"/>
      <c r="P13" s="75"/>
      <c r="Q13" s="72"/>
      <c r="R13" s="72"/>
      <c r="S13" s="72"/>
    </row>
    <row r="14" spans="2:19">
      <c r="B14" s="75"/>
      <c r="C14" s="75"/>
      <c r="D14" s="75"/>
      <c r="E14" s="75"/>
      <c r="F14" s="75"/>
      <c r="G14" s="75"/>
      <c r="H14" s="75"/>
      <c r="I14" s="75"/>
      <c r="J14" s="75"/>
      <c r="K14" s="75"/>
      <c r="L14" s="75"/>
      <c r="M14" s="75"/>
      <c r="N14" s="75"/>
      <c r="O14" s="75"/>
      <c r="P14" s="75"/>
      <c r="Q14" s="72"/>
      <c r="R14" s="72"/>
      <c r="S14" s="72"/>
    </row>
    <row r="15" spans="2:19">
      <c r="B15" s="75"/>
      <c r="C15" s="75"/>
      <c r="D15" s="75"/>
      <c r="E15" s="75"/>
      <c r="F15" s="75"/>
      <c r="G15" s="75"/>
      <c r="H15" s="75"/>
      <c r="I15" s="75"/>
      <c r="J15" s="75"/>
      <c r="K15" s="75"/>
      <c r="L15" s="75"/>
      <c r="M15" s="75"/>
      <c r="N15" s="75"/>
      <c r="O15" s="75"/>
      <c r="P15" s="75"/>
      <c r="Q15" s="72"/>
      <c r="R15" s="72"/>
      <c r="S15" s="72"/>
    </row>
    <row r="16" spans="2:19">
      <c r="B16" s="75"/>
      <c r="C16" s="75"/>
      <c r="D16" s="75"/>
      <c r="E16" s="75"/>
      <c r="F16" s="75"/>
      <c r="G16" s="75"/>
      <c r="H16" s="75"/>
      <c r="I16" s="75"/>
      <c r="J16" s="75"/>
      <c r="K16" s="75"/>
      <c r="L16" s="75"/>
      <c r="M16" s="75"/>
      <c r="N16" s="75"/>
      <c r="O16" s="75"/>
      <c r="P16" s="75"/>
      <c r="Q16" s="72"/>
      <c r="R16" s="72"/>
      <c r="S16" s="72"/>
    </row>
    <row r="17" spans="2:19">
      <c r="B17" s="75"/>
      <c r="C17" s="75"/>
      <c r="D17" s="75"/>
      <c r="E17" s="75"/>
      <c r="F17" s="75"/>
      <c r="G17" s="75"/>
      <c r="H17" s="75"/>
      <c r="I17" s="75"/>
      <c r="J17" s="75"/>
      <c r="K17" s="75"/>
      <c r="L17" s="75"/>
      <c r="M17" s="75"/>
      <c r="N17" s="75"/>
      <c r="O17" s="75"/>
      <c r="P17" s="75"/>
      <c r="Q17" s="72"/>
      <c r="R17" s="72"/>
      <c r="S17" s="72"/>
    </row>
    <row r="18" spans="2:19">
      <c r="B18" s="75"/>
      <c r="C18" s="75"/>
      <c r="D18" s="75"/>
      <c r="E18" s="75"/>
      <c r="F18" s="75"/>
      <c r="G18" s="75"/>
      <c r="H18" s="75"/>
      <c r="I18" s="75"/>
      <c r="J18" s="75"/>
      <c r="K18" s="75"/>
      <c r="L18" s="75"/>
      <c r="M18" s="75"/>
      <c r="N18" s="75"/>
      <c r="O18" s="75"/>
      <c r="P18" s="75"/>
      <c r="Q18" s="72"/>
      <c r="R18" s="72"/>
      <c r="S18" s="72"/>
    </row>
    <row r="19" spans="2:19">
      <c r="B19" s="75"/>
      <c r="C19" s="75"/>
      <c r="D19" s="75"/>
      <c r="E19" s="75"/>
      <c r="F19" s="75"/>
      <c r="G19" s="75"/>
      <c r="H19" s="75"/>
      <c r="I19" s="75"/>
      <c r="J19" s="75"/>
      <c r="K19" s="75"/>
      <c r="L19" s="75"/>
      <c r="M19" s="75"/>
      <c r="N19" s="75"/>
      <c r="O19" s="75"/>
      <c r="P19" s="75"/>
      <c r="Q19" s="72"/>
      <c r="R19" s="72"/>
      <c r="S19" s="72"/>
    </row>
    <row r="20" spans="2:19">
      <c r="B20" s="75"/>
      <c r="C20" s="75"/>
      <c r="D20" s="75"/>
      <c r="E20" s="75"/>
      <c r="F20" s="75"/>
      <c r="G20" s="75"/>
      <c r="H20" s="75"/>
      <c r="I20" s="75"/>
      <c r="J20" s="75"/>
      <c r="K20" s="75"/>
      <c r="L20" s="75"/>
      <c r="M20" s="75"/>
      <c r="N20" s="75"/>
      <c r="O20" s="75"/>
      <c r="P20" s="75"/>
      <c r="Q20" s="72"/>
      <c r="R20" s="72"/>
      <c r="S20" s="72"/>
    </row>
    <row r="21" spans="2:19">
      <c r="B21" s="75"/>
      <c r="C21" s="75"/>
      <c r="D21" s="75"/>
      <c r="E21" s="75"/>
      <c r="F21" s="75"/>
      <c r="G21" s="75"/>
      <c r="H21" s="75"/>
      <c r="I21" s="75"/>
      <c r="J21" s="75"/>
      <c r="K21" s="75"/>
      <c r="L21" s="75"/>
      <c r="M21" s="75"/>
      <c r="N21" s="75"/>
      <c r="O21" s="75"/>
      <c r="P21" s="75"/>
      <c r="Q21" s="72"/>
      <c r="R21" s="72"/>
      <c r="S21" s="72"/>
    </row>
    <row r="22" spans="2:19">
      <c r="B22" s="75"/>
      <c r="C22" s="75"/>
      <c r="D22" s="75"/>
      <c r="E22" s="75"/>
      <c r="F22" s="75"/>
      <c r="G22" s="75"/>
      <c r="H22" s="75"/>
      <c r="I22" s="75"/>
      <c r="J22" s="75"/>
      <c r="K22" s="75"/>
      <c r="L22" s="75"/>
      <c r="M22" s="75"/>
      <c r="N22" s="75"/>
      <c r="O22" s="75"/>
      <c r="P22" s="75"/>
      <c r="Q22" s="72"/>
      <c r="R22" s="72"/>
      <c r="S22" s="72"/>
    </row>
    <row r="23" spans="2:19">
      <c r="B23" s="75"/>
      <c r="C23" s="75"/>
      <c r="D23" s="75"/>
      <c r="E23" s="75"/>
      <c r="F23" s="75"/>
      <c r="G23" s="75"/>
      <c r="H23" s="75"/>
      <c r="I23" s="75"/>
      <c r="J23" s="75"/>
      <c r="K23" s="75"/>
      <c r="L23" s="75"/>
      <c r="M23" s="75"/>
      <c r="N23" s="75"/>
      <c r="O23" s="75"/>
      <c r="P23" s="75"/>
      <c r="Q23" s="72"/>
      <c r="R23" s="72"/>
      <c r="S23" s="72"/>
    </row>
    <row r="24" spans="2:19">
      <c r="B24" s="75"/>
      <c r="C24" s="75"/>
      <c r="D24" s="75"/>
      <c r="E24" s="75"/>
      <c r="F24" s="75"/>
      <c r="G24" s="75"/>
      <c r="H24" s="75"/>
      <c r="I24" s="75"/>
      <c r="J24" s="75"/>
      <c r="K24" s="75"/>
      <c r="L24" s="75"/>
      <c r="M24" s="75"/>
      <c r="N24" s="75"/>
      <c r="O24" s="75"/>
      <c r="P24" s="75"/>
      <c r="Q24" s="72"/>
      <c r="R24" s="72"/>
      <c r="S24" s="72"/>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0"/>
  <sheetViews>
    <sheetView workbookViewId="0">
      <selection sqref="A1:A2"/>
    </sheetView>
  </sheetViews>
  <sheetFormatPr defaultColWidth="8.81640625" defaultRowHeight="14.5"/>
  <sheetData>
    <row r="1" spans="1:12">
      <c r="A1" s="96" t="s">
        <v>242</v>
      </c>
    </row>
    <row r="2" spans="1:12">
      <c r="A2" s="96" t="s">
        <v>243</v>
      </c>
    </row>
    <row r="3" spans="1:12">
      <c r="A3" s="4" t="s">
        <v>211</v>
      </c>
      <c r="B3" s="4"/>
      <c r="C3" s="4"/>
      <c r="D3" s="4"/>
      <c r="E3" s="4"/>
      <c r="F3" s="4"/>
      <c r="G3" s="4"/>
      <c r="H3" s="4"/>
      <c r="I3" s="4"/>
      <c r="J3" s="4"/>
      <c r="K3" s="4"/>
      <c r="L3" s="4"/>
    </row>
    <row r="4" spans="1:12">
      <c r="A4" s="67" t="s">
        <v>1</v>
      </c>
      <c r="B4" s="68" t="s">
        <v>79</v>
      </c>
      <c r="C4" s="68" t="s">
        <v>79</v>
      </c>
      <c r="D4" s="68" t="s">
        <v>79</v>
      </c>
      <c r="E4" s="68" t="s">
        <v>79</v>
      </c>
      <c r="F4" s="68" t="s">
        <v>79</v>
      </c>
      <c r="G4" s="68" t="s">
        <v>79</v>
      </c>
      <c r="H4" s="68" t="s">
        <v>85</v>
      </c>
      <c r="I4" s="68" t="s">
        <v>85</v>
      </c>
      <c r="J4" s="68" t="s">
        <v>85</v>
      </c>
      <c r="K4" s="68" t="s">
        <v>85</v>
      </c>
      <c r="L4" s="68" t="s">
        <v>85</v>
      </c>
    </row>
    <row r="5" spans="1:12">
      <c r="A5" s="59" t="s">
        <v>2</v>
      </c>
      <c r="B5" s="61" t="s">
        <v>80</v>
      </c>
      <c r="C5" s="61" t="s">
        <v>81</v>
      </c>
      <c r="D5" s="61" t="s">
        <v>82</v>
      </c>
      <c r="E5" s="61">
        <v>12.3</v>
      </c>
      <c r="F5" s="61">
        <v>15.1</v>
      </c>
      <c r="G5" s="61" t="s">
        <v>84</v>
      </c>
      <c r="H5" s="61" t="s">
        <v>86</v>
      </c>
      <c r="I5" s="61" t="s">
        <v>87</v>
      </c>
      <c r="J5" s="61" t="s">
        <v>88</v>
      </c>
      <c r="K5" s="61" t="s">
        <v>89</v>
      </c>
      <c r="L5" s="61" t="s">
        <v>90</v>
      </c>
    </row>
    <row r="6" spans="1:12">
      <c r="A6" s="69" t="s">
        <v>212</v>
      </c>
      <c r="B6" s="64">
        <v>73.39</v>
      </c>
      <c r="C6" s="64">
        <v>73.13</v>
      </c>
      <c r="D6" s="64">
        <v>73.33</v>
      </c>
      <c r="E6" s="64">
        <v>75.81</v>
      </c>
      <c r="F6" s="64">
        <v>73.180000000000007</v>
      </c>
      <c r="G6" s="64">
        <v>73.760000000000005</v>
      </c>
      <c r="H6" s="64">
        <v>82.54</v>
      </c>
      <c r="I6" s="64">
        <v>83.07</v>
      </c>
      <c r="J6" s="64">
        <v>81</v>
      </c>
      <c r="K6" s="64">
        <v>82.93</v>
      </c>
      <c r="L6" s="64">
        <v>82.98</v>
      </c>
    </row>
    <row r="7" spans="1:12" ht="16.5">
      <c r="A7" s="69" t="s">
        <v>198</v>
      </c>
      <c r="B7" s="70">
        <v>51.80589790196457</v>
      </c>
      <c r="C7" s="70">
        <v>50.064416199742787</v>
      </c>
      <c r="D7" s="70">
        <v>49.943525521427709</v>
      </c>
      <c r="E7" s="70">
        <v>48.76787757842559</v>
      </c>
      <c r="F7" s="70">
        <v>52.826839702170012</v>
      </c>
      <c r="G7" s="70">
        <v>50.159947185808569</v>
      </c>
      <c r="H7" s="70">
        <v>50.579815471158618</v>
      </c>
      <c r="I7" s="70">
        <v>50.845112611145701</v>
      </c>
      <c r="J7" s="70">
        <v>49.648524572326068</v>
      </c>
      <c r="K7" s="70">
        <v>50.811115660655418</v>
      </c>
      <c r="L7" s="70">
        <v>49.193160013187118</v>
      </c>
    </row>
    <row r="8" spans="1:12" ht="16.5">
      <c r="A8" s="69" t="s">
        <v>199</v>
      </c>
      <c r="B8" s="70">
        <v>0.91811786193747325</v>
      </c>
      <c r="C8" s="70">
        <v>0.68512306205338613</v>
      </c>
      <c r="D8" s="70">
        <v>0.74606489737246962</v>
      </c>
      <c r="E8" s="70">
        <v>1.0790988355867266</v>
      </c>
      <c r="F8" s="70">
        <v>1.0917438620713531</v>
      </c>
      <c r="G8" s="70">
        <v>0.72258998758681248</v>
      </c>
      <c r="H8" s="70">
        <v>0.64938148478076241</v>
      </c>
      <c r="I8" s="70">
        <v>0.67404292504861352</v>
      </c>
      <c r="J8" s="70">
        <v>0.65237380358218644</v>
      </c>
      <c r="K8" s="70">
        <v>0.73703360084200509</v>
      </c>
      <c r="L8" s="70">
        <v>0.62743933887598946</v>
      </c>
    </row>
    <row r="9" spans="1:12" ht="16.5">
      <c r="A9" s="69" t="s">
        <v>200</v>
      </c>
      <c r="B9" s="70">
        <v>16.830570161400562</v>
      </c>
      <c r="C9" s="70">
        <v>16.860688245172152</v>
      </c>
      <c r="D9" s="70">
        <v>17.690492910910983</v>
      </c>
      <c r="E9" s="70">
        <v>19.070395488608622</v>
      </c>
      <c r="F9" s="70">
        <v>16.05140472625467</v>
      </c>
      <c r="G9" s="70">
        <v>17.613845911136586</v>
      </c>
      <c r="H9" s="70">
        <v>18.160619869060817</v>
      </c>
      <c r="I9" s="70">
        <v>18.848237348581602</v>
      </c>
      <c r="J9" s="70">
        <v>18.017988830995648</v>
      </c>
      <c r="K9" s="70">
        <v>17.798352483436268</v>
      </c>
      <c r="L9" s="70">
        <v>18.687155149301987</v>
      </c>
    </row>
    <row r="10" spans="1:12" ht="16.5">
      <c r="A10" s="69" t="s">
        <v>201</v>
      </c>
      <c r="B10" s="70">
        <v>1.5985939903796962</v>
      </c>
      <c r="C10" s="70">
        <v>1.6833093010728335</v>
      </c>
      <c r="D10" s="70">
        <v>1.4121942700264605</v>
      </c>
      <c r="E10" s="70">
        <v>1.1918405049763845</v>
      </c>
      <c r="F10" s="70">
        <v>1.490999272697622</v>
      </c>
      <c r="G10" s="70">
        <v>1.4308807010129359</v>
      </c>
      <c r="H10" s="70">
        <v>0.87191694189913294</v>
      </c>
      <c r="I10" s="70">
        <v>0.78734358766362267</v>
      </c>
      <c r="J10" s="70">
        <v>0.99774817018452033</v>
      </c>
      <c r="K10" s="70">
        <v>0.94363363236877318</v>
      </c>
      <c r="L10" s="70">
        <v>0.89278391424797277</v>
      </c>
    </row>
    <row r="11" spans="1:12">
      <c r="A11" s="69" t="s">
        <v>202</v>
      </c>
      <c r="B11" s="70">
        <v>8.0597768649292743</v>
      </c>
      <c r="C11" s="70">
        <v>9.2577253759963796</v>
      </c>
      <c r="D11" s="70">
        <v>8.29235907615268</v>
      </c>
      <c r="E11" s="70">
        <v>7.0904088547243731</v>
      </c>
      <c r="F11" s="70">
        <v>7.797897541514021</v>
      </c>
      <c r="G11" s="70">
        <v>8.6243688887834988</v>
      </c>
      <c r="H11" s="70">
        <v>6.691410986455832</v>
      </c>
      <c r="I11" s="70">
        <v>6.0884703528963797</v>
      </c>
      <c r="J11" s="70">
        <v>7.4322644946341141</v>
      </c>
      <c r="K11" s="70">
        <v>6.9542531542289323</v>
      </c>
      <c r="L11" s="70">
        <v>6.8740529706474813</v>
      </c>
    </row>
    <row r="12" spans="1:12">
      <c r="A12" s="69" t="s">
        <v>48</v>
      </c>
      <c r="B12" s="70">
        <v>0.2090101993391961</v>
      </c>
      <c r="C12" s="70">
        <v>0.16081360762086427</v>
      </c>
      <c r="D12" s="70">
        <v>0.22077430636532266</v>
      </c>
      <c r="E12" s="70">
        <v>0.13737430303781856</v>
      </c>
      <c r="F12" s="70">
        <v>0.20249317476739004</v>
      </c>
      <c r="G12" s="70">
        <v>0.18970370386513941</v>
      </c>
      <c r="H12" s="70">
        <v>8.2491591862844257E-2</v>
      </c>
      <c r="I12" s="70">
        <v>6.721225748347999E-2</v>
      </c>
      <c r="J12" s="70">
        <v>0.19954963403690407</v>
      </c>
      <c r="K12" s="70">
        <v>0.12107722777847803</v>
      </c>
      <c r="L12" s="70">
        <v>0.10728733733452032</v>
      </c>
    </row>
    <row r="13" spans="1:12">
      <c r="A13" s="69" t="s">
        <v>46</v>
      </c>
      <c r="B13" s="70">
        <v>4.0370463160036509</v>
      </c>
      <c r="C13" s="70">
        <v>4.7397194056776613</v>
      </c>
      <c r="D13" s="70">
        <v>4.269889278712081</v>
      </c>
      <c r="E13" s="70">
        <v>3.9952236959343503</v>
      </c>
      <c r="F13" s="70">
        <v>3.9629442552353837</v>
      </c>
      <c r="G13" s="70">
        <v>4.5729078765883102</v>
      </c>
      <c r="H13" s="70">
        <v>5.7772890440687323</v>
      </c>
      <c r="I13" s="70">
        <v>5.3635381471817034</v>
      </c>
      <c r="J13" s="70">
        <v>5.8425830350228161</v>
      </c>
      <c r="K13" s="70">
        <v>6.1720558255647964</v>
      </c>
      <c r="L13" s="70">
        <v>6.0387444156858585</v>
      </c>
    </row>
    <row r="14" spans="1:12">
      <c r="A14" s="69" t="s">
        <v>47</v>
      </c>
      <c r="B14" s="70">
        <v>7.3373078197248383</v>
      </c>
      <c r="C14" s="70">
        <v>8.0616146968281761</v>
      </c>
      <c r="D14" s="70">
        <v>9.0403272003041604</v>
      </c>
      <c r="E14" s="70">
        <v>9.5565144464998326</v>
      </c>
      <c r="F14" s="70">
        <v>7.9115611631994893</v>
      </c>
      <c r="G14" s="70">
        <v>8.6548740069929693</v>
      </c>
      <c r="H14" s="70">
        <v>10.249100686680128</v>
      </c>
      <c r="I14" s="70">
        <v>10.133688078294968</v>
      </c>
      <c r="J14" s="70">
        <v>10.532958808130623</v>
      </c>
      <c r="K14" s="70">
        <v>9.6131475134594773</v>
      </c>
      <c r="L14" s="70">
        <v>10.586961180545702</v>
      </c>
    </row>
    <row r="15" spans="1:12" ht="16.5">
      <c r="A15" s="69" t="s">
        <v>203</v>
      </c>
      <c r="B15" s="70">
        <v>3.8299448856081915</v>
      </c>
      <c r="C15" s="70">
        <v>3.106842774450425</v>
      </c>
      <c r="D15" s="70">
        <v>2.9823563627108669</v>
      </c>
      <c r="E15" s="70">
        <v>3.2316120528413732</v>
      </c>
      <c r="F15" s="70">
        <v>3.3955813032927908</v>
      </c>
      <c r="G15" s="70">
        <v>2.7826387516700599</v>
      </c>
      <c r="H15" s="70">
        <v>2.4920134379031325</v>
      </c>
      <c r="I15" s="70">
        <v>2.8267555147337866</v>
      </c>
      <c r="J15" s="70">
        <v>2.3034551505894547</v>
      </c>
      <c r="K15" s="70">
        <v>2.4359585112574749</v>
      </c>
      <c r="L15" s="70">
        <v>2.4503661509080623</v>
      </c>
    </row>
    <row r="16" spans="1:12" ht="16.5">
      <c r="A16" s="69" t="s">
        <v>204</v>
      </c>
      <c r="B16" s="70">
        <v>0.81218118556007246</v>
      </c>
      <c r="C16" s="70">
        <v>0.53667973194181906</v>
      </c>
      <c r="D16" s="70">
        <v>0.56145189980836363</v>
      </c>
      <c r="E16" s="70">
        <v>0.62055288613635284</v>
      </c>
      <c r="F16" s="70">
        <v>0.78418347398126054</v>
      </c>
      <c r="G16" s="70">
        <v>0.57769067609183156</v>
      </c>
      <c r="H16" s="70">
        <v>0.32133352644247476</v>
      </c>
      <c r="I16" s="70">
        <v>0.37254794147986048</v>
      </c>
      <c r="J16" s="70">
        <v>0.28589322568748754</v>
      </c>
      <c r="K16" s="70">
        <v>0.45836379087566681</v>
      </c>
      <c r="L16" s="70">
        <v>0.2988718682890209</v>
      </c>
    </row>
    <row r="17" spans="1:12" ht="16.5">
      <c r="A17" s="69" t="s">
        <v>205</v>
      </c>
      <c r="B17" s="70" t="str">
        <f t="shared" ref="B17:G17" si="0">"-"</f>
        <v>-</v>
      </c>
      <c r="C17" s="70" t="str">
        <f t="shared" si="0"/>
        <v>-</v>
      </c>
      <c r="D17" s="70" t="str">
        <f t="shared" si="0"/>
        <v>-</v>
      </c>
      <c r="E17" s="70" t="str">
        <f t="shared" si="0"/>
        <v>-</v>
      </c>
      <c r="F17" s="70" t="str">
        <f t="shared" si="0"/>
        <v>-</v>
      </c>
      <c r="G17" s="70" t="str">
        <f t="shared" si="0"/>
        <v>-</v>
      </c>
      <c r="H17" s="70">
        <v>4.5082614157600932E-2</v>
      </c>
      <c r="I17" s="70">
        <v>1.1522101282882283E-2</v>
      </c>
      <c r="J17" s="70">
        <v>2.398433101405097E-2</v>
      </c>
      <c r="K17" s="70">
        <v>4.9007449338907771E-2</v>
      </c>
      <c r="L17" s="70">
        <v>3.6401060881355113E-2</v>
      </c>
    </row>
    <row r="18" spans="1:12" ht="16.5">
      <c r="A18" s="69" t="s">
        <v>206</v>
      </c>
      <c r="B18" s="64">
        <v>188.07039672598387</v>
      </c>
      <c r="C18" s="64">
        <v>494.64045914154769</v>
      </c>
      <c r="D18" s="64">
        <v>512.25472014337538</v>
      </c>
      <c r="E18" s="64">
        <v>690.67348148922247</v>
      </c>
      <c r="F18" s="64">
        <v>269.36477530871412</v>
      </c>
      <c r="G18" s="64">
        <v>490.0242219027395</v>
      </c>
      <c r="H18" s="64">
        <v>99.005132153433848</v>
      </c>
      <c r="I18" s="64">
        <v>191.02015738507785</v>
      </c>
      <c r="J18" s="64">
        <v>113.3156927329246</v>
      </c>
      <c r="K18" s="64">
        <v>179.3732102705836</v>
      </c>
      <c r="L18" s="64">
        <v>181.62309517962234</v>
      </c>
    </row>
    <row r="19" spans="1:12" ht="16.5">
      <c r="A19" s="69" t="s">
        <v>207</v>
      </c>
      <c r="B19" s="70">
        <v>4.0220520684232683</v>
      </c>
      <c r="C19" s="70">
        <v>4.3111196376060494</v>
      </c>
      <c r="D19" s="70">
        <v>4.2975341920901737</v>
      </c>
      <c r="E19" s="70">
        <v>4.67994351629814</v>
      </c>
      <c r="F19" s="70">
        <v>4.0352781058845286</v>
      </c>
      <c r="G19" s="70">
        <v>4.1290681424693494</v>
      </c>
      <c r="H19" s="70">
        <v>3.8946385448962002</v>
      </c>
      <c r="I19" s="70">
        <v>3.7850262466807174</v>
      </c>
      <c r="J19" s="70">
        <v>3.873081414291196</v>
      </c>
      <c r="K19" s="70">
        <v>3.6930601946258435</v>
      </c>
      <c r="L19" s="70">
        <v>4.0067862744947211</v>
      </c>
    </row>
    <row r="20" spans="1:12">
      <c r="A20" s="69" t="s">
        <v>52</v>
      </c>
      <c r="B20" s="64">
        <v>613.80215657577901</v>
      </c>
      <c r="C20" s="64">
        <v>457.70884427099111</v>
      </c>
      <c r="D20" s="64">
        <v>457.03062200364599</v>
      </c>
      <c r="E20" s="64">
        <v>440.47686488855516</v>
      </c>
      <c r="F20" s="64">
        <v>441.61829295861457</v>
      </c>
      <c r="G20" s="64">
        <v>437.61088878036287</v>
      </c>
      <c r="H20" s="64">
        <v>114.96212211435959</v>
      </c>
      <c r="I20" s="64">
        <v>118.04088791645643</v>
      </c>
      <c r="J20" s="64">
        <v>127.94942394945038</v>
      </c>
      <c r="K20" s="64">
        <v>121.54165193953969</v>
      </c>
      <c r="L20" s="64">
        <v>122.93049331141506</v>
      </c>
    </row>
    <row r="21" spans="1:12">
      <c r="A21" s="69" t="s">
        <v>53</v>
      </c>
      <c r="B21" s="64">
        <v>968.75311750962442</v>
      </c>
      <c r="C21" s="64">
        <v>752.34188222028138</v>
      </c>
      <c r="D21" s="64">
        <v>745.0846404762483</v>
      </c>
      <c r="E21" s="64">
        <v>742.14388324054346</v>
      </c>
      <c r="F21" s="64">
        <v>894.5901467804141</v>
      </c>
      <c r="G21" s="64">
        <v>757.63291892096663</v>
      </c>
      <c r="H21" s="64">
        <v>384.07242442235406</v>
      </c>
      <c r="I21" s="64">
        <v>227.74395615474037</v>
      </c>
      <c r="J21" s="64">
        <v>229.8220218825947</v>
      </c>
      <c r="K21" s="64">
        <v>364.00485712202067</v>
      </c>
      <c r="L21" s="64">
        <v>208.65438967474142</v>
      </c>
    </row>
    <row r="22" spans="1:12">
      <c r="A22" s="69" t="s">
        <v>54</v>
      </c>
      <c r="B22" s="64">
        <v>2091.5088622326798</v>
      </c>
      <c r="C22" s="64">
        <v>2422.6520127142489</v>
      </c>
      <c r="D22" s="64">
        <v>2489.9576743288781</v>
      </c>
      <c r="E22" s="64">
        <v>2622.0024055039476</v>
      </c>
      <c r="F22" s="64">
        <v>1627.3646418257788</v>
      </c>
      <c r="G22" s="64">
        <v>2467.7562245262584</v>
      </c>
      <c r="H22" s="64">
        <v>703.56507045639398</v>
      </c>
      <c r="I22" s="64">
        <v>862.2882786305222</v>
      </c>
      <c r="J22" s="64">
        <v>848.64686572246796</v>
      </c>
      <c r="K22" s="64">
        <v>842.22068607654705</v>
      </c>
      <c r="L22" s="64">
        <v>920.04373312055304</v>
      </c>
    </row>
    <row r="23" spans="1:12">
      <c r="A23" s="69" t="s">
        <v>55</v>
      </c>
      <c r="B23" s="64">
        <v>1532.8729142477748</v>
      </c>
      <c r="C23" s="64">
        <v>1192.136420027791</v>
      </c>
      <c r="D23" s="64">
        <v>1225.9731842352767</v>
      </c>
      <c r="E23" s="64">
        <v>1296.2817341820282</v>
      </c>
      <c r="F23" s="64">
        <v>1257.7963324413338</v>
      </c>
      <c r="G23" s="64">
        <v>1261.8174258089987</v>
      </c>
      <c r="H23" s="64">
        <v>547.45325719078812</v>
      </c>
      <c r="I23" s="64">
        <v>565.93559517999688</v>
      </c>
      <c r="J23" s="64">
        <v>576.21129076180227</v>
      </c>
      <c r="K23" s="64">
        <v>622.26915027078769</v>
      </c>
      <c r="L23" s="64">
        <v>566.65154471594076</v>
      </c>
    </row>
    <row r="24" spans="1:12">
      <c r="A24" s="69" t="s">
        <v>208</v>
      </c>
      <c r="B24" s="3">
        <v>1.73</v>
      </c>
      <c r="C24" s="3">
        <v>1.65</v>
      </c>
      <c r="D24" s="3">
        <v>1.73</v>
      </c>
      <c r="E24" s="3">
        <v>0.85</v>
      </c>
      <c r="F24" s="3">
        <v>0.42</v>
      </c>
      <c r="G24" s="3">
        <v>1.89</v>
      </c>
      <c r="H24" s="3">
        <v>3.19</v>
      </c>
      <c r="I24" s="3">
        <v>2.91</v>
      </c>
      <c r="J24" s="3">
        <v>1.03</v>
      </c>
      <c r="K24" s="3">
        <v>2.87</v>
      </c>
      <c r="L24" s="3">
        <v>2.72</v>
      </c>
    </row>
    <row r="25" spans="1:12">
      <c r="A25" s="67"/>
      <c r="B25" s="64"/>
      <c r="C25" s="64"/>
      <c r="D25" s="64"/>
      <c r="E25" s="64"/>
      <c r="F25" s="64"/>
      <c r="G25" s="64"/>
      <c r="H25" s="64"/>
      <c r="I25" s="64"/>
      <c r="J25" s="64"/>
      <c r="K25" s="64"/>
      <c r="L25" s="64"/>
    </row>
    <row r="26" spans="1:12">
      <c r="A26" s="4" t="s">
        <v>240</v>
      </c>
      <c r="B26" s="4"/>
      <c r="C26" s="4"/>
      <c r="D26" s="4"/>
      <c r="E26" s="4"/>
      <c r="F26" s="4"/>
      <c r="G26" s="4"/>
      <c r="H26" s="4"/>
      <c r="I26" s="4"/>
      <c r="J26" s="4"/>
      <c r="K26" s="4"/>
    </row>
    <row r="27" spans="1:12">
      <c r="A27" s="67" t="s">
        <v>1</v>
      </c>
      <c r="B27" s="68" t="s">
        <v>85</v>
      </c>
      <c r="C27" s="68" t="s">
        <v>85</v>
      </c>
      <c r="D27" s="68" t="s">
        <v>85</v>
      </c>
      <c r="E27" s="68" t="s">
        <v>85</v>
      </c>
      <c r="F27" s="68" t="s">
        <v>85</v>
      </c>
      <c r="G27" s="68" t="s">
        <v>85</v>
      </c>
      <c r="H27" s="68" t="s">
        <v>85</v>
      </c>
      <c r="I27" s="68" t="s">
        <v>85</v>
      </c>
      <c r="J27" s="68" t="s">
        <v>85</v>
      </c>
      <c r="K27" s="68" t="s">
        <v>85</v>
      </c>
    </row>
    <row r="28" spans="1:12">
      <c r="A28" s="59" t="s">
        <v>2</v>
      </c>
      <c r="B28" s="61">
        <v>9.1</v>
      </c>
      <c r="C28" s="61" t="s">
        <v>91</v>
      </c>
      <c r="D28" s="61">
        <v>12.1</v>
      </c>
      <c r="E28" s="61" t="s">
        <v>92</v>
      </c>
      <c r="F28" s="61" t="s">
        <v>83</v>
      </c>
      <c r="G28" s="61" t="s">
        <v>93</v>
      </c>
      <c r="H28" s="61">
        <v>20</v>
      </c>
      <c r="I28" s="61" t="s">
        <v>94</v>
      </c>
      <c r="J28" s="61" t="s">
        <v>95</v>
      </c>
      <c r="K28" s="61" t="s">
        <v>96</v>
      </c>
    </row>
    <row r="29" spans="1:12">
      <c r="A29" s="67" t="s">
        <v>212</v>
      </c>
      <c r="B29" s="64">
        <v>82.66</v>
      </c>
      <c r="C29" s="64">
        <v>82.31</v>
      </c>
      <c r="D29" s="64">
        <v>82.52</v>
      </c>
      <c r="E29" s="64">
        <v>82.67</v>
      </c>
      <c r="F29" s="64">
        <v>81.95</v>
      </c>
      <c r="G29" s="64">
        <v>82</v>
      </c>
      <c r="H29" s="64">
        <v>74.930000000000007</v>
      </c>
      <c r="I29" s="64">
        <v>82.55</v>
      </c>
      <c r="J29" s="64">
        <v>82.61</v>
      </c>
      <c r="K29" s="64">
        <v>82.67</v>
      </c>
    </row>
    <row r="30" spans="1:12" ht="16.5">
      <c r="A30" s="67" t="s">
        <v>198</v>
      </c>
      <c r="B30" s="70">
        <v>49.605500761774564</v>
      </c>
      <c r="C30" s="70">
        <v>49.769740109064522</v>
      </c>
      <c r="D30" s="70">
        <v>51.712069500246635</v>
      </c>
      <c r="E30" s="70">
        <v>47.147864790236014</v>
      </c>
      <c r="F30" s="70">
        <v>49.725268123249627</v>
      </c>
      <c r="G30" s="70">
        <v>49.973292011634825</v>
      </c>
      <c r="H30" s="70">
        <v>55.683885036258978</v>
      </c>
      <c r="I30" s="70">
        <v>49.655723816204699</v>
      </c>
      <c r="J30" s="70">
        <v>50.438891431095385</v>
      </c>
      <c r="K30" s="70">
        <v>53.464548883634173</v>
      </c>
    </row>
    <row r="31" spans="1:12" ht="16.5">
      <c r="A31" s="67" t="s">
        <v>199</v>
      </c>
      <c r="B31" s="70">
        <v>0.67970007885074213</v>
      </c>
      <c r="C31" s="70">
        <v>0.85232992924348139</v>
      </c>
      <c r="D31" s="70">
        <v>0.55070916531109237</v>
      </c>
      <c r="E31" s="70">
        <v>0.60896823723972304</v>
      </c>
      <c r="F31" s="70">
        <v>0.63963357933528253</v>
      </c>
      <c r="G31" s="70">
        <v>0.62943240005452405</v>
      </c>
      <c r="H31" s="70">
        <v>1.0409383661564156</v>
      </c>
      <c r="I31" s="70">
        <v>0.62625395397350681</v>
      </c>
      <c r="J31" s="70">
        <v>0.61346022530740674</v>
      </c>
      <c r="K31" s="70">
        <v>0.70085340760176051</v>
      </c>
    </row>
    <row r="32" spans="1:12" ht="16.5">
      <c r="A32" s="67" t="s">
        <v>200</v>
      </c>
      <c r="B32" s="70">
        <v>18.123073001140117</v>
      </c>
      <c r="C32" s="70">
        <v>17.572953063108852</v>
      </c>
      <c r="D32" s="70">
        <v>17.687820634722183</v>
      </c>
      <c r="E32" s="70">
        <v>18.749360093042739</v>
      </c>
      <c r="F32" s="70">
        <v>17.778163944557679</v>
      </c>
      <c r="G32" s="70">
        <v>18.524664973294179</v>
      </c>
      <c r="H32" s="70">
        <v>14.974544731439678</v>
      </c>
      <c r="I32" s="70">
        <v>18.341113891715697</v>
      </c>
      <c r="J32" s="70">
        <v>17.373385287026167</v>
      </c>
      <c r="K32" s="70">
        <v>14.861388093973154</v>
      </c>
    </row>
    <row r="33" spans="1:11" ht="16.5">
      <c r="A33" s="67" t="s">
        <v>201</v>
      </c>
      <c r="B33" s="70">
        <v>1.0180956958534655</v>
      </c>
      <c r="C33" s="70">
        <v>1.0239464166839574</v>
      </c>
      <c r="D33" s="70">
        <v>0.87347262393689795</v>
      </c>
      <c r="E33" s="70">
        <v>1.1302602963479051</v>
      </c>
      <c r="F33" s="70">
        <v>1.0314811774866268</v>
      </c>
      <c r="G33" s="70">
        <v>0.90918013341209014</v>
      </c>
      <c r="H33" s="70">
        <v>1.4783074275666741</v>
      </c>
      <c r="I33" s="70">
        <v>0.86910663230827123</v>
      </c>
      <c r="J33" s="70">
        <v>0.94894628602239472</v>
      </c>
      <c r="K33" s="70">
        <v>1.3580852338175196</v>
      </c>
    </row>
    <row r="34" spans="1:11">
      <c r="A34" s="67" t="s">
        <v>202</v>
      </c>
      <c r="B34" s="70">
        <v>7.526151229728189</v>
      </c>
      <c r="C34" s="70">
        <v>7.3986839864701297</v>
      </c>
      <c r="D34" s="70">
        <v>6.6832148792013966</v>
      </c>
      <c r="E34" s="70">
        <v>7.8127098730692479</v>
      </c>
      <c r="F34" s="70">
        <v>7.7101777400955687</v>
      </c>
      <c r="G34" s="70">
        <v>6.8806445923768518</v>
      </c>
      <c r="H34" s="70">
        <v>8.1992120045709829</v>
      </c>
      <c r="I34" s="70">
        <v>7.1784957044779985</v>
      </c>
      <c r="J34" s="70">
        <v>7.2647110118825546</v>
      </c>
      <c r="K34" s="70">
        <v>8.3094265697957006</v>
      </c>
    </row>
    <row r="35" spans="1:11">
      <c r="A35" s="67" t="s">
        <v>48</v>
      </c>
      <c r="B35" s="70">
        <v>0.12508032834771149</v>
      </c>
      <c r="C35" s="70">
        <v>0.1735339900934422</v>
      </c>
      <c r="D35" s="70">
        <v>0.17814244303976207</v>
      </c>
      <c r="E35" s="70">
        <v>0.10578321491957629</v>
      </c>
      <c r="F35" s="70">
        <v>8.0674505501747346E-2</v>
      </c>
      <c r="G35" s="70">
        <v>0.13795778631332031</v>
      </c>
      <c r="H35" s="70">
        <v>0.19049852452535712</v>
      </c>
      <c r="I35" s="70">
        <v>0.18835424264546693</v>
      </c>
      <c r="J35" s="70">
        <v>0.19266485201060743</v>
      </c>
      <c r="K35" s="70">
        <v>0.10178368990067062</v>
      </c>
    </row>
    <row r="36" spans="1:11">
      <c r="A36" s="67" t="s">
        <v>46</v>
      </c>
      <c r="B36" s="70">
        <v>6.5177516833590436</v>
      </c>
      <c r="C36" s="70">
        <v>6.305707474279389</v>
      </c>
      <c r="D36" s="70">
        <v>5.8346438870872603</v>
      </c>
      <c r="E36" s="70">
        <v>6.5394992862894821</v>
      </c>
      <c r="F36" s="70">
        <v>6.4578020832589189</v>
      </c>
      <c r="G36" s="70">
        <v>5.697464966703583</v>
      </c>
      <c r="H36" s="70">
        <v>4.683736682080081</v>
      </c>
      <c r="I36" s="70">
        <v>6.3208624270516838</v>
      </c>
      <c r="J36" s="70">
        <v>6.4087422912583145</v>
      </c>
      <c r="K36" s="70">
        <v>7.4573516800558002</v>
      </c>
    </row>
    <row r="37" spans="1:11">
      <c r="A37" s="67" t="s">
        <v>47</v>
      </c>
      <c r="B37" s="70">
        <v>10.71230595027532</v>
      </c>
      <c r="C37" s="70">
        <v>10.124414007661601</v>
      </c>
      <c r="D37" s="70">
        <v>9.3448162190266579</v>
      </c>
      <c r="E37" s="70">
        <v>10.106585533532492</v>
      </c>
      <c r="F37" s="70">
        <v>10.107363046433202</v>
      </c>
      <c r="G37" s="70">
        <v>10.137023173480848</v>
      </c>
      <c r="H37" s="70">
        <v>7.1242560447493242</v>
      </c>
      <c r="I37" s="70">
        <v>10.27630152260649</v>
      </c>
      <c r="J37" s="70">
        <v>10.205485966949936</v>
      </c>
      <c r="K37" s="70">
        <v>7.533931789600115</v>
      </c>
    </row>
    <row r="38" spans="1:11" ht="16.5">
      <c r="A38" s="67" t="s">
        <v>203</v>
      </c>
      <c r="B38" s="70">
        <v>2.2834432035570584</v>
      </c>
      <c r="C38" s="70">
        <v>2.2731993950914444</v>
      </c>
      <c r="D38" s="70">
        <v>2.473881346084438</v>
      </c>
      <c r="E38" s="70">
        <v>2.7398805666106472</v>
      </c>
      <c r="F38" s="70">
        <v>2.1743700054280475</v>
      </c>
      <c r="G38" s="70">
        <v>2.5914986942884131</v>
      </c>
      <c r="H38" s="70">
        <v>2.8866358053077072</v>
      </c>
      <c r="I38" s="70">
        <v>1.8080095068151165</v>
      </c>
      <c r="J38" s="70">
        <v>2.1250645617289385</v>
      </c>
      <c r="K38" s="70">
        <v>2.6715795177737927</v>
      </c>
    </row>
    <row r="39" spans="1:11" ht="16.5">
      <c r="A39" s="67" t="s">
        <v>204</v>
      </c>
      <c r="B39" s="70">
        <v>0.31803370308565398</v>
      </c>
      <c r="C39" s="70">
        <v>0.35665549345171549</v>
      </c>
      <c r="D39" s="70">
        <v>0.41566570042611151</v>
      </c>
      <c r="E39" s="70">
        <v>0.35928172995207441</v>
      </c>
      <c r="F39" s="70">
        <v>0.28620241237524652</v>
      </c>
      <c r="G39" s="70">
        <v>0.31040501920497071</v>
      </c>
      <c r="H39" s="70">
        <v>0.92139082270427819</v>
      </c>
      <c r="I39" s="70">
        <v>0.33272729157676389</v>
      </c>
      <c r="J39" s="70">
        <v>0.27030591177607605</v>
      </c>
      <c r="K39" s="70">
        <v>0.47305181591930728</v>
      </c>
    </row>
    <row r="40" spans="1:11" ht="16.5">
      <c r="A40" s="67" t="s">
        <v>205</v>
      </c>
      <c r="B40" s="70">
        <v>5.3328822163752954E-2</v>
      </c>
      <c r="C40" s="70">
        <v>2.4927534488560759E-2</v>
      </c>
      <c r="D40" s="70">
        <v>2.1070611542337449E-2</v>
      </c>
      <c r="E40" s="70" t="str">
        <f t="shared" ref="E40" si="1">"-"</f>
        <v>-</v>
      </c>
      <c r="F40" s="70">
        <v>5.090177132848344E-2</v>
      </c>
      <c r="G40" s="70">
        <v>1.2454522375508084E-2</v>
      </c>
      <c r="H40" s="70">
        <v>1.0691243723361879E-2</v>
      </c>
      <c r="I40" s="70">
        <v>1.434169360244672E-2</v>
      </c>
      <c r="J40" s="70">
        <v>1.0543847622471052E-2</v>
      </c>
      <c r="K40" s="70">
        <v>4.8468423762224105E-3</v>
      </c>
    </row>
    <row r="41" spans="1:11" ht="16.5">
      <c r="A41" s="67" t="s">
        <v>206</v>
      </c>
      <c r="B41" s="64">
        <v>58.068591096816277</v>
      </c>
      <c r="C41" s="64">
        <v>500.72996685563481</v>
      </c>
      <c r="D41" s="64">
        <v>178.85926018711052</v>
      </c>
      <c r="E41" s="64">
        <v>198.38661209459823</v>
      </c>
      <c r="F41" s="64">
        <v>47.870640893857143</v>
      </c>
      <c r="G41" s="64">
        <v>200.98837745002351</v>
      </c>
      <c r="H41" s="64">
        <v>48.814370235153987</v>
      </c>
      <c r="I41" s="64">
        <v>222.70367366031584</v>
      </c>
      <c r="J41" s="64">
        <v>198.86282331245152</v>
      </c>
      <c r="K41" s="64">
        <v>55.344600214692377</v>
      </c>
    </row>
    <row r="42" spans="1:11" ht="16.5">
      <c r="A42" s="67" t="s">
        <v>207</v>
      </c>
      <c r="B42" s="70">
        <v>2.8684010133836559</v>
      </c>
      <c r="C42" s="70">
        <v>3.8558525848053624</v>
      </c>
      <c r="D42" s="70">
        <v>4.0854948531906956</v>
      </c>
      <c r="E42" s="70">
        <v>4.4554235391920285</v>
      </c>
      <c r="F42" s="70">
        <v>3.7836424199357994</v>
      </c>
      <c r="G42" s="70">
        <v>3.9924456063786411</v>
      </c>
      <c r="H42" s="70">
        <v>2.5654561786577079</v>
      </c>
      <c r="I42" s="70">
        <v>4.1648004176081406</v>
      </c>
      <c r="J42" s="70">
        <v>3.9344970552625318</v>
      </c>
      <c r="K42" s="70">
        <v>2.9192708509254168</v>
      </c>
    </row>
    <row r="43" spans="1:11">
      <c r="A43" s="67" t="s">
        <v>52</v>
      </c>
      <c r="B43" s="64">
        <v>114.35421671619245</v>
      </c>
      <c r="C43" s="64">
        <v>108.63175291135411</v>
      </c>
      <c r="D43" s="64">
        <v>118.84171367142329</v>
      </c>
      <c r="E43" s="64">
        <v>149.67094073381853</v>
      </c>
      <c r="F43" s="64">
        <v>123.55780436819286</v>
      </c>
      <c r="G43" s="64">
        <v>126.54766955200672</v>
      </c>
      <c r="H43" s="64">
        <v>268.01192237059729</v>
      </c>
      <c r="I43" s="64">
        <v>128.24548673088788</v>
      </c>
      <c r="J43" s="64">
        <v>122.05134864523436</v>
      </c>
      <c r="K43" s="64">
        <v>110.24325134054084</v>
      </c>
    </row>
    <row r="44" spans="1:11">
      <c r="A44" s="67" t="s">
        <v>53</v>
      </c>
      <c r="B44" s="64">
        <v>251.20103523437598</v>
      </c>
      <c r="C44" s="64">
        <v>315.8795700030779</v>
      </c>
      <c r="D44" s="64">
        <v>276.58514422919603</v>
      </c>
      <c r="E44" s="64">
        <v>248.68358142774329</v>
      </c>
      <c r="F44" s="64">
        <v>218.18428825598488</v>
      </c>
      <c r="G44" s="64">
        <v>222.88870516573451</v>
      </c>
      <c r="H44" s="64">
        <v>642.20844343659178</v>
      </c>
      <c r="I44" s="64">
        <v>262.48667597492903</v>
      </c>
      <c r="J44" s="64">
        <v>302.36827126455233</v>
      </c>
      <c r="K44" s="64">
        <v>472.62939556769288</v>
      </c>
    </row>
    <row r="45" spans="1:11">
      <c r="A45" s="67" t="s">
        <v>54</v>
      </c>
      <c r="B45" s="64">
        <v>706.24739889449381</v>
      </c>
      <c r="C45" s="64">
        <v>1220.6112553929504</v>
      </c>
      <c r="D45" s="64">
        <v>414.59950019929653</v>
      </c>
      <c r="E45" s="64">
        <v>1125.3577195984483</v>
      </c>
      <c r="F45" s="64">
        <v>785.1841779177297</v>
      </c>
      <c r="G45" s="64">
        <v>891.06585491468695</v>
      </c>
      <c r="H45" s="64">
        <v>621.36173340370271</v>
      </c>
      <c r="I45" s="64">
        <v>973.9705799517684</v>
      </c>
      <c r="J45" s="64">
        <v>883.19531477702969</v>
      </c>
      <c r="K45" s="64">
        <v>372.45507047182002</v>
      </c>
    </row>
    <row r="46" spans="1:11">
      <c r="A46" s="67" t="s">
        <v>55</v>
      </c>
      <c r="B46" s="64">
        <v>561.47404286535516</v>
      </c>
      <c r="C46" s="64">
        <v>534.70761041243418</v>
      </c>
      <c r="D46" s="64">
        <v>401.09574355803267</v>
      </c>
      <c r="E46" s="64">
        <v>721.72954182592616</v>
      </c>
      <c r="F46" s="64">
        <v>568.39499870181385</v>
      </c>
      <c r="G46" s="64">
        <v>593.87059773984333</v>
      </c>
      <c r="H46" s="64">
        <v>824.07485314867847</v>
      </c>
      <c r="I46" s="64">
        <v>651.68257781917634</v>
      </c>
      <c r="J46" s="64">
        <v>626.53496257311588</v>
      </c>
      <c r="K46" s="64">
        <v>428.14392866902944</v>
      </c>
    </row>
    <row r="47" spans="1:11">
      <c r="A47" s="59" t="s">
        <v>208</v>
      </c>
      <c r="B47" s="61">
        <v>2.9</v>
      </c>
      <c r="C47" s="61">
        <v>0.71</v>
      </c>
      <c r="D47" s="60">
        <v>0</v>
      </c>
      <c r="E47" s="60">
        <v>0</v>
      </c>
      <c r="F47" s="61">
        <v>2.3199999999999998</v>
      </c>
      <c r="G47" s="61">
        <v>2.64</v>
      </c>
      <c r="H47" s="61">
        <v>1.39</v>
      </c>
      <c r="I47" s="61">
        <v>0.92</v>
      </c>
      <c r="J47" s="61">
        <v>2.41</v>
      </c>
      <c r="K47" s="61">
        <v>2.04</v>
      </c>
    </row>
    <row r="48" spans="1:11" ht="133.5" customHeight="1">
      <c r="A48" s="100" t="s">
        <v>213</v>
      </c>
      <c r="B48" s="100"/>
      <c r="C48" s="100"/>
      <c r="D48" s="100"/>
      <c r="E48" s="100"/>
      <c r="F48" s="100"/>
      <c r="G48" s="100"/>
      <c r="H48" s="100"/>
      <c r="I48" s="100"/>
      <c r="J48" s="100"/>
      <c r="K48" s="100"/>
    </row>
    <row r="49" spans="1:1">
      <c r="A49" s="96"/>
    </row>
    <row r="50" spans="1:1">
      <c r="A50" s="96"/>
    </row>
  </sheetData>
  <mergeCells count="1">
    <mergeCell ref="A48:K48"/>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6"/>
  <sheetViews>
    <sheetView workbookViewId="0">
      <selection activeCell="A45" sqref="A45:A46"/>
    </sheetView>
  </sheetViews>
  <sheetFormatPr defaultColWidth="8.81640625" defaultRowHeight="11.5"/>
  <cols>
    <col min="1" max="4" width="16" style="5" customWidth="1"/>
    <col min="5" max="5" width="11.453125" style="5" customWidth="1"/>
    <col min="6" max="6" width="10.453125" style="5" customWidth="1"/>
    <col min="7" max="7" width="10.81640625" style="5" customWidth="1"/>
    <col min="8" max="8" width="11.08984375" style="5" customWidth="1"/>
    <col min="9" max="9" width="10.453125" style="5" customWidth="1"/>
    <col min="10" max="10" width="11" style="5" customWidth="1"/>
    <col min="11" max="11" width="8.81640625" style="5"/>
    <col min="12" max="12" width="11" style="5" customWidth="1"/>
    <col min="13" max="14" width="8.81640625" style="5"/>
    <col min="15" max="15" width="7.453125" style="5" customWidth="1"/>
    <col min="16" max="16" width="10.81640625" style="5" customWidth="1"/>
    <col min="17" max="256" width="8.81640625" style="5"/>
    <col min="257" max="260" width="16" style="5" customWidth="1"/>
    <col min="261" max="261" width="11.453125" style="5" customWidth="1"/>
    <col min="262" max="262" width="10.453125" style="5" customWidth="1"/>
    <col min="263" max="263" width="10.81640625" style="5" customWidth="1"/>
    <col min="264" max="264" width="11.08984375" style="5" customWidth="1"/>
    <col min="265" max="265" width="10.453125" style="5" customWidth="1"/>
    <col min="266" max="266" width="11" style="5" customWidth="1"/>
    <col min="267" max="267" width="8.81640625" style="5"/>
    <col min="268" max="268" width="11" style="5" customWidth="1"/>
    <col min="269" max="270" width="8.81640625" style="5"/>
    <col min="271" max="271" width="7.453125" style="5" customWidth="1"/>
    <col min="272" max="272" width="10.81640625" style="5" customWidth="1"/>
    <col min="273" max="512" width="8.81640625" style="5"/>
    <col min="513" max="516" width="16" style="5" customWidth="1"/>
    <col min="517" max="517" width="11.453125" style="5" customWidth="1"/>
    <col min="518" max="518" width="10.453125" style="5" customWidth="1"/>
    <col min="519" max="519" width="10.81640625" style="5" customWidth="1"/>
    <col min="520" max="520" width="11.08984375" style="5" customWidth="1"/>
    <col min="521" max="521" width="10.453125" style="5" customWidth="1"/>
    <col min="522" max="522" width="11" style="5" customWidth="1"/>
    <col min="523" max="523" width="8.81640625" style="5"/>
    <col min="524" max="524" width="11" style="5" customWidth="1"/>
    <col min="525" max="526" width="8.81640625" style="5"/>
    <col min="527" max="527" width="7.453125" style="5" customWidth="1"/>
    <col min="528" max="528" width="10.81640625" style="5" customWidth="1"/>
    <col min="529" max="768" width="8.81640625" style="5"/>
    <col min="769" max="772" width="16" style="5" customWidth="1"/>
    <col min="773" max="773" width="11.453125" style="5" customWidth="1"/>
    <col min="774" max="774" width="10.453125" style="5" customWidth="1"/>
    <col min="775" max="775" width="10.81640625" style="5" customWidth="1"/>
    <col min="776" max="776" width="11.08984375" style="5" customWidth="1"/>
    <col min="777" max="777" width="10.453125" style="5" customWidth="1"/>
    <col min="778" max="778" width="11" style="5" customWidth="1"/>
    <col min="779" max="779" width="8.81640625" style="5"/>
    <col min="780" max="780" width="11" style="5" customWidth="1"/>
    <col min="781" max="782" width="8.81640625" style="5"/>
    <col min="783" max="783" width="7.453125" style="5" customWidth="1"/>
    <col min="784" max="784" width="10.81640625" style="5" customWidth="1"/>
    <col min="785" max="1024" width="8.81640625" style="5"/>
    <col min="1025" max="1028" width="16" style="5" customWidth="1"/>
    <col min="1029" max="1029" width="11.453125" style="5" customWidth="1"/>
    <col min="1030" max="1030" width="10.453125" style="5" customWidth="1"/>
    <col min="1031" max="1031" width="10.81640625" style="5" customWidth="1"/>
    <col min="1032" max="1032" width="11.08984375" style="5" customWidth="1"/>
    <col min="1033" max="1033" width="10.453125" style="5" customWidth="1"/>
    <col min="1034" max="1034" width="11" style="5" customWidth="1"/>
    <col min="1035" max="1035" width="8.81640625" style="5"/>
    <col min="1036" max="1036" width="11" style="5" customWidth="1"/>
    <col min="1037" max="1038" width="8.81640625" style="5"/>
    <col min="1039" max="1039" width="7.453125" style="5" customWidth="1"/>
    <col min="1040" max="1040" width="10.81640625" style="5" customWidth="1"/>
    <col min="1041" max="1280" width="8.81640625" style="5"/>
    <col min="1281" max="1284" width="16" style="5" customWidth="1"/>
    <col min="1285" max="1285" width="11.453125" style="5" customWidth="1"/>
    <col min="1286" max="1286" width="10.453125" style="5" customWidth="1"/>
    <col min="1287" max="1287" width="10.81640625" style="5" customWidth="1"/>
    <col min="1288" max="1288" width="11.08984375" style="5" customWidth="1"/>
    <col min="1289" max="1289" width="10.453125" style="5" customWidth="1"/>
    <col min="1290" max="1290" width="11" style="5" customWidth="1"/>
    <col min="1291" max="1291" width="8.81640625" style="5"/>
    <col min="1292" max="1292" width="11" style="5" customWidth="1"/>
    <col min="1293" max="1294" width="8.81640625" style="5"/>
    <col min="1295" max="1295" width="7.453125" style="5" customWidth="1"/>
    <col min="1296" max="1296" width="10.81640625" style="5" customWidth="1"/>
    <col min="1297" max="1536" width="8.81640625" style="5"/>
    <col min="1537" max="1540" width="16" style="5" customWidth="1"/>
    <col min="1541" max="1541" width="11.453125" style="5" customWidth="1"/>
    <col min="1542" max="1542" width="10.453125" style="5" customWidth="1"/>
    <col min="1543" max="1543" width="10.81640625" style="5" customWidth="1"/>
    <col min="1544" max="1544" width="11.08984375" style="5" customWidth="1"/>
    <col min="1545" max="1545" width="10.453125" style="5" customWidth="1"/>
    <col min="1546" max="1546" width="11" style="5" customWidth="1"/>
    <col min="1547" max="1547" width="8.81640625" style="5"/>
    <col min="1548" max="1548" width="11" style="5" customWidth="1"/>
    <col min="1549" max="1550" width="8.81640625" style="5"/>
    <col min="1551" max="1551" width="7.453125" style="5" customWidth="1"/>
    <col min="1552" max="1552" width="10.81640625" style="5" customWidth="1"/>
    <col min="1553" max="1792" width="8.81640625" style="5"/>
    <col min="1793" max="1796" width="16" style="5" customWidth="1"/>
    <col min="1797" max="1797" width="11.453125" style="5" customWidth="1"/>
    <col min="1798" max="1798" width="10.453125" style="5" customWidth="1"/>
    <col min="1799" max="1799" width="10.81640625" style="5" customWidth="1"/>
    <col min="1800" max="1800" width="11.08984375" style="5" customWidth="1"/>
    <col min="1801" max="1801" width="10.453125" style="5" customWidth="1"/>
    <col min="1802" max="1802" width="11" style="5" customWidth="1"/>
    <col min="1803" max="1803" width="8.81640625" style="5"/>
    <col min="1804" max="1804" width="11" style="5" customWidth="1"/>
    <col min="1805" max="1806" width="8.81640625" style="5"/>
    <col min="1807" max="1807" width="7.453125" style="5" customWidth="1"/>
    <col min="1808" max="1808" width="10.81640625" style="5" customWidth="1"/>
    <col min="1809" max="2048" width="8.81640625" style="5"/>
    <col min="2049" max="2052" width="16" style="5" customWidth="1"/>
    <col min="2053" max="2053" width="11.453125" style="5" customWidth="1"/>
    <col min="2054" max="2054" width="10.453125" style="5" customWidth="1"/>
    <col min="2055" max="2055" width="10.81640625" style="5" customWidth="1"/>
    <col min="2056" max="2056" width="11.08984375" style="5" customWidth="1"/>
    <col min="2057" max="2057" width="10.453125" style="5" customWidth="1"/>
    <col min="2058" max="2058" width="11" style="5" customWidth="1"/>
    <col min="2059" max="2059" width="8.81640625" style="5"/>
    <col min="2060" max="2060" width="11" style="5" customWidth="1"/>
    <col min="2061" max="2062" width="8.81640625" style="5"/>
    <col min="2063" max="2063" width="7.453125" style="5" customWidth="1"/>
    <col min="2064" max="2064" width="10.81640625" style="5" customWidth="1"/>
    <col min="2065" max="2304" width="8.81640625" style="5"/>
    <col min="2305" max="2308" width="16" style="5" customWidth="1"/>
    <col min="2309" max="2309" width="11.453125" style="5" customWidth="1"/>
    <col min="2310" max="2310" width="10.453125" style="5" customWidth="1"/>
    <col min="2311" max="2311" width="10.81640625" style="5" customWidth="1"/>
    <col min="2312" max="2312" width="11.08984375" style="5" customWidth="1"/>
    <col min="2313" max="2313" width="10.453125" style="5" customWidth="1"/>
    <col min="2314" max="2314" width="11" style="5" customWidth="1"/>
    <col min="2315" max="2315" width="8.81640625" style="5"/>
    <col min="2316" max="2316" width="11" style="5" customWidth="1"/>
    <col min="2317" max="2318" width="8.81640625" style="5"/>
    <col min="2319" max="2319" width="7.453125" style="5" customWidth="1"/>
    <col min="2320" max="2320" width="10.81640625" style="5" customWidth="1"/>
    <col min="2321" max="2560" width="8.81640625" style="5"/>
    <col min="2561" max="2564" width="16" style="5" customWidth="1"/>
    <col min="2565" max="2565" width="11.453125" style="5" customWidth="1"/>
    <col min="2566" max="2566" width="10.453125" style="5" customWidth="1"/>
    <col min="2567" max="2567" width="10.81640625" style="5" customWidth="1"/>
    <col min="2568" max="2568" width="11.08984375" style="5" customWidth="1"/>
    <col min="2569" max="2569" width="10.453125" style="5" customWidth="1"/>
    <col min="2570" max="2570" width="11" style="5" customWidth="1"/>
    <col min="2571" max="2571" width="8.81640625" style="5"/>
    <col min="2572" max="2572" width="11" style="5" customWidth="1"/>
    <col min="2573" max="2574" width="8.81640625" style="5"/>
    <col min="2575" max="2575" width="7.453125" style="5" customWidth="1"/>
    <col min="2576" max="2576" width="10.81640625" style="5" customWidth="1"/>
    <col min="2577" max="2816" width="8.81640625" style="5"/>
    <col min="2817" max="2820" width="16" style="5" customWidth="1"/>
    <col min="2821" max="2821" width="11.453125" style="5" customWidth="1"/>
    <col min="2822" max="2822" width="10.453125" style="5" customWidth="1"/>
    <col min="2823" max="2823" width="10.81640625" style="5" customWidth="1"/>
    <col min="2824" max="2824" width="11.08984375" style="5" customWidth="1"/>
    <col min="2825" max="2825" width="10.453125" style="5" customWidth="1"/>
    <col min="2826" max="2826" width="11" style="5" customWidth="1"/>
    <col min="2827" max="2827" width="8.81640625" style="5"/>
    <col min="2828" max="2828" width="11" style="5" customWidth="1"/>
    <col min="2829" max="2830" width="8.81640625" style="5"/>
    <col min="2831" max="2831" width="7.453125" style="5" customWidth="1"/>
    <col min="2832" max="2832" width="10.81640625" style="5" customWidth="1"/>
    <col min="2833" max="3072" width="8.81640625" style="5"/>
    <col min="3073" max="3076" width="16" style="5" customWidth="1"/>
    <col min="3077" max="3077" width="11.453125" style="5" customWidth="1"/>
    <col min="3078" max="3078" width="10.453125" style="5" customWidth="1"/>
    <col min="3079" max="3079" width="10.81640625" style="5" customWidth="1"/>
    <col min="3080" max="3080" width="11.08984375" style="5" customWidth="1"/>
    <col min="3081" max="3081" width="10.453125" style="5" customWidth="1"/>
    <col min="3082" max="3082" width="11" style="5" customWidth="1"/>
    <col min="3083" max="3083" width="8.81640625" style="5"/>
    <col min="3084" max="3084" width="11" style="5" customWidth="1"/>
    <col min="3085" max="3086" width="8.81640625" style="5"/>
    <col min="3087" max="3087" width="7.453125" style="5" customWidth="1"/>
    <col min="3088" max="3088" width="10.81640625" style="5" customWidth="1"/>
    <col min="3089" max="3328" width="8.81640625" style="5"/>
    <col min="3329" max="3332" width="16" style="5" customWidth="1"/>
    <col min="3333" max="3333" width="11.453125" style="5" customWidth="1"/>
    <col min="3334" max="3334" width="10.453125" style="5" customWidth="1"/>
    <col min="3335" max="3335" width="10.81640625" style="5" customWidth="1"/>
    <col min="3336" max="3336" width="11.08984375" style="5" customWidth="1"/>
    <col min="3337" max="3337" width="10.453125" style="5" customWidth="1"/>
    <col min="3338" max="3338" width="11" style="5" customWidth="1"/>
    <col min="3339" max="3339" width="8.81640625" style="5"/>
    <col min="3340" max="3340" width="11" style="5" customWidth="1"/>
    <col min="3341" max="3342" width="8.81640625" style="5"/>
    <col min="3343" max="3343" width="7.453125" style="5" customWidth="1"/>
    <col min="3344" max="3344" width="10.81640625" style="5" customWidth="1"/>
    <col min="3345" max="3584" width="8.81640625" style="5"/>
    <col min="3585" max="3588" width="16" style="5" customWidth="1"/>
    <col min="3589" max="3589" width="11.453125" style="5" customWidth="1"/>
    <col min="3590" max="3590" width="10.453125" style="5" customWidth="1"/>
    <col min="3591" max="3591" width="10.81640625" style="5" customWidth="1"/>
    <col min="3592" max="3592" width="11.08984375" style="5" customWidth="1"/>
    <col min="3593" max="3593" width="10.453125" style="5" customWidth="1"/>
    <col min="3594" max="3594" width="11" style="5" customWidth="1"/>
    <col min="3595" max="3595" width="8.81640625" style="5"/>
    <col min="3596" max="3596" width="11" style="5" customWidth="1"/>
    <col min="3597" max="3598" width="8.81640625" style="5"/>
    <col min="3599" max="3599" width="7.453125" style="5" customWidth="1"/>
    <col min="3600" max="3600" width="10.81640625" style="5" customWidth="1"/>
    <col min="3601" max="3840" width="8.81640625" style="5"/>
    <col min="3841" max="3844" width="16" style="5" customWidth="1"/>
    <col min="3845" max="3845" width="11.453125" style="5" customWidth="1"/>
    <col min="3846" max="3846" width="10.453125" style="5" customWidth="1"/>
    <col min="3847" max="3847" width="10.81640625" style="5" customWidth="1"/>
    <col min="3848" max="3848" width="11.08984375" style="5" customWidth="1"/>
    <col min="3849" max="3849" width="10.453125" style="5" customWidth="1"/>
    <col min="3850" max="3850" width="11" style="5" customWidth="1"/>
    <col min="3851" max="3851" width="8.81640625" style="5"/>
    <col min="3852" max="3852" width="11" style="5" customWidth="1"/>
    <col min="3853" max="3854" width="8.81640625" style="5"/>
    <col min="3855" max="3855" width="7.453125" style="5" customWidth="1"/>
    <col min="3856" max="3856" width="10.81640625" style="5" customWidth="1"/>
    <col min="3857" max="4096" width="8.81640625" style="5"/>
    <col min="4097" max="4100" width="16" style="5" customWidth="1"/>
    <col min="4101" max="4101" width="11.453125" style="5" customWidth="1"/>
    <col min="4102" max="4102" width="10.453125" style="5" customWidth="1"/>
    <col min="4103" max="4103" width="10.81640625" style="5" customWidth="1"/>
    <col min="4104" max="4104" width="11.08984375" style="5" customWidth="1"/>
    <col min="4105" max="4105" width="10.453125" style="5" customWidth="1"/>
    <col min="4106" max="4106" width="11" style="5" customWidth="1"/>
    <col min="4107" max="4107" width="8.81640625" style="5"/>
    <col min="4108" max="4108" width="11" style="5" customWidth="1"/>
    <col min="4109" max="4110" width="8.81640625" style="5"/>
    <col min="4111" max="4111" width="7.453125" style="5" customWidth="1"/>
    <col min="4112" max="4112" width="10.81640625" style="5" customWidth="1"/>
    <col min="4113" max="4352" width="8.81640625" style="5"/>
    <col min="4353" max="4356" width="16" style="5" customWidth="1"/>
    <col min="4357" max="4357" width="11.453125" style="5" customWidth="1"/>
    <col min="4358" max="4358" width="10.453125" style="5" customWidth="1"/>
    <col min="4359" max="4359" width="10.81640625" style="5" customWidth="1"/>
    <col min="4360" max="4360" width="11.08984375" style="5" customWidth="1"/>
    <col min="4361" max="4361" width="10.453125" style="5" customWidth="1"/>
    <col min="4362" max="4362" width="11" style="5" customWidth="1"/>
    <col min="4363" max="4363" width="8.81640625" style="5"/>
    <col min="4364" max="4364" width="11" style="5" customWidth="1"/>
    <col min="4365" max="4366" width="8.81640625" style="5"/>
    <col min="4367" max="4367" width="7.453125" style="5" customWidth="1"/>
    <col min="4368" max="4368" width="10.81640625" style="5" customWidth="1"/>
    <col min="4369" max="4608" width="8.81640625" style="5"/>
    <col min="4609" max="4612" width="16" style="5" customWidth="1"/>
    <col min="4613" max="4613" width="11.453125" style="5" customWidth="1"/>
    <col min="4614" max="4614" width="10.453125" style="5" customWidth="1"/>
    <col min="4615" max="4615" width="10.81640625" style="5" customWidth="1"/>
    <col min="4616" max="4616" width="11.08984375" style="5" customWidth="1"/>
    <col min="4617" max="4617" width="10.453125" style="5" customWidth="1"/>
    <col min="4618" max="4618" width="11" style="5" customWidth="1"/>
    <col min="4619" max="4619" width="8.81640625" style="5"/>
    <col min="4620" max="4620" width="11" style="5" customWidth="1"/>
    <col min="4621" max="4622" width="8.81640625" style="5"/>
    <col min="4623" max="4623" width="7.453125" style="5" customWidth="1"/>
    <col min="4624" max="4624" width="10.81640625" style="5" customWidth="1"/>
    <col min="4625" max="4864" width="8.81640625" style="5"/>
    <col min="4865" max="4868" width="16" style="5" customWidth="1"/>
    <col min="4869" max="4869" width="11.453125" style="5" customWidth="1"/>
    <col min="4870" max="4870" width="10.453125" style="5" customWidth="1"/>
    <col min="4871" max="4871" width="10.81640625" style="5" customWidth="1"/>
    <col min="4872" max="4872" width="11.08984375" style="5" customWidth="1"/>
    <col min="4873" max="4873" width="10.453125" style="5" customWidth="1"/>
    <col min="4874" max="4874" width="11" style="5" customWidth="1"/>
    <col min="4875" max="4875" width="8.81640625" style="5"/>
    <col min="4876" max="4876" width="11" style="5" customWidth="1"/>
    <col min="4877" max="4878" width="8.81640625" style="5"/>
    <col min="4879" max="4879" width="7.453125" style="5" customWidth="1"/>
    <col min="4880" max="4880" width="10.81640625" style="5" customWidth="1"/>
    <col min="4881" max="5120" width="8.81640625" style="5"/>
    <col min="5121" max="5124" width="16" style="5" customWidth="1"/>
    <col min="5125" max="5125" width="11.453125" style="5" customWidth="1"/>
    <col min="5126" max="5126" width="10.453125" style="5" customWidth="1"/>
    <col min="5127" max="5127" width="10.81640625" style="5" customWidth="1"/>
    <col min="5128" max="5128" width="11.08984375" style="5" customWidth="1"/>
    <col min="5129" max="5129" width="10.453125" style="5" customWidth="1"/>
    <col min="5130" max="5130" width="11" style="5" customWidth="1"/>
    <col min="5131" max="5131" width="8.81640625" style="5"/>
    <col min="5132" max="5132" width="11" style="5" customWidth="1"/>
    <col min="5133" max="5134" width="8.81640625" style="5"/>
    <col min="5135" max="5135" width="7.453125" style="5" customWidth="1"/>
    <col min="5136" max="5136" width="10.81640625" style="5" customWidth="1"/>
    <col min="5137" max="5376" width="8.81640625" style="5"/>
    <col min="5377" max="5380" width="16" style="5" customWidth="1"/>
    <col min="5381" max="5381" width="11.453125" style="5" customWidth="1"/>
    <col min="5382" max="5382" width="10.453125" style="5" customWidth="1"/>
    <col min="5383" max="5383" width="10.81640625" style="5" customWidth="1"/>
    <col min="5384" max="5384" width="11.08984375" style="5" customWidth="1"/>
    <col min="5385" max="5385" width="10.453125" style="5" customWidth="1"/>
    <col min="5386" max="5386" width="11" style="5" customWidth="1"/>
    <col min="5387" max="5387" width="8.81640625" style="5"/>
    <col min="5388" max="5388" width="11" style="5" customWidth="1"/>
    <col min="5389" max="5390" width="8.81640625" style="5"/>
    <col min="5391" max="5391" width="7.453125" style="5" customWidth="1"/>
    <col min="5392" max="5392" width="10.81640625" style="5" customWidth="1"/>
    <col min="5393" max="5632" width="8.81640625" style="5"/>
    <col min="5633" max="5636" width="16" style="5" customWidth="1"/>
    <col min="5637" max="5637" width="11.453125" style="5" customWidth="1"/>
    <col min="5638" max="5638" width="10.453125" style="5" customWidth="1"/>
    <col min="5639" max="5639" width="10.81640625" style="5" customWidth="1"/>
    <col min="5640" max="5640" width="11.08984375" style="5" customWidth="1"/>
    <col min="5641" max="5641" width="10.453125" style="5" customWidth="1"/>
    <col min="5642" max="5642" width="11" style="5" customWidth="1"/>
    <col min="5643" max="5643" width="8.81640625" style="5"/>
    <col min="5644" max="5644" width="11" style="5" customWidth="1"/>
    <col min="5645" max="5646" width="8.81640625" style="5"/>
    <col min="5647" max="5647" width="7.453125" style="5" customWidth="1"/>
    <col min="5648" max="5648" width="10.81640625" style="5" customWidth="1"/>
    <col min="5649" max="5888" width="8.81640625" style="5"/>
    <col min="5889" max="5892" width="16" style="5" customWidth="1"/>
    <col min="5893" max="5893" width="11.453125" style="5" customWidth="1"/>
    <col min="5894" max="5894" width="10.453125" style="5" customWidth="1"/>
    <col min="5895" max="5895" width="10.81640625" style="5" customWidth="1"/>
    <col min="5896" max="5896" width="11.08984375" style="5" customWidth="1"/>
    <col min="5897" max="5897" width="10.453125" style="5" customWidth="1"/>
    <col min="5898" max="5898" width="11" style="5" customWidth="1"/>
    <col min="5899" max="5899" width="8.81640625" style="5"/>
    <col min="5900" max="5900" width="11" style="5" customWidth="1"/>
    <col min="5901" max="5902" width="8.81640625" style="5"/>
    <col min="5903" max="5903" width="7.453125" style="5" customWidth="1"/>
    <col min="5904" max="5904" width="10.81640625" style="5" customWidth="1"/>
    <col min="5905" max="6144" width="8.81640625" style="5"/>
    <col min="6145" max="6148" width="16" style="5" customWidth="1"/>
    <col min="6149" max="6149" width="11.453125" style="5" customWidth="1"/>
    <col min="6150" max="6150" width="10.453125" style="5" customWidth="1"/>
    <col min="6151" max="6151" width="10.81640625" style="5" customWidth="1"/>
    <col min="6152" max="6152" width="11.08984375" style="5" customWidth="1"/>
    <col min="6153" max="6153" width="10.453125" style="5" customWidth="1"/>
    <col min="6154" max="6154" width="11" style="5" customWidth="1"/>
    <col min="6155" max="6155" width="8.81640625" style="5"/>
    <col min="6156" max="6156" width="11" style="5" customWidth="1"/>
    <col min="6157" max="6158" width="8.81640625" style="5"/>
    <col min="6159" max="6159" width="7.453125" style="5" customWidth="1"/>
    <col min="6160" max="6160" width="10.81640625" style="5" customWidth="1"/>
    <col min="6161" max="6400" width="8.81640625" style="5"/>
    <col min="6401" max="6404" width="16" style="5" customWidth="1"/>
    <col min="6405" max="6405" width="11.453125" style="5" customWidth="1"/>
    <col min="6406" max="6406" width="10.453125" style="5" customWidth="1"/>
    <col min="6407" max="6407" width="10.81640625" style="5" customWidth="1"/>
    <col min="6408" max="6408" width="11.08984375" style="5" customWidth="1"/>
    <col min="6409" max="6409" width="10.453125" style="5" customWidth="1"/>
    <col min="6410" max="6410" width="11" style="5" customWidth="1"/>
    <col min="6411" max="6411" width="8.81640625" style="5"/>
    <col min="6412" max="6412" width="11" style="5" customWidth="1"/>
    <col min="6413" max="6414" width="8.81640625" style="5"/>
    <col min="6415" max="6415" width="7.453125" style="5" customWidth="1"/>
    <col min="6416" max="6416" width="10.81640625" style="5" customWidth="1"/>
    <col min="6417" max="6656" width="8.81640625" style="5"/>
    <col min="6657" max="6660" width="16" style="5" customWidth="1"/>
    <col min="6661" max="6661" width="11.453125" style="5" customWidth="1"/>
    <col min="6662" max="6662" width="10.453125" style="5" customWidth="1"/>
    <col min="6663" max="6663" width="10.81640625" style="5" customWidth="1"/>
    <col min="6664" max="6664" width="11.08984375" style="5" customWidth="1"/>
    <col min="6665" max="6665" width="10.453125" style="5" customWidth="1"/>
    <col min="6666" max="6666" width="11" style="5" customWidth="1"/>
    <col min="6667" max="6667" width="8.81640625" style="5"/>
    <col min="6668" max="6668" width="11" style="5" customWidth="1"/>
    <col min="6669" max="6670" width="8.81640625" style="5"/>
    <col min="6671" max="6671" width="7.453125" style="5" customWidth="1"/>
    <col min="6672" max="6672" width="10.81640625" style="5" customWidth="1"/>
    <col min="6673" max="6912" width="8.81640625" style="5"/>
    <col min="6913" max="6916" width="16" style="5" customWidth="1"/>
    <col min="6917" max="6917" width="11.453125" style="5" customWidth="1"/>
    <col min="6918" max="6918" width="10.453125" style="5" customWidth="1"/>
    <col min="6919" max="6919" width="10.81640625" style="5" customWidth="1"/>
    <col min="6920" max="6920" width="11.08984375" style="5" customWidth="1"/>
    <col min="6921" max="6921" width="10.453125" style="5" customWidth="1"/>
    <col min="6922" max="6922" width="11" style="5" customWidth="1"/>
    <col min="6923" max="6923" width="8.81640625" style="5"/>
    <col min="6924" max="6924" width="11" style="5" customWidth="1"/>
    <col min="6925" max="6926" width="8.81640625" style="5"/>
    <col min="6927" max="6927" width="7.453125" style="5" customWidth="1"/>
    <col min="6928" max="6928" width="10.81640625" style="5" customWidth="1"/>
    <col min="6929" max="7168" width="8.81640625" style="5"/>
    <col min="7169" max="7172" width="16" style="5" customWidth="1"/>
    <col min="7173" max="7173" width="11.453125" style="5" customWidth="1"/>
    <col min="7174" max="7174" width="10.453125" style="5" customWidth="1"/>
    <col min="7175" max="7175" width="10.81640625" style="5" customWidth="1"/>
    <col min="7176" max="7176" width="11.08984375" style="5" customWidth="1"/>
    <col min="7177" max="7177" width="10.453125" style="5" customWidth="1"/>
    <col min="7178" max="7178" width="11" style="5" customWidth="1"/>
    <col min="7179" max="7179" width="8.81640625" style="5"/>
    <col min="7180" max="7180" width="11" style="5" customWidth="1"/>
    <col min="7181" max="7182" width="8.81640625" style="5"/>
    <col min="7183" max="7183" width="7.453125" style="5" customWidth="1"/>
    <col min="7184" max="7184" width="10.81640625" style="5" customWidth="1"/>
    <col min="7185" max="7424" width="8.81640625" style="5"/>
    <col min="7425" max="7428" width="16" style="5" customWidth="1"/>
    <col min="7429" max="7429" width="11.453125" style="5" customWidth="1"/>
    <col min="7430" max="7430" width="10.453125" style="5" customWidth="1"/>
    <col min="7431" max="7431" width="10.81640625" style="5" customWidth="1"/>
    <col min="7432" max="7432" width="11.08984375" style="5" customWidth="1"/>
    <col min="7433" max="7433" width="10.453125" style="5" customWidth="1"/>
    <col min="7434" max="7434" width="11" style="5" customWidth="1"/>
    <col min="7435" max="7435" width="8.81640625" style="5"/>
    <col min="7436" max="7436" width="11" style="5" customWidth="1"/>
    <col min="7437" max="7438" width="8.81640625" style="5"/>
    <col min="7439" max="7439" width="7.453125" style="5" customWidth="1"/>
    <col min="7440" max="7440" width="10.81640625" style="5" customWidth="1"/>
    <col min="7441" max="7680" width="8.81640625" style="5"/>
    <col min="7681" max="7684" width="16" style="5" customWidth="1"/>
    <col min="7685" max="7685" width="11.453125" style="5" customWidth="1"/>
    <col min="7686" max="7686" width="10.453125" style="5" customWidth="1"/>
    <col min="7687" max="7687" width="10.81640625" style="5" customWidth="1"/>
    <col min="7688" max="7688" width="11.08984375" style="5" customWidth="1"/>
    <col min="7689" max="7689" width="10.453125" style="5" customWidth="1"/>
    <col min="7690" max="7690" width="11" style="5" customWidth="1"/>
    <col min="7691" max="7691" width="8.81640625" style="5"/>
    <col min="7692" max="7692" width="11" style="5" customWidth="1"/>
    <col min="7693" max="7694" width="8.81640625" style="5"/>
    <col min="7695" max="7695" width="7.453125" style="5" customWidth="1"/>
    <col min="7696" max="7696" width="10.81640625" style="5" customWidth="1"/>
    <col min="7697" max="7936" width="8.81640625" style="5"/>
    <col min="7937" max="7940" width="16" style="5" customWidth="1"/>
    <col min="7941" max="7941" width="11.453125" style="5" customWidth="1"/>
    <col min="7942" max="7942" width="10.453125" style="5" customWidth="1"/>
    <col min="7943" max="7943" width="10.81640625" style="5" customWidth="1"/>
    <col min="7944" max="7944" width="11.08984375" style="5" customWidth="1"/>
    <col min="7945" max="7945" width="10.453125" style="5" customWidth="1"/>
    <col min="7946" max="7946" width="11" style="5" customWidth="1"/>
    <col min="7947" max="7947" width="8.81640625" style="5"/>
    <col min="7948" max="7948" width="11" style="5" customWidth="1"/>
    <col min="7949" max="7950" width="8.81640625" style="5"/>
    <col min="7951" max="7951" width="7.453125" style="5" customWidth="1"/>
    <col min="7952" max="7952" width="10.81640625" style="5" customWidth="1"/>
    <col min="7953" max="8192" width="8.81640625" style="5"/>
    <col min="8193" max="8196" width="16" style="5" customWidth="1"/>
    <col min="8197" max="8197" width="11.453125" style="5" customWidth="1"/>
    <col min="8198" max="8198" width="10.453125" style="5" customWidth="1"/>
    <col min="8199" max="8199" width="10.81640625" style="5" customWidth="1"/>
    <col min="8200" max="8200" width="11.08984375" style="5" customWidth="1"/>
    <col min="8201" max="8201" width="10.453125" style="5" customWidth="1"/>
    <col min="8202" max="8202" width="11" style="5" customWidth="1"/>
    <col min="8203" max="8203" width="8.81640625" style="5"/>
    <col min="8204" max="8204" width="11" style="5" customWidth="1"/>
    <col min="8205" max="8206" width="8.81640625" style="5"/>
    <col min="8207" max="8207" width="7.453125" style="5" customWidth="1"/>
    <col min="8208" max="8208" width="10.81640625" style="5" customWidth="1"/>
    <col min="8209" max="8448" width="8.81640625" style="5"/>
    <col min="8449" max="8452" width="16" style="5" customWidth="1"/>
    <col min="8453" max="8453" width="11.453125" style="5" customWidth="1"/>
    <col min="8454" max="8454" width="10.453125" style="5" customWidth="1"/>
    <col min="8455" max="8455" width="10.81640625" style="5" customWidth="1"/>
    <col min="8456" max="8456" width="11.08984375" style="5" customWidth="1"/>
    <col min="8457" max="8457" width="10.453125" style="5" customWidth="1"/>
    <col min="8458" max="8458" width="11" style="5" customWidth="1"/>
    <col min="8459" max="8459" width="8.81640625" style="5"/>
    <col min="8460" max="8460" width="11" style="5" customWidth="1"/>
    <col min="8461" max="8462" width="8.81640625" style="5"/>
    <col min="8463" max="8463" width="7.453125" style="5" customWidth="1"/>
    <col min="8464" max="8464" width="10.81640625" style="5" customWidth="1"/>
    <col min="8465" max="8704" width="8.81640625" style="5"/>
    <col min="8705" max="8708" width="16" style="5" customWidth="1"/>
    <col min="8709" max="8709" width="11.453125" style="5" customWidth="1"/>
    <col min="8710" max="8710" width="10.453125" style="5" customWidth="1"/>
    <col min="8711" max="8711" width="10.81640625" style="5" customWidth="1"/>
    <col min="8712" max="8712" width="11.08984375" style="5" customWidth="1"/>
    <col min="8713" max="8713" width="10.453125" style="5" customWidth="1"/>
    <col min="8714" max="8714" width="11" style="5" customWidth="1"/>
    <col min="8715" max="8715" width="8.81640625" style="5"/>
    <col min="8716" max="8716" width="11" style="5" customWidth="1"/>
    <col min="8717" max="8718" width="8.81640625" style="5"/>
    <col min="8719" max="8719" width="7.453125" style="5" customWidth="1"/>
    <col min="8720" max="8720" width="10.81640625" style="5" customWidth="1"/>
    <col min="8721" max="8960" width="8.81640625" style="5"/>
    <col min="8961" max="8964" width="16" style="5" customWidth="1"/>
    <col min="8965" max="8965" width="11.453125" style="5" customWidth="1"/>
    <col min="8966" max="8966" width="10.453125" style="5" customWidth="1"/>
    <col min="8967" max="8967" width="10.81640625" style="5" customWidth="1"/>
    <col min="8968" max="8968" width="11.08984375" style="5" customWidth="1"/>
    <col min="8969" max="8969" width="10.453125" style="5" customWidth="1"/>
    <col min="8970" max="8970" width="11" style="5" customWidth="1"/>
    <col min="8971" max="8971" width="8.81640625" style="5"/>
    <col min="8972" max="8972" width="11" style="5" customWidth="1"/>
    <col min="8973" max="8974" width="8.81640625" style="5"/>
    <col min="8975" max="8975" width="7.453125" style="5" customWidth="1"/>
    <col min="8976" max="8976" width="10.81640625" style="5" customWidth="1"/>
    <col min="8977" max="9216" width="8.81640625" style="5"/>
    <col min="9217" max="9220" width="16" style="5" customWidth="1"/>
    <col min="9221" max="9221" width="11.453125" style="5" customWidth="1"/>
    <col min="9222" max="9222" width="10.453125" style="5" customWidth="1"/>
    <col min="9223" max="9223" width="10.81640625" style="5" customWidth="1"/>
    <col min="9224" max="9224" width="11.08984375" style="5" customWidth="1"/>
    <col min="9225" max="9225" width="10.453125" style="5" customWidth="1"/>
    <col min="9226" max="9226" width="11" style="5" customWidth="1"/>
    <col min="9227" max="9227" width="8.81640625" style="5"/>
    <col min="9228" max="9228" width="11" style="5" customWidth="1"/>
    <col min="9229" max="9230" width="8.81640625" style="5"/>
    <col min="9231" max="9231" width="7.453125" style="5" customWidth="1"/>
    <col min="9232" max="9232" width="10.81640625" style="5" customWidth="1"/>
    <col min="9233" max="9472" width="8.81640625" style="5"/>
    <col min="9473" max="9476" width="16" style="5" customWidth="1"/>
    <col min="9477" max="9477" width="11.453125" style="5" customWidth="1"/>
    <col min="9478" max="9478" width="10.453125" style="5" customWidth="1"/>
    <col min="9479" max="9479" width="10.81640625" style="5" customWidth="1"/>
    <col min="9480" max="9480" width="11.08984375" style="5" customWidth="1"/>
    <col min="9481" max="9481" width="10.453125" style="5" customWidth="1"/>
    <col min="9482" max="9482" width="11" style="5" customWidth="1"/>
    <col min="9483" max="9483" width="8.81640625" style="5"/>
    <col min="9484" max="9484" width="11" style="5" customWidth="1"/>
    <col min="9485" max="9486" width="8.81640625" style="5"/>
    <col min="9487" max="9487" width="7.453125" style="5" customWidth="1"/>
    <col min="9488" max="9488" width="10.81640625" style="5" customWidth="1"/>
    <col min="9489" max="9728" width="8.81640625" style="5"/>
    <col min="9729" max="9732" width="16" style="5" customWidth="1"/>
    <col min="9733" max="9733" width="11.453125" style="5" customWidth="1"/>
    <col min="9734" max="9734" width="10.453125" style="5" customWidth="1"/>
    <col min="9735" max="9735" width="10.81640625" style="5" customWidth="1"/>
    <col min="9736" max="9736" width="11.08984375" style="5" customWidth="1"/>
    <col min="9737" max="9737" width="10.453125" style="5" customWidth="1"/>
    <col min="9738" max="9738" width="11" style="5" customWidth="1"/>
    <col min="9739" max="9739" width="8.81640625" style="5"/>
    <col min="9740" max="9740" width="11" style="5" customWidth="1"/>
    <col min="9741" max="9742" width="8.81640625" style="5"/>
    <col min="9743" max="9743" width="7.453125" style="5" customWidth="1"/>
    <col min="9744" max="9744" width="10.81640625" style="5" customWidth="1"/>
    <col min="9745" max="9984" width="8.81640625" style="5"/>
    <col min="9985" max="9988" width="16" style="5" customWidth="1"/>
    <col min="9989" max="9989" width="11.453125" style="5" customWidth="1"/>
    <col min="9990" max="9990" width="10.453125" style="5" customWidth="1"/>
    <col min="9991" max="9991" width="10.81640625" style="5" customWidth="1"/>
    <col min="9992" max="9992" width="11.08984375" style="5" customWidth="1"/>
    <col min="9993" max="9993" width="10.453125" style="5" customWidth="1"/>
    <col min="9994" max="9994" width="11" style="5" customWidth="1"/>
    <col min="9995" max="9995" width="8.81640625" style="5"/>
    <col min="9996" max="9996" width="11" style="5" customWidth="1"/>
    <col min="9997" max="9998" width="8.81640625" style="5"/>
    <col min="9999" max="9999" width="7.453125" style="5" customWidth="1"/>
    <col min="10000" max="10000" width="10.81640625" style="5" customWidth="1"/>
    <col min="10001" max="10240" width="8.81640625" style="5"/>
    <col min="10241" max="10244" width="16" style="5" customWidth="1"/>
    <col min="10245" max="10245" width="11.453125" style="5" customWidth="1"/>
    <col min="10246" max="10246" width="10.453125" style="5" customWidth="1"/>
    <col min="10247" max="10247" width="10.81640625" style="5" customWidth="1"/>
    <col min="10248" max="10248" width="11.08984375" style="5" customWidth="1"/>
    <col min="10249" max="10249" width="10.453125" style="5" customWidth="1"/>
    <col min="10250" max="10250" width="11" style="5" customWidth="1"/>
    <col min="10251" max="10251" width="8.81640625" style="5"/>
    <col min="10252" max="10252" width="11" style="5" customWidth="1"/>
    <col min="10253" max="10254" width="8.81640625" style="5"/>
    <col min="10255" max="10255" width="7.453125" style="5" customWidth="1"/>
    <col min="10256" max="10256" width="10.81640625" style="5" customWidth="1"/>
    <col min="10257" max="10496" width="8.81640625" style="5"/>
    <col min="10497" max="10500" width="16" style="5" customWidth="1"/>
    <col min="10501" max="10501" width="11.453125" style="5" customWidth="1"/>
    <col min="10502" max="10502" width="10.453125" style="5" customWidth="1"/>
    <col min="10503" max="10503" width="10.81640625" style="5" customWidth="1"/>
    <col min="10504" max="10504" width="11.08984375" style="5" customWidth="1"/>
    <col min="10505" max="10505" width="10.453125" style="5" customWidth="1"/>
    <col min="10506" max="10506" width="11" style="5" customWidth="1"/>
    <col min="10507" max="10507" width="8.81640625" style="5"/>
    <col min="10508" max="10508" width="11" style="5" customWidth="1"/>
    <col min="10509" max="10510" width="8.81640625" style="5"/>
    <col min="10511" max="10511" width="7.453125" style="5" customWidth="1"/>
    <col min="10512" max="10512" width="10.81640625" style="5" customWidth="1"/>
    <col min="10513" max="10752" width="8.81640625" style="5"/>
    <col min="10753" max="10756" width="16" style="5" customWidth="1"/>
    <col min="10757" max="10757" width="11.453125" style="5" customWidth="1"/>
    <col min="10758" max="10758" width="10.453125" style="5" customWidth="1"/>
    <col min="10759" max="10759" width="10.81640625" style="5" customWidth="1"/>
    <col min="10760" max="10760" width="11.08984375" style="5" customWidth="1"/>
    <col min="10761" max="10761" width="10.453125" style="5" customWidth="1"/>
    <col min="10762" max="10762" width="11" style="5" customWidth="1"/>
    <col min="10763" max="10763" width="8.81640625" style="5"/>
    <col min="10764" max="10764" width="11" style="5" customWidth="1"/>
    <col min="10765" max="10766" width="8.81640625" style="5"/>
    <col min="10767" max="10767" width="7.453125" style="5" customWidth="1"/>
    <col min="10768" max="10768" width="10.81640625" style="5" customWidth="1"/>
    <col min="10769" max="11008" width="8.81640625" style="5"/>
    <col min="11009" max="11012" width="16" style="5" customWidth="1"/>
    <col min="11013" max="11013" width="11.453125" style="5" customWidth="1"/>
    <col min="11014" max="11014" width="10.453125" style="5" customWidth="1"/>
    <col min="11015" max="11015" width="10.81640625" style="5" customWidth="1"/>
    <col min="11016" max="11016" width="11.08984375" style="5" customWidth="1"/>
    <col min="11017" max="11017" width="10.453125" style="5" customWidth="1"/>
    <col min="11018" max="11018" width="11" style="5" customWidth="1"/>
    <col min="11019" max="11019" width="8.81640625" style="5"/>
    <col min="11020" max="11020" width="11" style="5" customWidth="1"/>
    <col min="11021" max="11022" width="8.81640625" style="5"/>
    <col min="11023" max="11023" width="7.453125" style="5" customWidth="1"/>
    <col min="11024" max="11024" width="10.81640625" style="5" customWidth="1"/>
    <col min="11025" max="11264" width="8.81640625" style="5"/>
    <col min="11265" max="11268" width="16" style="5" customWidth="1"/>
    <col min="11269" max="11269" width="11.453125" style="5" customWidth="1"/>
    <col min="11270" max="11270" width="10.453125" style="5" customWidth="1"/>
    <col min="11271" max="11271" width="10.81640625" style="5" customWidth="1"/>
    <col min="11272" max="11272" width="11.08984375" style="5" customWidth="1"/>
    <col min="11273" max="11273" width="10.453125" style="5" customWidth="1"/>
    <col min="11274" max="11274" width="11" style="5" customWidth="1"/>
    <col min="11275" max="11275" width="8.81640625" style="5"/>
    <col min="11276" max="11276" width="11" style="5" customWidth="1"/>
    <col min="11277" max="11278" width="8.81640625" style="5"/>
    <col min="11279" max="11279" width="7.453125" style="5" customWidth="1"/>
    <col min="11280" max="11280" width="10.81640625" style="5" customWidth="1"/>
    <col min="11281" max="11520" width="8.81640625" style="5"/>
    <col min="11521" max="11524" width="16" style="5" customWidth="1"/>
    <col min="11525" max="11525" width="11.453125" style="5" customWidth="1"/>
    <col min="11526" max="11526" width="10.453125" style="5" customWidth="1"/>
    <col min="11527" max="11527" width="10.81640625" style="5" customWidth="1"/>
    <col min="11528" max="11528" width="11.08984375" style="5" customWidth="1"/>
    <col min="11529" max="11529" width="10.453125" style="5" customWidth="1"/>
    <col min="11530" max="11530" width="11" style="5" customWidth="1"/>
    <col min="11531" max="11531" width="8.81640625" style="5"/>
    <col min="11532" max="11532" width="11" style="5" customWidth="1"/>
    <col min="11533" max="11534" width="8.81640625" style="5"/>
    <col min="11535" max="11535" width="7.453125" style="5" customWidth="1"/>
    <col min="11536" max="11536" width="10.81640625" style="5" customWidth="1"/>
    <col min="11537" max="11776" width="8.81640625" style="5"/>
    <col min="11777" max="11780" width="16" style="5" customWidth="1"/>
    <col min="11781" max="11781" width="11.453125" style="5" customWidth="1"/>
    <col min="11782" max="11782" width="10.453125" style="5" customWidth="1"/>
    <col min="11783" max="11783" width="10.81640625" style="5" customWidth="1"/>
    <col min="11784" max="11784" width="11.08984375" style="5" customWidth="1"/>
    <col min="11785" max="11785" width="10.453125" style="5" customWidth="1"/>
    <col min="11786" max="11786" width="11" style="5" customWidth="1"/>
    <col min="11787" max="11787" width="8.81640625" style="5"/>
    <col min="11788" max="11788" width="11" style="5" customWidth="1"/>
    <col min="11789" max="11790" width="8.81640625" style="5"/>
    <col min="11791" max="11791" width="7.453125" style="5" customWidth="1"/>
    <col min="11792" max="11792" width="10.81640625" style="5" customWidth="1"/>
    <col min="11793" max="12032" width="8.81640625" style="5"/>
    <col min="12033" max="12036" width="16" style="5" customWidth="1"/>
    <col min="12037" max="12037" width="11.453125" style="5" customWidth="1"/>
    <col min="12038" max="12038" width="10.453125" style="5" customWidth="1"/>
    <col min="12039" max="12039" width="10.81640625" style="5" customWidth="1"/>
    <col min="12040" max="12040" width="11.08984375" style="5" customWidth="1"/>
    <col min="12041" max="12041" width="10.453125" style="5" customWidth="1"/>
    <col min="12042" max="12042" width="11" style="5" customWidth="1"/>
    <col min="12043" max="12043" width="8.81640625" style="5"/>
    <col min="12044" max="12044" width="11" style="5" customWidth="1"/>
    <col min="12045" max="12046" width="8.81640625" style="5"/>
    <col min="12047" max="12047" width="7.453125" style="5" customWidth="1"/>
    <col min="12048" max="12048" width="10.81640625" style="5" customWidth="1"/>
    <col min="12049" max="12288" width="8.81640625" style="5"/>
    <col min="12289" max="12292" width="16" style="5" customWidth="1"/>
    <col min="12293" max="12293" width="11.453125" style="5" customWidth="1"/>
    <col min="12294" max="12294" width="10.453125" style="5" customWidth="1"/>
    <col min="12295" max="12295" width="10.81640625" style="5" customWidth="1"/>
    <col min="12296" max="12296" width="11.08984375" style="5" customWidth="1"/>
    <col min="12297" max="12297" width="10.453125" style="5" customWidth="1"/>
    <col min="12298" max="12298" width="11" style="5" customWidth="1"/>
    <col min="12299" max="12299" width="8.81640625" style="5"/>
    <col min="12300" max="12300" width="11" style="5" customWidth="1"/>
    <col min="12301" max="12302" width="8.81640625" style="5"/>
    <col min="12303" max="12303" width="7.453125" style="5" customWidth="1"/>
    <col min="12304" max="12304" width="10.81640625" style="5" customWidth="1"/>
    <col min="12305" max="12544" width="8.81640625" style="5"/>
    <col min="12545" max="12548" width="16" style="5" customWidth="1"/>
    <col min="12549" max="12549" width="11.453125" style="5" customWidth="1"/>
    <col min="12550" max="12550" width="10.453125" style="5" customWidth="1"/>
    <col min="12551" max="12551" width="10.81640625" style="5" customWidth="1"/>
    <col min="12552" max="12552" width="11.08984375" style="5" customWidth="1"/>
    <col min="12553" max="12553" width="10.453125" style="5" customWidth="1"/>
    <col min="12554" max="12554" width="11" style="5" customWidth="1"/>
    <col min="12555" max="12555" width="8.81640625" style="5"/>
    <col min="12556" max="12556" width="11" style="5" customWidth="1"/>
    <col min="12557" max="12558" width="8.81640625" style="5"/>
    <col min="12559" max="12559" width="7.453125" style="5" customWidth="1"/>
    <col min="12560" max="12560" width="10.81640625" style="5" customWidth="1"/>
    <col min="12561" max="12800" width="8.81640625" style="5"/>
    <col min="12801" max="12804" width="16" style="5" customWidth="1"/>
    <col min="12805" max="12805" width="11.453125" style="5" customWidth="1"/>
    <col min="12806" max="12806" width="10.453125" style="5" customWidth="1"/>
    <col min="12807" max="12807" width="10.81640625" style="5" customWidth="1"/>
    <col min="12808" max="12808" width="11.08984375" style="5" customWidth="1"/>
    <col min="12809" max="12809" width="10.453125" style="5" customWidth="1"/>
    <col min="12810" max="12810" width="11" style="5" customWidth="1"/>
    <col min="12811" max="12811" width="8.81640625" style="5"/>
    <col min="12812" max="12812" width="11" style="5" customWidth="1"/>
    <col min="12813" max="12814" width="8.81640625" style="5"/>
    <col min="12815" max="12815" width="7.453125" style="5" customWidth="1"/>
    <col min="12816" max="12816" width="10.81640625" style="5" customWidth="1"/>
    <col min="12817" max="13056" width="8.81640625" style="5"/>
    <col min="13057" max="13060" width="16" style="5" customWidth="1"/>
    <col min="13061" max="13061" width="11.453125" style="5" customWidth="1"/>
    <col min="13062" max="13062" width="10.453125" style="5" customWidth="1"/>
    <col min="13063" max="13063" width="10.81640625" style="5" customWidth="1"/>
    <col min="13064" max="13064" width="11.08984375" style="5" customWidth="1"/>
    <col min="13065" max="13065" width="10.453125" style="5" customWidth="1"/>
    <col min="13066" max="13066" width="11" style="5" customWidth="1"/>
    <col min="13067" max="13067" width="8.81640625" style="5"/>
    <col min="13068" max="13068" width="11" style="5" customWidth="1"/>
    <col min="13069" max="13070" width="8.81640625" style="5"/>
    <col min="13071" max="13071" width="7.453125" style="5" customWidth="1"/>
    <col min="13072" max="13072" width="10.81640625" style="5" customWidth="1"/>
    <col min="13073" max="13312" width="8.81640625" style="5"/>
    <col min="13313" max="13316" width="16" style="5" customWidth="1"/>
    <col min="13317" max="13317" width="11.453125" style="5" customWidth="1"/>
    <col min="13318" max="13318" width="10.453125" style="5" customWidth="1"/>
    <col min="13319" max="13319" width="10.81640625" style="5" customWidth="1"/>
    <col min="13320" max="13320" width="11.08984375" style="5" customWidth="1"/>
    <col min="13321" max="13321" width="10.453125" style="5" customWidth="1"/>
    <col min="13322" max="13322" width="11" style="5" customWidth="1"/>
    <col min="13323" max="13323" width="8.81640625" style="5"/>
    <col min="13324" max="13324" width="11" style="5" customWidth="1"/>
    <col min="13325" max="13326" width="8.81640625" style="5"/>
    <col min="13327" max="13327" width="7.453125" style="5" customWidth="1"/>
    <col min="13328" max="13328" width="10.81640625" style="5" customWidth="1"/>
    <col min="13329" max="13568" width="8.81640625" style="5"/>
    <col min="13569" max="13572" width="16" style="5" customWidth="1"/>
    <col min="13573" max="13573" width="11.453125" style="5" customWidth="1"/>
    <col min="13574" max="13574" width="10.453125" style="5" customWidth="1"/>
    <col min="13575" max="13575" width="10.81640625" style="5" customWidth="1"/>
    <col min="13576" max="13576" width="11.08984375" style="5" customWidth="1"/>
    <col min="13577" max="13577" width="10.453125" style="5" customWidth="1"/>
    <col min="13578" max="13578" width="11" style="5" customWidth="1"/>
    <col min="13579" max="13579" width="8.81640625" style="5"/>
    <col min="13580" max="13580" width="11" style="5" customWidth="1"/>
    <col min="13581" max="13582" width="8.81640625" style="5"/>
    <col min="13583" max="13583" width="7.453125" style="5" customWidth="1"/>
    <col min="13584" max="13584" width="10.81640625" style="5" customWidth="1"/>
    <col min="13585" max="13824" width="8.81640625" style="5"/>
    <col min="13825" max="13828" width="16" style="5" customWidth="1"/>
    <col min="13829" max="13829" width="11.453125" style="5" customWidth="1"/>
    <col min="13830" max="13830" width="10.453125" style="5" customWidth="1"/>
    <col min="13831" max="13831" width="10.81640625" style="5" customWidth="1"/>
    <col min="13832" max="13832" width="11.08984375" style="5" customWidth="1"/>
    <col min="13833" max="13833" width="10.453125" style="5" customWidth="1"/>
    <col min="13834" max="13834" width="11" style="5" customWidth="1"/>
    <col min="13835" max="13835" width="8.81640625" style="5"/>
    <col min="13836" max="13836" width="11" style="5" customWidth="1"/>
    <col min="13837" max="13838" width="8.81640625" style="5"/>
    <col min="13839" max="13839" width="7.453125" style="5" customWidth="1"/>
    <col min="13840" max="13840" width="10.81640625" style="5" customWidth="1"/>
    <col min="13841" max="14080" width="8.81640625" style="5"/>
    <col min="14081" max="14084" width="16" style="5" customWidth="1"/>
    <col min="14085" max="14085" width="11.453125" style="5" customWidth="1"/>
    <col min="14086" max="14086" width="10.453125" style="5" customWidth="1"/>
    <col min="14087" max="14087" width="10.81640625" style="5" customWidth="1"/>
    <col min="14088" max="14088" width="11.08984375" style="5" customWidth="1"/>
    <col min="14089" max="14089" width="10.453125" style="5" customWidth="1"/>
    <col min="14090" max="14090" width="11" style="5" customWidth="1"/>
    <col min="14091" max="14091" width="8.81640625" style="5"/>
    <col min="14092" max="14092" width="11" style="5" customWidth="1"/>
    <col min="14093" max="14094" width="8.81640625" style="5"/>
    <col min="14095" max="14095" width="7.453125" style="5" customWidth="1"/>
    <col min="14096" max="14096" width="10.81640625" style="5" customWidth="1"/>
    <col min="14097" max="14336" width="8.81640625" style="5"/>
    <col min="14337" max="14340" width="16" style="5" customWidth="1"/>
    <col min="14341" max="14341" width="11.453125" style="5" customWidth="1"/>
    <col min="14342" max="14342" width="10.453125" style="5" customWidth="1"/>
    <col min="14343" max="14343" width="10.81640625" style="5" customWidth="1"/>
    <col min="14344" max="14344" width="11.08984375" style="5" customWidth="1"/>
    <col min="14345" max="14345" width="10.453125" style="5" customWidth="1"/>
    <col min="14346" max="14346" width="11" style="5" customWidth="1"/>
    <col min="14347" max="14347" width="8.81640625" style="5"/>
    <col min="14348" max="14348" width="11" style="5" customWidth="1"/>
    <col min="14349" max="14350" width="8.81640625" style="5"/>
    <col min="14351" max="14351" width="7.453125" style="5" customWidth="1"/>
    <col min="14352" max="14352" width="10.81640625" style="5" customWidth="1"/>
    <col min="14353" max="14592" width="8.81640625" style="5"/>
    <col min="14593" max="14596" width="16" style="5" customWidth="1"/>
    <col min="14597" max="14597" width="11.453125" style="5" customWidth="1"/>
    <col min="14598" max="14598" width="10.453125" style="5" customWidth="1"/>
    <col min="14599" max="14599" width="10.81640625" style="5" customWidth="1"/>
    <col min="14600" max="14600" width="11.08984375" style="5" customWidth="1"/>
    <col min="14601" max="14601" width="10.453125" style="5" customWidth="1"/>
    <col min="14602" max="14602" width="11" style="5" customWidth="1"/>
    <col min="14603" max="14603" width="8.81640625" style="5"/>
    <col min="14604" max="14604" width="11" style="5" customWidth="1"/>
    <col min="14605" max="14606" width="8.81640625" style="5"/>
    <col min="14607" max="14607" width="7.453125" style="5" customWidth="1"/>
    <col min="14608" max="14608" width="10.81640625" style="5" customWidth="1"/>
    <col min="14609" max="14848" width="8.81640625" style="5"/>
    <col min="14849" max="14852" width="16" style="5" customWidth="1"/>
    <col min="14853" max="14853" width="11.453125" style="5" customWidth="1"/>
    <col min="14854" max="14854" width="10.453125" style="5" customWidth="1"/>
    <col min="14855" max="14855" width="10.81640625" style="5" customWidth="1"/>
    <col min="14856" max="14856" width="11.08984375" style="5" customWidth="1"/>
    <col min="14857" max="14857" width="10.453125" style="5" customWidth="1"/>
    <col min="14858" max="14858" width="11" style="5" customWidth="1"/>
    <col min="14859" max="14859" width="8.81640625" style="5"/>
    <col min="14860" max="14860" width="11" style="5" customWidth="1"/>
    <col min="14861" max="14862" width="8.81640625" style="5"/>
    <col min="14863" max="14863" width="7.453125" style="5" customWidth="1"/>
    <col min="14864" max="14864" width="10.81640625" style="5" customWidth="1"/>
    <col min="14865" max="15104" width="8.81640625" style="5"/>
    <col min="15105" max="15108" width="16" style="5" customWidth="1"/>
    <col min="15109" max="15109" width="11.453125" style="5" customWidth="1"/>
    <col min="15110" max="15110" width="10.453125" style="5" customWidth="1"/>
    <col min="15111" max="15111" width="10.81640625" style="5" customWidth="1"/>
    <col min="15112" max="15112" width="11.08984375" style="5" customWidth="1"/>
    <col min="15113" max="15113" width="10.453125" style="5" customWidth="1"/>
    <col min="15114" max="15114" width="11" style="5" customWidth="1"/>
    <col min="15115" max="15115" width="8.81640625" style="5"/>
    <col min="15116" max="15116" width="11" style="5" customWidth="1"/>
    <col min="15117" max="15118" width="8.81640625" style="5"/>
    <col min="15119" max="15119" width="7.453125" style="5" customWidth="1"/>
    <col min="15120" max="15120" width="10.81640625" style="5" customWidth="1"/>
    <col min="15121" max="15360" width="8.81640625" style="5"/>
    <col min="15361" max="15364" width="16" style="5" customWidth="1"/>
    <col min="15365" max="15365" width="11.453125" style="5" customWidth="1"/>
    <col min="15366" max="15366" width="10.453125" style="5" customWidth="1"/>
    <col min="15367" max="15367" width="10.81640625" style="5" customWidth="1"/>
    <col min="15368" max="15368" width="11.08984375" style="5" customWidth="1"/>
    <col min="15369" max="15369" width="10.453125" style="5" customWidth="1"/>
    <col min="15370" max="15370" width="11" style="5" customWidth="1"/>
    <col min="15371" max="15371" width="8.81640625" style="5"/>
    <col min="15372" max="15372" width="11" style="5" customWidth="1"/>
    <col min="15373" max="15374" width="8.81640625" style="5"/>
    <col min="15375" max="15375" width="7.453125" style="5" customWidth="1"/>
    <col min="15376" max="15376" width="10.81640625" style="5" customWidth="1"/>
    <col min="15377" max="15616" width="8.81640625" style="5"/>
    <col min="15617" max="15620" width="16" style="5" customWidth="1"/>
    <col min="15621" max="15621" width="11.453125" style="5" customWidth="1"/>
    <col min="15622" max="15622" width="10.453125" style="5" customWidth="1"/>
    <col min="15623" max="15623" width="10.81640625" style="5" customWidth="1"/>
    <col min="15624" max="15624" width="11.08984375" style="5" customWidth="1"/>
    <col min="15625" max="15625" width="10.453125" style="5" customWidth="1"/>
    <col min="15626" max="15626" width="11" style="5" customWidth="1"/>
    <col min="15627" max="15627" width="8.81640625" style="5"/>
    <col min="15628" max="15628" width="11" style="5" customWidth="1"/>
    <col min="15629" max="15630" width="8.81640625" style="5"/>
    <col min="15631" max="15631" width="7.453125" style="5" customWidth="1"/>
    <col min="15632" max="15632" width="10.81640625" style="5" customWidth="1"/>
    <col min="15633" max="15872" width="8.81640625" style="5"/>
    <col min="15873" max="15876" width="16" style="5" customWidth="1"/>
    <col min="15877" max="15877" width="11.453125" style="5" customWidth="1"/>
    <col min="15878" max="15878" width="10.453125" style="5" customWidth="1"/>
    <col min="15879" max="15879" width="10.81640625" style="5" customWidth="1"/>
    <col min="15880" max="15880" width="11.08984375" style="5" customWidth="1"/>
    <col min="15881" max="15881" width="10.453125" style="5" customWidth="1"/>
    <col min="15882" max="15882" width="11" style="5" customWidth="1"/>
    <col min="15883" max="15883" width="8.81640625" style="5"/>
    <col min="15884" max="15884" width="11" style="5" customWidth="1"/>
    <col min="15885" max="15886" width="8.81640625" style="5"/>
    <col min="15887" max="15887" width="7.453125" style="5" customWidth="1"/>
    <col min="15888" max="15888" width="10.81640625" style="5" customWidth="1"/>
    <col min="15889" max="16128" width="8.81640625" style="5"/>
    <col min="16129" max="16132" width="16" style="5" customWidth="1"/>
    <col min="16133" max="16133" width="11.453125" style="5" customWidth="1"/>
    <col min="16134" max="16134" width="10.453125" style="5" customWidth="1"/>
    <col min="16135" max="16135" width="10.81640625" style="5" customWidth="1"/>
    <col min="16136" max="16136" width="11.08984375" style="5" customWidth="1"/>
    <col min="16137" max="16137" width="10.453125" style="5" customWidth="1"/>
    <col min="16138" max="16138" width="11" style="5" customWidth="1"/>
    <col min="16139" max="16139" width="8.81640625" style="5"/>
    <col min="16140" max="16140" width="11" style="5" customWidth="1"/>
    <col min="16141" max="16142" width="8.81640625" style="5"/>
    <col min="16143" max="16143" width="7.453125" style="5" customWidth="1"/>
    <col min="16144" max="16144" width="10.81640625" style="5" customWidth="1"/>
    <col min="16145" max="16384" width="8.81640625" style="5"/>
  </cols>
  <sheetData>
    <row r="1" spans="1:16">
      <c r="A1" s="5" t="s">
        <v>210</v>
      </c>
    </row>
    <row r="2" spans="1:16" ht="43.5" customHeight="1">
      <c r="A2" s="10" t="s">
        <v>24</v>
      </c>
      <c r="B2" s="10" t="s">
        <v>23</v>
      </c>
      <c r="C2" s="10" t="s">
        <v>22</v>
      </c>
      <c r="D2" s="10" t="s">
        <v>21</v>
      </c>
      <c r="E2" s="10" t="s">
        <v>20</v>
      </c>
      <c r="F2" s="10" t="s">
        <v>19</v>
      </c>
      <c r="G2" s="10" t="s">
        <v>18</v>
      </c>
      <c r="H2" s="10" t="s">
        <v>17</v>
      </c>
      <c r="I2" s="10" t="s">
        <v>16</v>
      </c>
      <c r="J2" s="10" t="s">
        <v>15</v>
      </c>
      <c r="K2" s="10" t="s">
        <v>14</v>
      </c>
      <c r="L2" s="10" t="s">
        <v>13</v>
      </c>
      <c r="M2" s="10" t="s">
        <v>12</v>
      </c>
      <c r="N2" s="10" t="s">
        <v>11</v>
      </c>
      <c r="O2" s="10" t="s">
        <v>10</v>
      </c>
      <c r="P2" s="10" t="s">
        <v>9</v>
      </c>
    </row>
    <row r="6" spans="1:16">
      <c r="A6" s="5">
        <v>1200</v>
      </c>
      <c r="B6" s="5">
        <v>0.01</v>
      </c>
      <c r="C6" s="8">
        <f t="shared" ref="C6:C21" si="0">(4/3)*(3.1415926)*((B6/2)^3)</f>
        <v>5.2359876666666673E-7</v>
      </c>
      <c r="D6" s="5">
        <v>2.75</v>
      </c>
      <c r="E6" s="5">
        <f t="shared" ref="E6:E21" si="1">C6*D6</f>
        <v>1.4398966083333335E-6</v>
      </c>
      <c r="F6" s="5">
        <f t="shared" ref="F6:F21" si="2">(A6/1000000)*E6</f>
        <v>1.7278759299999999E-9</v>
      </c>
      <c r="G6" s="5">
        <v>0.5</v>
      </c>
      <c r="H6" s="5">
        <f t="shared" ref="H6:H21" si="3">(G6/100)*C6</f>
        <v>2.6179938333333338E-9</v>
      </c>
      <c r="I6" s="5">
        <v>0.04</v>
      </c>
      <c r="J6" s="5">
        <f t="shared" ref="J6:J21" si="4">H6*I6</f>
        <v>1.0471975333333336E-10</v>
      </c>
      <c r="K6" s="5">
        <f t="shared" ref="K6:K21" si="5">F6-J6</f>
        <v>1.6231561766666666E-9</v>
      </c>
      <c r="L6" s="5">
        <f t="shared" ref="L6:L21" si="6">(K6)/E6</f>
        <v>1.1272727272727272E-3</v>
      </c>
      <c r="M6" s="7">
        <f t="shared" ref="M6:M21" si="7">L6*1000000</f>
        <v>1127.2727272727273</v>
      </c>
      <c r="N6" s="7">
        <f>M6-0</f>
        <v>1127.2727272727273</v>
      </c>
      <c r="O6" s="7">
        <v>1</v>
      </c>
      <c r="P6" s="9">
        <f>O6-0.02</f>
        <v>0.98</v>
      </c>
    </row>
    <row r="7" spans="1:16">
      <c r="A7" s="5">
        <v>1200</v>
      </c>
      <c r="B7" s="5">
        <v>0.01</v>
      </c>
      <c r="C7" s="8">
        <f t="shared" si="0"/>
        <v>5.2359876666666673E-7</v>
      </c>
      <c r="D7" s="5">
        <v>2.75</v>
      </c>
      <c r="E7" s="5">
        <f t="shared" si="1"/>
        <v>1.4398966083333335E-6</v>
      </c>
      <c r="F7" s="5">
        <f t="shared" si="2"/>
        <v>1.7278759299999999E-9</v>
      </c>
      <c r="G7" s="5">
        <v>1</v>
      </c>
      <c r="H7" s="5">
        <f t="shared" si="3"/>
        <v>5.2359876666666677E-9</v>
      </c>
      <c r="I7" s="5">
        <v>0.04</v>
      </c>
      <c r="J7" s="5">
        <f t="shared" si="4"/>
        <v>2.0943950666666672E-10</v>
      </c>
      <c r="K7" s="5">
        <f t="shared" si="5"/>
        <v>1.5184364233333331E-9</v>
      </c>
      <c r="L7" s="5">
        <f t="shared" si="6"/>
        <v>1.0545454545454543E-3</v>
      </c>
      <c r="M7" s="7">
        <f t="shared" si="7"/>
        <v>1054.5454545454543</v>
      </c>
      <c r="N7" s="7">
        <f>M7-0</f>
        <v>1054.5454545454543</v>
      </c>
      <c r="O7" s="7">
        <v>1</v>
      </c>
      <c r="P7" s="9">
        <f>O7-0.02</f>
        <v>0.98</v>
      </c>
    </row>
    <row r="8" spans="1:16">
      <c r="A8" s="5">
        <v>1200</v>
      </c>
      <c r="B8" s="5">
        <v>0.01</v>
      </c>
      <c r="C8" s="8">
        <f t="shared" si="0"/>
        <v>5.2359876666666673E-7</v>
      </c>
      <c r="D8" s="5">
        <v>2.75</v>
      </c>
      <c r="E8" s="5">
        <f t="shared" si="1"/>
        <v>1.4398966083333335E-6</v>
      </c>
      <c r="F8" s="5">
        <f t="shared" si="2"/>
        <v>1.7278759299999999E-9</v>
      </c>
      <c r="G8" s="5">
        <v>1.5</v>
      </c>
      <c r="H8" s="5">
        <f t="shared" si="3"/>
        <v>7.8539815000000011E-9</v>
      </c>
      <c r="I8" s="5">
        <v>0.04</v>
      </c>
      <c r="J8" s="5">
        <f t="shared" si="4"/>
        <v>3.1415926000000004E-10</v>
      </c>
      <c r="K8" s="5">
        <f t="shared" si="5"/>
        <v>1.4137166699999998E-9</v>
      </c>
      <c r="L8" s="5">
        <f t="shared" si="6"/>
        <v>9.8181818181818157E-4</v>
      </c>
      <c r="M8" s="7">
        <f t="shared" si="7"/>
        <v>981.81818181818153</v>
      </c>
      <c r="N8" s="7">
        <f>M8-0</f>
        <v>981.81818181818153</v>
      </c>
      <c r="O8" s="7">
        <v>1</v>
      </c>
      <c r="P8" s="9">
        <f>O8-0.02</f>
        <v>0.98</v>
      </c>
    </row>
    <row r="9" spans="1:16">
      <c r="A9" s="5">
        <v>1200</v>
      </c>
      <c r="B9" s="5">
        <v>0.01</v>
      </c>
      <c r="C9" s="8">
        <f t="shared" si="0"/>
        <v>5.2359876666666673E-7</v>
      </c>
      <c r="D9" s="5">
        <v>2.75</v>
      </c>
      <c r="E9" s="5">
        <f t="shared" si="1"/>
        <v>1.4398966083333335E-6</v>
      </c>
      <c r="F9" s="5">
        <f t="shared" si="2"/>
        <v>1.7278759299999999E-9</v>
      </c>
      <c r="G9" s="5">
        <v>2</v>
      </c>
      <c r="H9" s="5">
        <f t="shared" si="3"/>
        <v>1.0471975333333335E-8</v>
      </c>
      <c r="I9" s="5">
        <v>0.04</v>
      </c>
      <c r="J9" s="5">
        <f t="shared" si="4"/>
        <v>4.1887901333333344E-10</v>
      </c>
      <c r="K9" s="5">
        <f t="shared" si="5"/>
        <v>1.3089969166666665E-9</v>
      </c>
      <c r="L9" s="5">
        <f t="shared" si="6"/>
        <v>9.0909090909090887E-4</v>
      </c>
      <c r="M9" s="7">
        <f t="shared" si="7"/>
        <v>909.09090909090889</v>
      </c>
      <c r="N9" s="7">
        <f>M9-0</f>
        <v>909.09090909090889</v>
      </c>
      <c r="O9" s="7">
        <v>1</v>
      </c>
      <c r="P9" s="9">
        <f>O9-0.02</f>
        <v>0.98</v>
      </c>
    </row>
    <row r="10" spans="1:16">
      <c r="A10" s="5">
        <v>1200</v>
      </c>
      <c r="B10" s="5">
        <v>0.01</v>
      </c>
      <c r="C10" s="8">
        <f t="shared" si="0"/>
        <v>5.2359876666666673E-7</v>
      </c>
      <c r="D10" s="5">
        <v>2.75</v>
      </c>
      <c r="E10" s="5">
        <f t="shared" si="1"/>
        <v>1.4398966083333335E-6</v>
      </c>
      <c r="F10" s="5">
        <f t="shared" si="2"/>
        <v>1.7278759299999999E-9</v>
      </c>
      <c r="G10" s="5">
        <v>0.5</v>
      </c>
      <c r="H10" s="5">
        <f t="shared" si="3"/>
        <v>2.6179938333333338E-9</v>
      </c>
      <c r="I10" s="5">
        <v>0.08</v>
      </c>
      <c r="J10" s="5">
        <f t="shared" si="4"/>
        <v>2.0943950666666672E-10</v>
      </c>
      <c r="K10" s="5">
        <f t="shared" si="5"/>
        <v>1.5184364233333331E-9</v>
      </c>
      <c r="L10" s="5">
        <f t="shared" si="6"/>
        <v>1.0545454545454543E-3</v>
      </c>
      <c r="M10" s="7">
        <f t="shared" si="7"/>
        <v>1054.5454545454543</v>
      </c>
      <c r="N10" s="7">
        <f>M10-10</f>
        <v>1044.5454545454543</v>
      </c>
      <c r="O10" s="7">
        <v>1</v>
      </c>
      <c r="P10" s="7">
        <f>O10</f>
        <v>1</v>
      </c>
    </row>
    <row r="11" spans="1:16">
      <c r="A11" s="5">
        <v>1200</v>
      </c>
      <c r="B11" s="5">
        <v>0.01</v>
      </c>
      <c r="C11" s="8">
        <f t="shared" si="0"/>
        <v>5.2359876666666673E-7</v>
      </c>
      <c r="D11" s="5">
        <v>2.75</v>
      </c>
      <c r="E11" s="5">
        <f t="shared" si="1"/>
        <v>1.4398966083333335E-6</v>
      </c>
      <c r="F11" s="5">
        <f t="shared" si="2"/>
        <v>1.7278759299999999E-9</v>
      </c>
      <c r="G11" s="5">
        <v>1</v>
      </c>
      <c r="H11" s="5">
        <f t="shared" si="3"/>
        <v>5.2359876666666677E-9</v>
      </c>
      <c r="I11" s="5">
        <v>0.08</v>
      </c>
      <c r="J11" s="5">
        <f t="shared" si="4"/>
        <v>4.1887901333333344E-10</v>
      </c>
      <c r="K11" s="5">
        <f t="shared" si="5"/>
        <v>1.3089969166666665E-9</v>
      </c>
      <c r="L11" s="5">
        <f t="shared" si="6"/>
        <v>9.0909090909090887E-4</v>
      </c>
      <c r="M11" s="7">
        <f t="shared" si="7"/>
        <v>909.09090909090889</v>
      </c>
      <c r="N11" s="7">
        <f>M11-10</f>
        <v>899.09090909090889</v>
      </c>
      <c r="O11" s="7">
        <v>1</v>
      </c>
      <c r="P11" s="7">
        <f>O11</f>
        <v>1</v>
      </c>
    </row>
    <row r="12" spans="1:16">
      <c r="A12" s="5">
        <v>1200</v>
      </c>
      <c r="B12" s="5">
        <v>0.01</v>
      </c>
      <c r="C12" s="8">
        <f t="shared" si="0"/>
        <v>5.2359876666666673E-7</v>
      </c>
      <c r="D12" s="5">
        <v>2.75</v>
      </c>
      <c r="E12" s="5">
        <f t="shared" si="1"/>
        <v>1.4398966083333335E-6</v>
      </c>
      <c r="F12" s="5">
        <f t="shared" si="2"/>
        <v>1.7278759299999999E-9</v>
      </c>
      <c r="G12" s="5">
        <v>1.5</v>
      </c>
      <c r="H12" s="5">
        <f t="shared" si="3"/>
        <v>7.8539815000000011E-9</v>
      </c>
      <c r="I12" s="5">
        <v>0.08</v>
      </c>
      <c r="J12" s="5">
        <f t="shared" si="4"/>
        <v>6.2831852000000008E-10</v>
      </c>
      <c r="K12" s="5">
        <f t="shared" si="5"/>
        <v>1.0995574099999997E-9</v>
      </c>
      <c r="L12" s="5">
        <f t="shared" si="6"/>
        <v>7.6363636363636336E-4</v>
      </c>
      <c r="M12" s="7">
        <f t="shared" si="7"/>
        <v>763.6363636363634</v>
      </c>
      <c r="N12" s="7">
        <f>M12-10</f>
        <v>753.6363636363634</v>
      </c>
      <c r="O12" s="7">
        <v>1</v>
      </c>
      <c r="P12" s="7">
        <f>O12</f>
        <v>1</v>
      </c>
    </row>
    <row r="13" spans="1:16">
      <c r="A13" s="5">
        <v>1200</v>
      </c>
      <c r="B13" s="5">
        <v>0.01</v>
      </c>
      <c r="C13" s="8">
        <f t="shared" si="0"/>
        <v>5.2359876666666673E-7</v>
      </c>
      <c r="D13" s="5">
        <v>2.75</v>
      </c>
      <c r="E13" s="5">
        <f t="shared" si="1"/>
        <v>1.4398966083333335E-6</v>
      </c>
      <c r="F13" s="5">
        <f t="shared" si="2"/>
        <v>1.7278759299999999E-9</v>
      </c>
      <c r="G13" s="5">
        <v>2</v>
      </c>
      <c r="H13" s="5">
        <f t="shared" si="3"/>
        <v>1.0471975333333335E-8</v>
      </c>
      <c r="I13" s="5">
        <v>0.08</v>
      </c>
      <c r="J13" s="5">
        <f t="shared" si="4"/>
        <v>8.3775802666666688E-10</v>
      </c>
      <c r="K13" s="5">
        <f t="shared" si="5"/>
        <v>8.9011790333333301E-10</v>
      </c>
      <c r="L13" s="5">
        <f t="shared" si="6"/>
        <v>6.1818181818181785E-4</v>
      </c>
      <c r="M13" s="7">
        <f t="shared" si="7"/>
        <v>618.1818181818179</v>
      </c>
      <c r="N13" s="7">
        <f>M13-10</f>
        <v>608.1818181818179</v>
      </c>
      <c r="O13" s="7">
        <v>1</v>
      </c>
      <c r="P13" s="7">
        <f>O13</f>
        <v>1</v>
      </c>
    </row>
    <row r="14" spans="1:16">
      <c r="A14" s="5">
        <v>1200</v>
      </c>
      <c r="B14" s="5">
        <v>0.01</v>
      </c>
      <c r="C14" s="8">
        <f t="shared" si="0"/>
        <v>5.2359876666666673E-7</v>
      </c>
      <c r="D14" s="5">
        <v>2.75</v>
      </c>
      <c r="E14" s="5">
        <f t="shared" si="1"/>
        <v>1.4398966083333335E-6</v>
      </c>
      <c r="F14" s="5">
        <f t="shared" si="2"/>
        <v>1.7278759299999999E-9</v>
      </c>
      <c r="G14" s="5">
        <v>0.5</v>
      </c>
      <c r="H14" s="5">
        <f t="shared" si="3"/>
        <v>2.6179938333333338E-9</v>
      </c>
      <c r="I14" s="5">
        <v>0.12</v>
      </c>
      <c r="J14" s="5">
        <f t="shared" si="4"/>
        <v>3.1415926000000004E-10</v>
      </c>
      <c r="K14" s="5">
        <f t="shared" si="5"/>
        <v>1.4137166699999998E-9</v>
      </c>
      <c r="L14" s="5">
        <f t="shared" si="6"/>
        <v>9.8181818181818157E-4</v>
      </c>
      <c r="M14" s="7">
        <f t="shared" si="7"/>
        <v>981.81818181818153</v>
      </c>
      <c r="N14" s="7">
        <f>M14-20</f>
        <v>961.81818181818153</v>
      </c>
      <c r="O14" s="7">
        <v>1</v>
      </c>
      <c r="P14" s="9">
        <f>O14+0.02</f>
        <v>1.02</v>
      </c>
    </row>
    <row r="15" spans="1:16">
      <c r="A15" s="5">
        <v>1200</v>
      </c>
      <c r="B15" s="5">
        <v>0.01</v>
      </c>
      <c r="C15" s="8">
        <f t="shared" si="0"/>
        <v>5.2359876666666673E-7</v>
      </c>
      <c r="D15" s="5">
        <v>2.75</v>
      </c>
      <c r="E15" s="5">
        <f t="shared" si="1"/>
        <v>1.4398966083333335E-6</v>
      </c>
      <c r="F15" s="5">
        <f t="shared" si="2"/>
        <v>1.7278759299999999E-9</v>
      </c>
      <c r="G15" s="5">
        <v>1</v>
      </c>
      <c r="H15" s="5">
        <f t="shared" si="3"/>
        <v>5.2359876666666677E-9</v>
      </c>
      <c r="I15" s="5">
        <v>0.12</v>
      </c>
      <c r="J15" s="5">
        <f t="shared" si="4"/>
        <v>6.2831852000000008E-10</v>
      </c>
      <c r="K15" s="5">
        <f t="shared" si="5"/>
        <v>1.0995574099999997E-9</v>
      </c>
      <c r="L15" s="5">
        <f t="shared" si="6"/>
        <v>7.6363636363636336E-4</v>
      </c>
      <c r="M15" s="7">
        <f t="shared" si="7"/>
        <v>763.6363636363634</v>
      </c>
      <c r="N15" s="7">
        <f>M15-20</f>
        <v>743.6363636363634</v>
      </c>
      <c r="O15" s="7">
        <v>1</v>
      </c>
      <c r="P15" s="9">
        <f>O15+0.02</f>
        <v>1.02</v>
      </c>
    </row>
    <row r="16" spans="1:16">
      <c r="A16" s="5">
        <v>1200</v>
      </c>
      <c r="B16" s="5">
        <v>0.01</v>
      </c>
      <c r="C16" s="8">
        <f t="shared" si="0"/>
        <v>5.2359876666666673E-7</v>
      </c>
      <c r="D16" s="5">
        <v>2.75</v>
      </c>
      <c r="E16" s="5">
        <f t="shared" si="1"/>
        <v>1.4398966083333335E-6</v>
      </c>
      <c r="F16" s="5">
        <f t="shared" si="2"/>
        <v>1.7278759299999999E-9</v>
      </c>
      <c r="G16" s="5">
        <v>1.5</v>
      </c>
      <c r="H16" s="5">
        <f t="shared" si="3"/>
        <v>7.8539815000000011E-9</v>
      </c>
      <c r="I16" s="5">
        <v>0.12</v>
      </c>
      <c r="J16" s="5">
        <f t="shared" si="4"/>
        <v>9.4247778000000007E-10</v>
      </c>
      <c r="K16" s="5">
        <f t="shared" si="5"/>
        <v>7.8539814999999982E-10</v>
      </c>
      <c r="L16" s="5">
        <f t="shared" si="6"/>
        <v>5.4545454545454526E-4</v>
      </c>
      <c r="M16" s="7">
        <f t="shared" si="7"/>
        <v>545.45454545454527</v>
      </c>
      <c r="N16" s="7">
        <f>M16-20</f>
        <v>525.45454545454527</v>
      </c>
      <c r="O16" s="7">
        <v>1</v>
      </c>
      <c r="P16" s="9">
        <f>O16+0.02</f>
        <v>1.02</v>
      </c>
    </row>
    <row r="17" spans="1:16">
      <c r="A17" s="5">
        <v>1200</v>
      </c>
      <c r="B17" s="5">
        <v>0.01</v>
      </c>
      <c r="C17" s="8">
        <f t="shared" si="0"/>
        <v>5.2359876666666673E-7</v>
      </c>
      <c r="D17" s="5">
        <v>2.75</v>
      </c>
      <c r="E17" s="5">
        <f t="shared" si="1"/>
        <v>1.4398966083333335E-6</v>
      </c>
      <c r="F17" s="5">
        <f t="shared" si="2"/>
        <v>1.7278759299999999E-9</v>
      </c>
      <c r="G17" s="5">
        <v>2</v>
      </c>
      <c r="H17" s="5">
        <f t="shared" si="3"/>
        <v>1.0471975333333335E-8</v>
      </c>
      <c r="I17" s="5">
        <v>0.12</v>
      </c>
      <c r="J17" s="5">
        <f t="shared" si="4"/>
        <v>1.2566370400000002E-9</v>
      </c>
      <c r="K17" s="5">
        <f t="shared" si="5"/>
        <v>4.7123888999999973E-10</v>
      </c>
      <c r="L17" s="5">
        <f t="shared" si="6"/>
        <v>3.2727272727272705E-4</v>
      </c>
      <c r="M17" s="7">
        <f t="shared" si="7"/>
        <v>327.27272727272702</v>
      </c>
      <c r="N17" s="7">
        <f>M17-20</f>
        <v>307.27272727272702</v>
      </c>
      <c r="O17" s="7">
        <v>1</v>
      </c>
      <c r="P17" s="9">
        <f>O17+0.02</f>
        <v>1.02</v>
      </c>
    </row>
    <row r="18" spans="1:16">
      <c r="A18" s="5">
        <v>1200</v>
      </c>
      <c r="B18" s="5">
        <v>0.01</v>
      </c>
      <c r="C18" s="8">
        <f t="shared" si="0"/>
        <v>5.2359876666666673E-7</v>
      </c>
      <c r="D18" s="5">
        <v>2.75</v>
      </c>
      <c r="E18" s="5">
        <f t="shared" si="1"/>
        <v>1.4398966083333335E-6</v>
      </c>
      <c r="F18" s="5">
        <f t="shared" si="2"/>
        <v>1.7278759299999999E-9</v>
      </c>
      <c r="G18" s="5">
        <v>0.5</v>
      </c>
      <c r="H18" s="5">
        <f t="shared" si="3"/>
        <v>2.6179938333333338E-9</v>
      </c>
      <c r="I18" s="5">
        <v>0.16</v>
      </c>
      <c r="J18" s="5">
        <f t="shared" si="4"/>
        <v>4.1887901333333344E-10</v>
      </c>
      <c r="K18" s="5">
        <f t="shared" si="5"/>
        <v>1.3089969166666665E-9</v>
      </c>
      <c r="L18" s="5">
        <f t="shared" si="6"/>
        <v>9.0909090909090887E-4</v>
      </c>
      <c r="M18" s="7">
        <f t="shared" si="7"/>
        <v>909.09090909090889</v>
      </c>
      <c r="N18" s="7">
        <f>M18-30</f>
        <v>879.09090909090889</v>
      </c>
      <c r="O18" s="7">
        <v>1</v>
      </c>
      <c r="P18" s="9">
        <f>O18+0.04</f>
        <v>1.04</v>
      </c>
    </row>
    <row r="19" spans="1:16">
      <c r="A19" s="5">
        <v>1200</v>
      </c>
      <c r="B19" s="5">
        <v>0.01</v>
      </c>
      <c r="C19" s="8">
        <f t="shared" si="0"/>
        <v>5.2359876666666673E-7</v>
      </c>
      <c r="D19" s="5">
        <v>2.75</v>
      </c>
      <c r="E19" s="5">
        <f t="shared" si="1"/>
        <v>1.4398966083333335E-6</v>
      </c>
      <c r="F19" s="5">
        <f t="shared" si="2"/>
        <v>1.7278759299999999E-9</v>
      </c>
      <c r="G19" s="5">
        <v>1</v>
      </c>
      <c r="H19" s="5">
        <f t="shared" si="3"/>
        <v>5.2359876666666677E-9</v>
      </c>
      <c r="I19" s="5">
        <v>0.16</v>
      </c>
      <c r="J19" s="5">
        <f t="shared" si="4"/>
        <v>8.3775802666666688E-10</v>
      </c>
      <c r="K19" s="5">
        <f t="shared" si="5"/>
        <v>8.9011790333333301E-10</v>
      </c>
      <c r="L19" s="5">
        <f t="shared" si="6"/>
        <v>6.1818181818181785E-4</v>
      </c>
      <c r="M19" s="7">
        <f t="shared" si="7"/>
        <v>618.1818181818179</v>
      </c>
      <c r="N19" s="7">
        <f>M19-30</f>
        <v>588.1818181818179</v>
      </c>
      <c r="O19" s="7">
        <v>1</v>
      </c>
      <c r="P19" s="9">
        <f>O19+0.04</f>
        <v>1.04</v>
      </c>
    </row>
    <row r="20" spans="1:16">
      <c r="A20" s="5">
        <v>1200</v>
      </c>
      <c r="B20" s="5">
        <v>0.01</v>
      </c>
      <c r="C20" s="8">
        <f t="shared" si="0"/>
        <v>5.2359876666666673E-7</v>
      </c>
      <c r="D20" s="5">
        <v>2.75</v>
      </c>
      <c r="E20" s="5">
        <f t="shared" si="1"/>
        <v>1.4398966083333335E-6</v>
      </c>
      <c r="F20" s="5">
        <f t="shared" si="2"/>
        <v>1.7278759299999999E-9</v>
      </c>
      <c r="G20" s="5">
        <v>1.5</v>
      </c>
      <c r="H20" s="5">
        <f t="shared" si="3"/>
        <v>7.8539815000000011E-9</v>
      </c>
      <c r="I20" s="5">
        <v>0.16</v>
      </c>
      <c r="J20" s="5">
        <f t="shared" si="4"/>
        <v>1.2566370400000002E-9</v>
      </c>
      <c r="K20" s="5">
        <f t="shared" si="5"/>
        <v>4.7123888999999973E-10</v>
      </c>
      <c r="L20" s="5">
        <f t="shared" si="6"/>
        <v>3.2727272727272705E-4</v>
      </c>
      <c r="M20" s="7">
        <f t="shared" si="7"/>
        <v>327.27272727272702</v>
      </c>
      <c r="N20" s="7">
        <f>M20-30</f>
        <v>297.27272727272702</v>
      </c>
      <c r="O20" s="7">
        <v>1</v>
      </c>
      <c r="P20" s="9">
        <f>O20+0.04</f>
        <v>1.04</v>
      </c>
    </row>
    <row r="21" spans="1:16">
      <c r="A21" s="5">
        <v>1200</v>
      </c>
      <c r="B21" s="5">
        <v>0.01</v>
      </c>
      <c r="C21" s="8">
        <f t="shared" si="0"/>
        <v>5.2359876666666673E-7</v>
      </c>
      <c r="D21" s="5">
        <v>2.75</v>
      </c>
      <c r="E21" s="5">
        <f t="shared" si="1"/>
        <v>1.4398966083333335E-6</v>
      </c>
      <c r="F21" s="5">
        <f t="shared" si="2"/>
        <v>1.7278759299999999E-9</v>
      </c>
      <c r="G21" s="5">
        <v>2</v>
      </c>
      <c r="H21" s="5">
        <f t="shared" si="3"/>
        <v>1.0471975333333335E-8</v>
      </c>
      <c r="I21" s="5">
        <v>0.16</v>
      </c>
      <c r="J21" s="5">
        <f t="shared" si="4"/>
        <v>1.6755160533333338E-9</v>
      </c>
      <c r="K21" s="5">
        <f t="shared" si="5"/>
        <v>5.2359876666666131E-11</v>
      </c>
      <c r="L21" s="5">
        <f t="shared" si="6"/>
        <v>3.6363636363635991E-5</v>
      </c>
      <c r="M21" s="7">
        <f t="shared" si="7"/>
        <v>36.36363636363599</v>
      </c>
      <c r="N21" s="7">
        <f>M21-30</f>
        <v>6.3636363636359903</v>
      </c>
      <c r="O21" s="7">
        <v>1</v>
      </c>
      <c r="P21" s="9">
        <f>O21+0.04</f>
        <v>1.04</v>
      </c>
    </row>
    <row r="22" spans="1:16">
      <c r="C22" s="8"/>
      <c r="M22" s="7"/>
      <c r="N22" s="7"/>
      <c r="O22" s="7"/>
    </row>
    <row r="23" spans="1:16" ht="14.5">
      <c r="A23" s="101" t="s">
        <v>8</v>
      </c>
      <c r="B23" s="101"/>
      <c r="C23" s="101"/>
      <c r="D23" s="101"/>
      <c r="E23" s="101"/>
      <c r="F23" s="101"/>
      <c r="G23" s="101"/>
      <c r="H23" s="101"/>
      <c r="I23" s="101"/>
      <c r="J23" s="101"/>
      <c r="K23" s="101"/>
      <c r="L23" s="101"/>
      <c r="M23" s="101"/>
      <c r="N23" s="101"/>
      <c r="O23" s="101"/>
      <c r="P23" s="101"/>
    </row>
    <row r="24" spans="1:16" ht="14.5">
      <c r="A24" s="101" t="s">
        <v>7</v>
      </c>
      <c r="B24" s="101"/>
      <c r="C24" s="101"/>
      <c r="D24" s="101"/>
      <c r="E24" s="101"/>
      <c r="F24" s="101"/>
      <c r="G24" s="101"/>
      <c r="H24" s="101"/>
      <c r="I24" s="101"/>
      <c r="J24" s="101"/>
      <c r="K24" s="101"/>
      <c r="L24" s="101"/>
      <c r="M24" s="101"/>
      <c r="N24" s="101"/>
      <c r="O24" s="101"/>
      <c r="P24" s="101"/>
    </row>
    <row r="25" spans="1:16" ht="14.5">
      <c r="A25" s="101" t="s">
        <v>6</v>
      </c>
      <c r="B25" s="101"/>
      <c r="C25" s="101"/>
      <c r="D25" s="101"/>
      <c r="E25" s="101"/>
      <c r="F25" s="101"/>
      <c r="G25" s="101"/>
      <c r="H25" s="101"/>
      <c r="I25" s="101"/>
      <c r="J25" s="101"/>
      <c r="K25" s="101"/>
      <c r="L25" s="101"/>
      <c r="M25" s="101"/>
      <c r="N25" s="101"/>
      <c r="O25" s="101"/>
      <c r="P25" s="101"/>
    </row>
    <row r="26" spans="1:16">
      <c r="A26" s="6"/>
      <c r="B26" s="6"/>
      <c r="C26" s="6"/>
      <c r="D26" s="6"/>
      <c r="E26" s="6"/>
      <c r="F26" s="6"/>
      <c r="G26" s="6"/>
      <c r="H26" s="6"/>
      <c r="I26" s="6"/>
      <c r="J26" s="6"/>
      <c r="K26" s="6"/>
      <c r="L26" s="6"/>
      <c r="M26" s="6"/>
      <c r="N26" s="6"/>
      <c r="O26" s="6"/>
      <c r="P26" s="6"/>
    </row>
    <row r="27" spans="1:16">
      <c r="A27" s="6"/>
      <c r="B27" s="6"/>
      <c r="C27" s="6"/>
      <c r="D27" s="6"/>
      <c r="E27" s="6"/>
      <c r="F27" s="6"/>
      <c r="G27" s="6"/>
      <c r="H27" s="6"/>
      <c r="I27" s="6"/>
      <c r="J27" s="6"/>
      <c r="K27" s="6"/>
      <c r="L27" s="6"/>
      <c r="M27" s="6"/>
      <c r="N27" s="6"/>
      <c r="O27" s="6"/>
      <c r="P27" s="6"/>
    </row>
    <row r="28" spans="1:16">
      <c r="A28" s="6"/>
      <c r="B28" s="6"/>
      <c r="C28" s="6"/>
      <c r="D28" s="6"/>
      <c r="E28" s="6"/>
      <c r="F28" s="6"/>
      <c r="G28" s="6"/>
      <c r="H28" s="6"/>
      <c r="I28" s="6"/>
      <c r="J28" s="6"/>
      <c r="K28" s="6"/>
      <c r="L28" s="6"/>
      <c r="M28" s="6"/>
      <c r="N28" s="6"/>
      <c r="O28" s="6"/>
      <c r="P28" s="6"/>
    </row>
    <row r="29" spans="1:16">
      <c r="A29" s="6"/>
      <c r="B29" s="6"/>
      <c r="C29" s="6"/>
      <c r="D29" s="6"/>
      <c r="E29" s="6"/>
      <c r="F29" s="6"/>
      <c r="G29" s="6"/>
      <c r="H29" s="6"/>
      <c r="I29" s="6"/>
      <c r="J29" s="6"/>
      <c r="K29" s="6"/>
      <c r="L29" s="6"/>
      <c r="M29" s="6"/>
      <c r="N29" s="6"/>
      <c r="O29" s="6"/>
      <c r="P29" s="6"/>
    </row>
    <row r="30" spans="1:16">
      <c r="A30" s="6"/>
      <c r="B30" s="6"/>
      <c r="C30" s="6"/>
      <c r="D30" s="6"/>
      <c r="E30" s="6"/>
      <c r="F30" s="6"/>
      <c r="G30" s="6"/>
      <c r="H30" s="6"/>
      <c r="I30" s="6"/>
      <c r="J30" s="6"/>
      <c r="K30" s="6"/>
      <c r="L30" s="6"/>
      <c r="M30" s="6"/>
      <c r="N30" s="6"/>
      <c r="O30" s="6"/>
      <c r="P30" s="6"/>
    </row>
    <row r="31" spans="1:16">
      <c r="A31" s="6"/>
      <c r="B31" s="6"/>
      <c r="C31" s="6"/>
      <c r="D31" s="6"/>
      <c r="E31" s="6"/>
      <c r="F31" s="6"/>
      <c r="G31" s="6"/>
      <c r="H31" s="6"/>
      <c r="I31" s="6"/>
      <c r="J31" s="6"/>
      <c r="K31" s="6"/>
      <c r="L31" s="6"/>
      <c r="M31" s="6"/>
      <c r="N31" s="6"/>
      <c r="O31" s="6"/>
      <c r="P31" s="6"/>
    </row>
    <row r="32" spans="1:16">
      <c r="A32" s="6"/>
      <c r="B32" s="6"/>
      <c r="C32" s="6"/>
      <c r="D32" s="6"/>
      <c r="E32" s="6"/>
      <c r="F32" s="6"/>
      <c r="G32" s="6"/>
      <c r="H32" s="6"/>
      <c r="I32" s="6"/>
      <c r="J32" s="6"/>
      <c r="K32" s="6"/>
      <c r="L32" s="6"/>
      <c r="M32" s="6"/>
      <c r="N32" s="6"/>
      <c r="O32" s="6"/>
      <c r="P32" s="6"/>
    </row>
    <row r="45" spans="1:1" ht="12.5">
      <c r="A45" s="96" t="s">
        <v>242</v>
      </c>
    </row>
    <row r="46" spans="1:1" ht="12.5">
      <c r="A46" s="96" t="s">
        <v>243</v>
      </c>
    </row>
  </sheetData>
  <mergeCells count="3">
    <mergeCell ref="A23:P23"/>
    <mergeCell ref="A24:P24"/>
    <mergeCell ref="A25:P25"/>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31"/>
  <sheetViews>
    <sheetView topLeftCell="B1" workbookViewId="0">
      <selection activeCell="B30" sqref="B30:B31"/>
    </sheetView>
  </sheetViews>
  <sheetFormatPr defaultColWidth="8.81640625" defaultRowHeight="14.5"/>
  <cols>
    <col min="1" max="1" width="0" style="11" hidden="1" customWidth="1"/>
    <col min="2" max="3" width="8.81640625" style="11"/>
    <col min="4" max="4" width="9" style="11" customWidth="1"/>
    <col min="5" max="7" width="8.81640625" style="11"/>
    <col min="8" max="10" width="0" style="11" hidden="1" customWidth="1"/>
    <col min="11" max="11" width="2.36328125" style="11" hidden="1" customWidth="1"/>
    <col min="12" max="12" width="0" style="11" hidden="1" customWidth="1"/>
    <col min="13" max="13" width="2.453125" style="11" hidden="1" customWidth="1"/>
    <col min="14" max="17" width="8.81640625" style="11"/>
    <col min="18" max="18" width="10.453125" style="11" customWidth="1"/>
    <col min="19" max="19" width="13" style="11" customWidth="1"/>
    <col min="20" max="20" width="10" style="12" customWidth="1"/>
    <col min="21" max="16384" width="8.81640625" style="11"/>
  </cols>
  <sheetData>
    <row r="1" spans="1:20">
      <c r="B1" s="11" t="s">
        <v>209</v>
      </c>
    </row>
    <row r="2" spans="1:20" s="28" customFormat="1" ht="47.5">
      <c r="A2" s="28" t="s">
        <v>35</v>
      </c>
      <c r="B2" s="28" t="s">
        <v>34</v>
      </c>
      <c r="C2" s="28" t="s">
        <v>33</v>
      </c>
      <c r="D2" s="28" t="s">
        <v>3</v>
      </c>
      <c r="E2" s="28" t="s">
        <v>4</v>
      </c>
      <c r="F2" s="29" t="s">
        <v>5</v>
      </c>
      <c r="G2" s="28" t="s">
        <v>32</v>
      </c>
      <c r="H2" s="28" t="s">
        <v>31</v>
      </c>
      <c r="I2" s="28" t="s">
        <v>30</v>
      </c>
      <c r="J2" s="28" t="s">
        <v>29</v>
      </c>
      <c r="L2" s="28" t="s">
        <v>28</v>
      </c>
    </row>
    <row r="3" spans="1:20">
      <c r="B3" s="11">
        <v>1</v>
      </c>
      <c r="C3" s="11">
        <v>130205</v>
      </c>
      <c r="D3" s="27">
        <v>1285.7</v>
      </c>
      <c r="E3" s="27">
        <v>1389.03</v>
      </c>
      <c r="F3" s="19">
        <f t="shared" ref="F3:F23" si="0">E3-D3</f>
        <v>103.32999999999993</v>
      </c>
      <c r="G3" s="19">
        <f t="shared" ref="G3:G23" si="1">(-0.030314551*(F3^3))+(9.432834797*(F3^2))-(977.9384933*(F3))+33780.38242</f>
        <v>0.27306538640550571</v>
      </c>
      <c r="T3" s="11"/>
    </row>
    <row r="4" spans="1:20">
      <c r="B4" s="11">
        <v>2</v>
      </c>
      <c r="C4" s="11">
        <v>130211</v>
      </c>
      <c r="D4" s="27">
        <v>1284.07</v>
      </c>
      <c r="E4" s="27">
        <v>1387.38</v>
      </c>
      <c r="F4" s="19">
        <f t="shared" si="0"/>
        <v>103.31000000000017</v>
      </c>
      <c r="G4" s="19">
        <f t="shared" si="1"/>
        <v>0.26432632226351416</v>
      </c>
      <c r="T4" s="11"/>
    </row>
    <row r="5" spans="1:20">
      <c r="B5" s="11">
        <v>3</v>
      </c>
      <c r="C5" s="11">
        <v>130212</v>
      </c>
      <c r="D5" s="27">
        <v>1282.82</v>
      </c>
      <c r="E5" s="27">
        <v>1386.28</v>
      </c>
      <c r="F5" s="19">
        <f t="shared" si="0"/>
        <v>103.46000000000004</v>
      </c>
      <c r="G5" s="19">
        <f t="shared" si="1"/>
        <v>0.33049900781043107</v>
      </c>
      <c r="T5" s="11"/>
    </row>
    <row r="6" spans="1:20">
      <c r="B6" s="11">
        <v>4</v>
      </c>
      <c r="C6" s="11">
        <v>130213</v>
      </c>
      <c r="D6" s="27">
        <v>1283.1600000000001</v>
      </c>
      <c r="E6" s="27">
        <v>1386.43</v>
      </c>
      <c r="F6" s="19">
        <f t="shared" si="0"/>
        <v>103.26999999999998</v>
      </c>
      <c r="G6" s="19">
        <f t="shared" si="1"/>
        <v>0.24693951945664594</v>
      </c>
      <c r="T6" s="11"/>
    </row>
    <row r="7" spans="1:20">
      <c r="B7" s="11">
        <v>5</v>
      </c>
      <c r="C7" s="11">
        <v>130218</v>
      </c>
      <c r="D7" s="27">
        <v>1282.43</v>
      </c>
      <c r="E7" s="27">
        <v>1385.73</v>
      </c>
      <c r="F7" s="2">
        <f t="shared" si="0"/>
        <v>103.29999999999995</v>
      </c>
      <c r="G7" s="2">
        <f t="shared" si="1"/>
        <v>0.25996793305239407</v>
      </c>
      <c r="T7" s="11"/>
    </row>
    <row r="8" spans="1:20">
      <c r="B8" s="11">
        <v>6</v>
      </c>
      <c r="C8" s="11">
        <v>130219</v>
      </c>
      <c r="D8" s="27">
        <v>1283.27</v>
      </c>
      <c r="E8" s="27">
        <v>1386.58</v>
      </c>
      <c r="F8" s="2">
        <f t="shared" si="0"/>
        <v>103.30999999999995</v>
      </c>
      <c r="G8" s="2">
        <f t="shared" si="1"/>
        <v>0.26432632226351416</v>
      </c>
      <c r="T8" s="11"/>
    </row>
    <row r="9" spans="1:20">
      <c r="B9" s="11">
        <v>7</v>
      </c>
      <c r="C9" s="11">
        <v>130220</v>
      </c>
      <c r="D9" s="27">
        <v>1284.2</v>
      </c>
      <c r="E9" s="27">
        <v>1387.67</v>
      </c>
      <c r="F9" s="2">
        <f t="shared" si="0"/>
        <v>103.47000000000003</v>
      </c>
      <c r="G9" s="2">
        <f t="shared" si="1"/>
        <v>0.33495539775321959</v>
      </c>
      <c r="T9" s="11"/>
    </row>
    <row r="10" spans="1:20">
      <c r="B10" s="11">
        <v>8</v>
      </c>
      <c r="C10" s="11">
        <v>130225</v>
      </c>
      <c r="D10" s="27">
        <v>1284.52</v>
      </c>
      <c r="E10" s="27">
        <v>1387.92</v>
      </c>
      <c r="F10" s="2">
        <f t="shared" si="0"/>
        <v>103.40000000000009</v>
      </c>
      <c r="G10" s="2">
        <f t="shared" si="1"/>
        <v>0.3038670128225931</v>
      </c>
      <c r="T10" s="11"/>
    </row>
    <row r="11" spans="1:20">
      <c r="B11" s="11">
        <v>9</v>
      </c>
      <c r="C11" s="11">
        <v>130226</v>
      </c>
      <c r="D11" s="27">
        <v>1284.6400000000001</v>
      </c>
      <c r="E11" s="27">
        <v>1388.03</v>
      </c>
      <c r="F11" s="2">
        <f t="shared" si="0"/>
        <v>103.38999999999987</v>
      </c>
      <c r="G11" s="2">
        <f t="shared" si="1"/>
        <v>0.29944776873890078</v>
      </c>
      <c r="T11" s="11"/>
    </row>
    <row r="12" spans="1:20">
      <c r="B12" s="11">
        <v>10</v>
      </c>
      <c r="C12" s="11">
        <v>130405</v>
      </c>
      <c r="D12" s="27">
        <v>1284.82</v>
      </c>
      <c r="E12" s="27">
        <v>1388.2</v>
      </c>
      <c r="F12" s="2">
        <f t="shared" si="0"/>
        <v>103.38000000000011</v>
      </c>
      <c r="G12" s="2">
        <f t="shared" si="1"/>
        <v>0.29503455873782514</v>
      </c>
      <c r="T12" s="11"/>
    </row>
    <row r="13" spans="1:20">
      <c r="B13" s="11">
        <v>11</v>
      </c>
      <c r="C13" s="11">
        <v>130406</v>
      </c>
      <c r="D13" s="27">
        <v>1284.04</v>
      </c>
      <c r="E13" s="27">
        <v>1387.41</v>
      </c>
      <c r="F13" s="2">
        <f t="shared" si="0"/>
        <v>103.37000000000012</v>
      </c>
      <c r="G13" s="2">
        <f t="shared" si="1"/>
        <v>0.29062756474741036</v>
      </c>
      <c r="T13" s="11"/>
    </row>
    <row r="14" spans="1:20">
      <c r="B14" s="11">
        <v>12</v>
      </c>
      <c r="C14" s="11">
        <v>130423</v>
      </c>
      <c r="D14" s="27">
        <v>1284.33</v>
      </c>
      <c r="E14" s="27">
        <v>1387.73</v>
      </c>
      <c r="F14" s="2">
        <f t="shared" si="0"/>
        <v>103.40000000000009</v>
      </c>
      <c r="G14" s="2">
        <f t="shared" si="1"/>
        <v>0.3038670128225931</v>
      </c>
      <c r="T14" s="11"/>
    </row>
    <row r="15" spans="1:20">
      <c r="B15" s="11">
        <v>13</v>
      </c>
      <c r="C15" s="11">
        <v>130708</v>
      </c>
      <c r="D15" s="27">
        <v>1285.08</v>
      </c>
      <c r="E15" s="27">
        <v>1388.33</v>
      </c>
      <c r="F15" s="2">
        <f t="shared" si="0"/>
        <v>103.25</v>
      </c>
      <c r="G15" s="2">
        <f t="shared" si="1"/>
        <v>0.23829469101474388</v>
      </c>
      <c r="T15" s="11"/>
    </row>
    <row r="16" spans="1:20" s="18" customFormat="1">
      <c r="B16" s="18">
        <v>14</v>
      </c>
      <c r="C16" s="18">
        <v>130717</v>
      </c>
      <c r="D16" s="19">
        <v>1284.194</v>
      </c>
      <c r="E16" s="19">
        <v>1387.3979999999999</v>
      </c>
      <c r="F16" s="2">
        <f t="shared" si="0"/>
        <v>103.20399999999995</v>
      </c>
      <c r="G16" s="2">
        <f t="shared" si="1"/>
        <v>0.21854423087643227</v>
      </c>
    </row>
    <row r="17" spans="2:20">
      <c r="B17" s="11">
        <v>15</v>
      </c>
      <c r="C17" s="11">
        <v>130718</v>
      </c>
      <c r="D17" s="27">
        <v>1284.143</v>
      </c>
      <c r="E17" s="27">
        <v>1387.3040000000001</v>
      </c>
      <c r="F17" s="2">
        <f t="shared" si="0"/>
        <v>103.16100000000006</v>
      </c>
      <c r="G17" s="2">
        <f t="shared" si="1"/>
        <v>0.20026169441553066</v>
      </c>
      <c r="T17" s="11"/>
    </row>
    <row r="18" spans="2:20">
      <c r="B18" s="11">
        <v>16</v>
      </c>
      <c r="C18" s="11">
        <v>130719</v>
      </c>
      <c r="D18" s="27">
        <v>1284.4580000000001</v>
      </c>
      <c r="E18" s="27">
        <v>1387.606</v>
      </c>
      <c r="F18" s="2">
        <f t="shared" si="0"/>
        <v>103.14799999999991</v>
      </c>
      <c r="G18" s="2">
        <f t="shared" si="1"/>
        <v>0.19477087941049831</v>
      </c>
      <c r="T18" s="11"/>
    </row>
    <row r="19" spans="2:20">
      <c r="B19" s="11">
        <v>17</v>
      </c>
      <c r="C19" s="11">
        <v>130720</v>
      </c>
      <c r="D19" s="27">
        <v>1284.2139999999999</v>
      </c>
      <c r="E19" s="27">
        <v>1387.3620000000001</v>
      </c>
      <c r="F19" s="2">
        <f t="shared" si="0"/>
        <v>103.14800000000014</v>
      </c>
      <c r="G19" s="2">
        <f t="shared" si="1"/>
        <v>0.19477087939594639</v>
      </c>
      <c r="T19" s="11"/>
    </row>
    <row r="20" spans="2:20">
      <c r="B20" s="11">
        <v>18</v>
      </c>
      <c r="C20" s="11">
        <v>130721</v>
      </c>
      <c r="D20" s="27">
        <v>1284.1120000000001</v>
      </c>
      <c r="E20" s="27">
        <v>1387.1959999999999</v>
      </c>
      <c r="F20" s="2">
        <f t="shared" si="0"/>
        <v>103.08399999999983</v>
      </c>
      <c r="G20" s="2">
        <f t="shared" si="1"/>
        <v>0.16800393119774526</v>
      </c>
      <c r="T20" s="11"/>
    </row>
    <row r="21" spans="2:20">
      <c r="B21" s="11">
        <v>19</v>
      </c>
      <c r="C21" s="11">
        <v>130722</v>
      </c>
      <c r="D21" s="27">
        <v>1285.471</v>
      </c>
      <c r="E21" s="27">
        <v>1388.893</v>
      </c>
      <c r="F21" s="2">
        <f t="shared" si="0"/>
        <v>103.42200000000003</v>
      </c>
      <c r="G21" s="2">
        <f t="shared" si="1"/>
        <v>0.31360969351226231</v>
      </c>
      <c r="T21" s="11"/>
    </row>
    <row r="22" spans="2:20">
      <c r="B22" s="11">
        <v>20</v>
      </c>
      <c r="C22" s="11">
        <v>130723</v>
      </c>
      <c r="D22" s="27">
        <v>1284.3130000000001</v>
      </c>
      <c r="E22" s="27">
        <v>1387.432</v>
      </c>
      <c r="F22" s="2">
        <f t="shared" si="0"/>
        <v>103.11899999999991</v>
      </c>
      <c r="G22" s="2">
        <f t="shared" si="1"/>
        <v>0.18258628289186163</v>
      </c>
      <c r="T22" s="11"/>
    </row>
    <row r="23" spans="2:20">
      <c r="B23" s="11">
        <v>21</v>
      </c>
      <c r="C23" s="11">
        <v>130724</v>
      </c>
      <c r="D23" s="27">
        <v>1284.6210000000001</v>
      </c>
      <c r="E23" s="27">
        <v>1388.0640000000001</v>
      </c>
      <c r="F23" s="2">
        <f t="shared" si="0"/>
        <v>103.44299999999998</v>
      </c>
      <c r="G23" s="2">
        <f t="shared" si="1"/>
        <v>0.32293416851462098</v>
      </c>
      <c r="T23" s="11"/>
    </row>
    <row r="24" spans="2:20">
      <c r="F24" s="1"/>
      <c r="G24" s="26"/>
      <c r="T24" s="11"/>
    </row>
    <row r="25" spans="2:20">
      <c r="C25" s="25" t="s">
        <v>27</v>
      </c>
      <c r="D25" s="24">
        <f t="shared" ref="D25:M25" si="2">AVERAGE(D3:D23)</f>
        <v>1284.2193333333332</v>
      </c>
      <c r="E25" s="23">
        <f t="shared" si="2"/>
        <v>1387.5226190476192</v>
      </c>
      <c r="F25" s="23">
        <f t="shared" si="2"/>
        <v>103.30328571428575</v>
      </c>
      <c r="G25" s="23">
        <f t="shared" si="2"/>
        <v>0.26193810752877089</v>
      </c>
      <c r="H25" s="22" t="e">
        <f t="shared" si="2"/>
        <v>#DIV/0!</v>
      </c>
      <c r="I25" s="22" t="e">
        <f t="shared" si="2"/>
        <v>#DIV/0!</v>
      </c>
      <c r="J25" s="22" t="e">
        <f t="shared" si="2"/>
        <v>#DIV/0!</v>
      </c>
      <c r="K25" s="22" t="e">
        <f t="shared" si="2"/>
        <v>#DIV/0!</v>
      </c>
      <c r="L25" s="22" t="e">
        <f t="shared" si="2"/>
        <v>#DIV/0!</v>
      </c>
      <c r="M25" s="22" t="e">
        <f t="shared" si="2"/>
        <v>#DIV/0!</v>
      </c>
      <c r="N25" s="13"/>
      <c r="T25" s="11"/>
    </row>
    <row r="26" spans="2:20">
      <c r="C26" s="21" t="s">
        <v>26</v>
      </c>
      <c r="D26" s="20">
        <f>_xlfn.STDEV.P(D3:D23)</f>
        <v>0.77531531731924341</v>
      </c>
      <c r="E26" s="19">
        <f>_xlfn.STDEV.P(E3:E23)</f>
        <v>0.79035678960535638</v>
      </c>
      <c r="F26" s="19">
        <f>_xlfn.STDEV.P(F3:F23)</f>
        <v>0.11704054765732043</v>
      </c>
      <c r="G26" s="19">
        <f>_xlfn.STDEV.P(G3:G23)</f>
        <v>5.0717420616489171E-2</v>
      </c>
      <c r="H26" s="18" t="e">
        <f t="shared" ref="H26:M26" si="3">_xlfn.STDEV.P(H3:H14)</f>
        <v>#DIV/0!</v>
      </c>
      <c r="I26" s="18" t="e">
        <f t="shared" si="3"/>
        <v>#DIV/0!</v>
      </c>
      <c r="J26" s="18" t="e">
        <f t="shared" si="3"/>
        <v>#DIV/0!</v>
      </c>
      <c r="K26" s="18" t="e">
        <f t="shared" si="3"/>
        <v>#DIV/0!</v>
      </c>
      <c r="L26" s="18" t="e">
        <f t="shared" si="3"/>
        <v>#DIV/0!</v>
      </c>
      <c r="M26" s="18" t="e">
        <f t="shared" si="3"/>
        <v>#DIV/0!</v>
      </c>
      <c r="N26" s="13"/>
      <c r="T26" s="11"/>
    </row>
    <row r="27" spans="2:20">
      <c r="C27" s="17" t="s">
        <v>25</v>
      </c>
      <c r="D27" s="16">
        <f t="shared" ref="D27:M27" si="4">D26/D25</f>
        <v>6.037250002356115E-4</v>
      </c>
      <c r="E27" s="15">
        <f t="shared" si="4"/>
        <v>5.6961722912153242E-4</v>
      </c>
      <c r="F27" s="15">
        <f t="shared" si="4"/>
        <v>1.1329799129625841E-3</v>
      </c>
      <c r="G27" s="14">
        <f t="shared" si="4"/>
        <v>0.19362368116261375</v>
      </c>
      <c r="H27" s="14" t="e">
        <f t="shared" si="4"/>
        <v>#DIV/0!</v>
      </c>
      <c r="I27" s="14" t="e">
        <f t="shared" si="4"/>
        <v>#DIV/0!</v>
      </c>
      <c r="J27" s="14" t="e">
        <f t="shared" si="4"/>
        <v>#DIV/0!</v>
      </c>
      <c r="K27" s="14" t="e">
        <f t="shared" si="4"/>
        <v>#DIV/0!</v>
      </c>
      <c r="L27" s="14" t="e">
        <f t="shared" si="4"/>
        <v>#DIV/0!</v>
      </c>
      <c r="M27" s="14" t="e">
        <f t="shared" si="4"/>
        <v>#DIV/0!</v>
      </c>
      <c r="N27" s="13"/>
      <c r="T27" s="11"/>
    </row>
    <row r="30" spans="2:20">
      <c r="B30" s="96" t="s">
        <v>242</v>
      </c>
    </row>
    <row r="31" spans="2:20">
      <c r="B31" s="96" t="s">
        <v>243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56"/>
  <sheetViews>
    <sheetView workbookViewId="0">
      <selection activeCell="B51" sqref="B51:B52"/>
    </sheetView>
  </sheetViews>
  <sheetFormatPr defaultColWidth="8.81640625" defaultRowHeight="14.5"/>
  <cols>
    <col min="2" max="2" width="23" bestFit="1" customWidth="1"/>
  </cols>
  <sheetData>
    <row r="1" spans="1:54">
      <c r="A1" s="72" t="s">
        <v>239</v>
      </c>
      <c r="B1" s="72"/>
      <c r="C1" s="72"/>
      <c r="D1" s="72"/>
      <c r="E1" s="72"/>
    </row>
    <row r="2" spans="1:54">
      <c r="A2" s="72"/>
      <c r="B2" s="72" t="s">
        <v>156</v>
      </c>
      <c r="C2" s="72"/>
      <c r="D2" s="72"/>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row>
    <row r="3" spans="1:54">
      <c r="A3" s="72"/>
      <c r="B3" s="72" t="s">
        <v>1</v>
      </c>
      <c r="C3" s="73" t="s">
        <v>105</v>
      </c>
      <c r="D3" s="73" t="s">
        <v>106</v>
      </c>
      <c r="E3" s="72" t="s">
        <v>107</v>
      </c>
      <c r="F3" s="72" t="s">
        <v>108</v>
      </c>
      <c r="G3" s="72" t="s">
        <v>109</v>
      </c>
      <c r="H3" s="72" t="s">
        <v>110</v>
      </c>
      <c r="I3" s="72" t="s">
        <v>111</v>
      </c>
      <c r="J3" s="72" t="s">
        <v>112</v>
      </c>
      <c r="K3" s="72" t="s">
        <v>113</v>
      </c>
      <c r="L3" s="72" t="s">
        <v>114</v>
      </c>
      <c r="M3" s="72" t="s">
        <v>115</v>
      </c>
      <c r="N3" s="72" t="s">
        <v>116</v>
      </c>
      <c r="O3" s="72" t="s">
        <v>117</v>
      </c>
      <c r="P3" s="72" t="s">
        <v>118</v>
      </c>
      <c r="Q3" s="72" t="s">
        <v>119</v>
      </c>
      <c r="R3" s="74" t="s">
        <v>120</v>
      </c>
      <c r="S3" s="72" t="s">
        <v>121</v>
      </c>
      <c r="T3" s="72" t="s">
        <v>122</v>
      </c>
      <c r="U3" s="72" t="s">
        <v>123</v>
      </c>
      <c r="V3" s="72" t="s">
        <v>124</v>
      </c>
      <c r="W3" s="72" t="s">
        <v>125</v>
      </c>
      <c r="X3" s="72" t="s">
        <v>126</v>
      </c>
      <c r="Y3" s="72" t="s">
        <v>127</v>
      </c>
      <c r="Z3" s="72" t="s">
        <v>128</v>
      </c>
      <c r="AA3" s="72" t="s">
        <v>129</v>
      </c>
      <c r="AB3" s="72" t="s">
        <v>130</v>
      </c>
      <c r="AC3" s="72" t="s">
        <v>131</v>
      </c>
      <c r="AD3" s="72" t="s">
        <v>132</v>
      </c>
      <c r="AE3" s="72" t="s">
        <v>133</v>
      </c>
      <c r="AF3" s="72" t="s">
        <v>134</v>
      </c>
      <c r="AG3" s="73" t="s">
        <v>135</v>
      </c>
      <c r="AH3" s="72" t="s">
        <v>136</v>
      </c>
      <c r="AI3" s="72" t="s">
        <v>137</v>
      </c>
      <c r="AJ3" s="72" t="s">
        <v>138</v>
      </c>
      <c r="AK3" s="72" t="s">
        <v>139</v>
      </c>
      <c r="AL3" s="72" t="s">
        <v>140</v>
      </c>
      <c r="AM3" s="72" t="s">
        <v>141</v>
      </c>
      <c r="AN3" s="72" t="s">
        <v>142</v>
      </c>
      <c r="AO3" s="72" t="s">
        <v>143</v>
      </c>
      <c r="AP3" s="72" t="s">
        <v>144</v>
      </c>
      <c r="AQ3" s="72" t="s">
        <v>145</v>
      </c>
      <c r="AR3" s="72" t="s">
        <v>146</v>
      </c>
      <c r="AS3" s="72" t="s">
        <v>147</v>
      </c>
      <c r="AT3" s="72" t="s">
        <v>148</v>
      </c>
      <c r="AU3" s="72" t="s">
        <v>149</v>
      </c>
      <c r="AV3" s="72" t="s">
        <v>150</v>
      </c>
      <c r="AW3" s="72" t="s">
        <v>151</v>
      </c>
      <c r="AX3" s="72" t="s">
        <v>152</v>
      </c>
      <c r="AY3" s="72" t="s">
        <v>153</v>
      </c>
      <c r="AZ3" s="72" t="s">
        <v>154</v>
      </c>
    </row>
    <row r="4" spans="1:54">
      <c r="A4" s="72"/>
      <c r="B4" s="72" t="s">
        <v>104</v>
      </c>
      <c r="C4" s="72">
        <v>0</v>
      </c>
      <c r="D4" s="72">
        <v>0</v>
      </c>
      <c r="E4" s="72">
        <v>0</v>
      </c>
      <c r="F4" s="72">
        <v>0</v>
      </c>
      <c r="G4" s="72">
        <v>0</v>
      </c>
      <c r="H4" s="72">
        <v>0</v>
      </c>
      <c r="I4" s="72">
        <v>0</v>
      </c>
      <c r="J4" s="72">
        <v>0</v>
      </c>
      <c r="K4" s="72">
        <v>0</v>
      </c>
      <c r="L4" s="72">
        <v>0</v>
      </c>
      <c r="M4" s="72">
        <v>0</v>
      </c>
      <c r="N4" s="72">
        <v>0</v>
      </c>
      <c r="O4" s="72">
        <v>0</v>
      </c>
      <c r="P4" s="72">
        <v>0</v>
      </c>
      <c r="Q4" s="72">
        <v>0</v>
      </c>
      <c r="R4" s="72">
        <v>0</v>
      </c>
      <c r="S4" s="72">
        <v>0</v>
      </c>
      <c r="T4" s="72">
        <v>34</v>
      </c>
      <c r="U4" s="72">
        <v>45</v>
      </c>
      <c r="V4" s="72">
        <v>51</v>
      </c>
      <c r="W4" s="72">
        <v>51</v>
      </c>
      <c r="X4" s="72">
        <v>53</v>
      </c>
      <c r="Y4" s="72">
        <v>66</v>
      </c>
      <c r="Z4" s="72">
        <v>67</v>
      </c>
      <c r="AA4" s="72">
        <v>94</v>
      </c>
      <c r="AB4" s="72">
        <v>104</v>
      </c>
      <c r="AC4" s="72">
        <v>110</v>
      </c>
      <c r="AD4" s="72">
        <v>125</v>
      </c>
      <c r="AE4" s="72">
        <v>132</v>
      </c>
      <c r="AF4" s="72">
        <v>144</v>
      </c>
      <c r="AG4" s="72">
        <v>150</v>
      </c>
      <c r="AH4" s="72">
        <v>153</v>
      </c>
      <c r="AI4" s="72">
        <v>157</v>
      </c>
      <c r="AJ4" s="72">
        <v>157</v>
      </c>
      <c r="AK4" s="72">
        <v>174</v>
      </c>
      <c r="AL4" s="72">
        <v>187</v>
      </c>
      <c r="AM4" s="72">
        <v>197</v>
      </c>
      <c r="AN4" s="72">
        <v>210</v>
      </c>
      <c r="AO4" s="72">
        <v>212</v>
      </c>
      <c r="AP4" s="72">
        <v>222</v>
      </c>
      <c r="AQ4" s="72">
        <v>223</v>
      </c>
      <c r="AR4" s="72">
        <v>227</v>
      </c>
      <c r="AS4" s="72">
        <v>229</v>
      </c>
      <c r="AT4" s="72">
        <v>239</v>
      </c>
      <c r="AU4" s="72">
        <v>247</v>
      </c>
      <c r="AV4" s="72">
        <v>286</v>
      </c>
      <c r="AW4" s="72">
        <v>320</v>
      </c>
      <c r="AX4" s="72">
        <v>346</v>
      </c>
      <c r="AY4" s="72">
        <v>349</v>
      </c>
      <c r="AZ4" s="72">
        <v>758</v>
      </c>
      <c r="BB4" t="s">
        <v>196</v>
      </c>
    </row>
    <row r="5" spans="1:54">
      <c r="A5" s="65">
        <v>1</v>
      </c>
      <c r="B5" s="65">
        <v>-1</v>
      </c>
      <c r="C5" s="65">
        <f t="shared" ref="C5:C14" si="0">IF((AND(C$4&lt;$B6,C$4&gt;$B5)),1,0)</f>
        <v>1</v>
      </c>
      <c r="D5" s="65">
        <f t="shared" ref="D5:AZ10" si="1">IF((AND(D$4&lt;$B6,D$4&gt;$B5)),1,0)</f>
        <v>1</v>
      </c>
      <c r="E5" s="65">
        <f t="shared" si="1"/>
        <v>1</v>
      </c>
      <c r="F5" s="65">
        <f t="shared" si="1"/>
        <v>1</v>
      </c>
      <c r="G5" s="65">
        <f t="shared" si="1"/>
        <v>1</v>
      </c>
      <c r="H5" s="65">
        <f t="shared" si="1"/>
        <v>1</v>
      </c>
      <c r="I5" s="65">
        <f t="shared" si="1"/>
        <v>1</v>
      </c>
      <c r="J5" s="65">
        <f t="shared" si="1"/>
        <v>1</v>
      </c>
      <c r="K5" s="65">
        <f t="shared" si="1"/>
        <v>1</v>
      </c>
      <c r="L5" s="65">
        <f t="shared" si="1"/>
        <v>1</v>
      </c>
      <c r="M5" s="65">
        <f t="shared" si="1"/>
        <v>1</v>
      </c>
      <c r="N5" s="65">
        <f t="shared" si="1"/>
        <v>1</v>
      </c>
      <c r="O5" s="65">
        <f t="shared" si="1"/>
        <v>1</v>
      </c>
      <c r="P5" s="65">
        <f t="shared" si="1"/>
        <v>1</v>
      </c>
      <c r="Q5" s="65">
        <f t="shared" si="1"/>
        <v>1</v>
      </c>
      <c r="R5" s="65">
        <f t="shared" si="1"/>
        <v>1</v>
      </c>
      <c r="S5" s="65">
        <f t="shared" si="1"/>
        <v>1</v>
      </c>
      <c r="T5" s="65">
        <f t="shared" si="1"/>
        <v>1</v>
      </c>
      <c r="U5" s="65">
        <f t="shared" si="1"/>
        <v>1</v>
      </c>
      <c r="V5" s="65">
        <f t="shared" si="1"/>
        <v>1</v>
      </c>
      <c r="W5" s="65">
        <f t="shared" si="1"/>
        <v>1</v>
      </c>
      <c r="X5" s="65">
        <f t="shared" si="1"/>
        <v>1</v>
      </c>
      <c r="Y5" s="65">
        <f t="shared" si="1"/>
        <v>1</v>
      </c>
      <c r="Z5" s="65">
        <f t="shared" si="1"/>
        <v>1</v>
      </c>
      <c r="AA5" s="65">
        <f t="shared" si="1"/>
        <v>1</v>
      </c>
      <c r="AB5" s="65">
        <f t="shared" si="1"/>
        <v>0</v>
      </c>
      <c r="AC5" s="65">
        <f t="shared" si="1"/>
        <v>0</v>
      </c>
      <c r="AD5" s="65">
        <f t="shared" si="1"/>
        <v>0</v>
      </c>
      <c r="AE5" s="65">
        <f t="shared" si="1"/>
        <v>0</v>
      </c>
      <c r="AF5" s="65">
        <f t="shared" si="1"/>
        <v>0</v>
      </c>
      <c r="AG5" s="65">
        <f t="shared" si="1"/>
        <v>0</v>
      </c>
      <c r="AH5" s="65">
        <f t="shared" si="1"/>
        <v>0</v>
      </c>
      <c r="AI5" s="65">
        <f t="shared" si="1"/>
        <v>0</v>
      </c>
      <c r="AJ5" s="65">
        <f t="shared" si="1"/>
        <v>0</v>
      </c>
      <c r="AK5" s="65">
        <f t="shared" si="1"/>
        <v>0</v>
      </c>
      <c r="AL5" s="65">
        <f t="shared" si="1"/>
        <v>0</v>
      </c>
      <c r="AM5" s="65">
        <f t="shared" si="1"/>
        <v>0</v>
      </c>
      <c r="AN5" s="65">
        <f t="shared" si="1"/>
        <v>0</v>
      </c>
      <c r="AO5" s="65">
        <f t="shared" si="1"/>
        <v>0</v>
      </c>
      <c r="AP5" s="65">
        <f t="shared" si="1"/>
        <v>0</v>
      </c>
      <c r="AQ5" s="65">
        <f t="shared" si="1"/>
        <v>0</v>
      </c>
      <c r="AR5" s="65">
        <f t="shared" si="1"/>
        <v>0</v>
      </c>
      <c r="AS5" s="65">
        <f t="shared" si="1"/>
        <v>0</v>
      </c>
      <c r="AT5" s="65">
        <f t="shared" si="1"/>
        <v>0</v>
      </c>
      <c r="AU5" s="65">
        <f t="shared" si="1"/>
        <v>0</v>
      </c>
      <c r="AV5" s="65">
        <f t="shared" si="1"/>
        <v>0</v>
      </c>
      <c r="AW5" s="65">
        <f t="shared" si="1"/>
        <v>0</v>
      </c>
      <c r="AX5" s="65">
        <f t="shared" si="1"/>
        <v>0</v>
      </c>
      <c r="AY5" s="65">
        <f t="shared" si="1"/>
        <v>0</v>
      </c>
      <c r="AZ5" s="65">
        <f t="shared" si="1"/>
        <v>0</v>
      </c>
      <c r="BA5" s="65"/>
      <c r="BB5" s="65">
        <f>SUM(C5:AZ5)</f>
        <v>25</v>
      </c>
    </row>
    <row r="6" spans="1:54">
      <c r="A6" s="65">
        <v>2</v>
      </c>
      <c r="B6" s="65">
        <v>100</v>
      </c>
      <c r="C6" s="65">
        <f t="shared" si="0"/>
        <v>0</v>
      </c>
      <c r="D6" s="65">
        <f t="shared" si="1"/>
        <v>0</v>
      </c>
      <c r="E6" s="65">
        <f t="shared" si="1"/>
        <v>0</v>
      </c>
      <c r="F6" s="65">
        <f t="shared" si="1"/>
        <v>0</v>
      </c>
      <c r="G6" s="65">
        <f t="shared" si="1"/>
        <v>0</v>
      </c>
      <c r="H6" s="65">
        <f t="shared" si="1"/>
        <v>0</v>
      </c>
      <c r="I6" s="65">
        <f t="shared" si="1"/>
        <v>0</v>
      </c>
      <c r="J6" s="65">
        <f t="shared" si="1"/>
        <v>0</v>
      </c>
      <c r="K6" s="65">
        <f t="shared" si="1"/>
        <v>0</v>
      </c>
      <c r="L6" s="65">
        <f t="shared" si="1"/>
        <v>0</v>
      </c>
      <c r="M6" s="65">
        <f t="shared" si="1"/>
        <v>0</v>
      </c>
      <c r="N6" s="65">
        <f t="shared" si="1"/>
        <v>0</v>
      </c>
      <c r="O6" s="65">
        <f t="shared" si="1"/>
        <v>0</v>
      </c>
      <c r="P6" s="65">
        <f t="shared" si="1"/>
        <v>0</v>
      </c>
      <c r="Q6" s="65">
        <f t="shared" si="1"/>
        <v>0</v>
      </c>
      <c r="R6" s="65">
        <f t="shared" si="1"/>
        <v>0</v>
      </c>
      <c r="S6" s="65">
        <f t="shared" si="1"/>
        <v>0</v>
      </c>
      <c r="T6" s="65">
        <f t="shared" si="1"/>
        <v>0</v>
      </c>
      <c r="U6" s="65">
        <f t="shared" si="1"/>
        <v>0</v>
      </c>
      <c r="V6" s="65">
        <f t="shared" si="1"/>
        <v>0</v>
      </c>
      <c r="W6" s="65">
        <f t="shared" si="1"/>
        <v>0</v>
      </c>
      <c r="X6" s="65">
        <f t="shared" si="1"/>
        <v>0</v>
      </c>
      <c r="Y6" s="65">
        <f t="shared" si="1"/>
        <v>0</v>
      </c>
      <c r="Z6" s="65">
        <f t="shared" si="1"/>
        <v>0</v>
      </c>
      <c r="AA6" s="65">
        <f t="shared" si="1"/>
        <v>0</v>
      </c>
      <c r="AB6" s="65">
        <f t="shared" si="1"/>
        <v>1</v>
      </c>
      <c r="AC6" s="65">
        <f t="shared" si="1"/>
        <v>1</v>
      </c>
      <c r="AD6" s="65">
        <f t="shared" si="1"/>
        <v>1</v>
      </c>
      <c r="AE6" s="65">
        <f t="shared" si="1"/>
        <v>1</v>
      </c>
      <c r="AF6" s="65">
        <f t="shared" si="1"/>
        <v>1</v>
      </c>
      <c r="AG6" s="65">
        <f t="shared" si="1"/>
        <v>1</v>
      </c>
      <c r="AH6" s="65">
        <f t="shared" si="1"/>
        <v>1</v>
      </c>
      <c r="AI6" s="65">
        <f t="shared" si="1"/>
        <v>1</v>
      </c>
      <c r="AJ6" s="65">
        <f t="shared" si="1"/>
        <v>1</v>
      </c>
      <c r="AK6" s="65">
        <f t="shared" si="1"/>
        <v>1</v>
      </c>
      <c r="AL6" s="65">
        <f t="shared" si="1"/>
        <v>1</v>
      </c>
      <c r="AM6" s="65">
        <f t="shared" si="1"/>
        <v>1</v>
      </c>
      <c r="AN6" s="65">
        <f t="shared" si="1"/>
        <v>0</v>
      </c>
      <c r="AO6" s="65">
        <f t="shared" si="1"/>
        <v>0</v>
      </c>
      <c r="AP6" s="65">
        <f t="shared" si="1"/>
        <v>0</v>
      </c>
      <c r="AQ6" s="65">
        <f t="shared" si="1"/>
        <v>0</v>
      </c>
      <c r="AR6" s="65">
        <f t="shared" si="1"/>
        <v>0</v>
      </c>
      <c r="AS6" s="65">
        <f t="shared" si="1"/>
        <v>0</v>
      </c>
      <c r="AT6" s="65">
        <f t="shared" si="1"/>
        <v>0</v>
      </c>
      <c r="AU6" s="65">
        <f t="shared" si="1"/>
        <v>0</v>
      </c>
      <c r="AV6" s="65">
        <f t="shared" si="1"/>
        <v>0</v>
      </c>
      <c r="AW6" s="65">
        <f t="shared" si="1"/>
        <v>0</v>
      </c>
      <c r="AX6" s="65">
        <f t="shared" si="1"/>
        <v>0</v>
      </c>
      <c r="AY6" s="65">
        <f t="shared" si="1"/>
        <v>0</v>
      </c>
      <c r="AZ6" s="65">
        <f t="shared" si="1"/>
        <v>0</v>
      </c>
      <c r="BA6" s="65"/>
      <c r="BB6" s="65">
        <f t="shared" ref="BB6:BB16" si="2">SUM(C6:AZ6)</f>
        <v>12</v>
      </c>
    </row>
    <row r="7" spans="1:54">
      <c r="A7" s="65">
        <v>3</v>
      </c>
      <c r="B7" s="65">
        <v>200</v>
      </c>
      <c r="C7" s="65">
        <f t="shared" si="0"/>
        <v>0</v>
      </c>
      <c r="D7" s="65">
        <f t="shared" si="1"/>
        <v>0</v>
      </c>
      <c r="E7" s="65">
        <f t="shared" si="1"/>
        <v>0</v>
      </c>
      <c r="F7" s="65">
        <f t="shared" si="1"/>
        <v>0</v>
      </c>
      <c r="G7" s="65">
        <f t="shared" si="1"/>
        <v>0</v>
      </c>
      <c r="H7" s="65">
        <f t="shared" si="1"/>
        <v>0</v>
      </c>
      <c r="I7" s="65">
        <f t="shared" si="1"/>
        <v>0</v>
      </c>
      <c r="J7" s="65">
        <f t="shared" si="1"/>
        <v>0</v>
      </c>
      <c r="K7" s="65">
        <f t="shared" si="1"/>
        <v>0</v>
      </c>
      <c r="L7" s="65">
        <f t="shared" si="1"/>
        <v>0</v>
      </c>
      <c r="M7" s="65">
        <f t="shared" si="1"/>
        <v>0</v>
      </c>
      <c r="N7" s="65">
        <f t="shared" si="1"/>
        <v>0</v>
      </c>
      <c r="O7" s="65">
        <f t="shared" si="1"/>
        <v>0</v>
      </c>
      <c r="P7" s="65">
        <f t="shared" si="1"/>
        <v>0</v>
      </c>
      <c r="Q7" s="65">
        <f t="shared" si="1"/>
        <v>0</v>
      </c>
      <c r="R7" s="65">
        <f t="shared" si="1"/>
        <v>0</v>
      </c>
      <c r="S7" s="65">
        <f t="shared" si="1"/>
        <v>0</v>
      </c>
      <c r="T7" s="65">
        <f t="shared" si="1"/>
        <v>0</v>
      </c>
      <c r="U7" s="65">
        <f t="shared" si="1"/>
        <v>0</v>
      </c>
      <c r="V7" s="65">
        <f t="shared" si="1"/>
        <v>0</v>
      </c>
      <c r="W7" s="65">
        <f t="shared" si="1"/>
        <v>0</v>
      </c>
      <c r="X7" s="65">
        <f t="shared" si="1"/>
        <v>0</v>
      </c>
      <c r="Y7" s="65">
        <f t="shared" si="1"/>
        <v>0</v>
      </c>
      <c r="Z7" s="65">
        <f t="shared" si="1"/>
        <v>0</v>
      </c>
      <c r="AA7" s="65">
        <f t="shared" si="1"/>
        <v>0</v>
      </c>
      <c r="AB7" s="65">
        <f t="shared" si="1"/>
        <v>0</v>
      </c>
      <c r="AC7" s="65">
        <f t="shared" si="1"/>
        <v>0</v>
      </c>
      <c r="AD7" s="65">
        <f t="shared" si="1"/>
        <v>0</v>
      </c>
      <c r="AE7" s="65">
        <f t="shared" si="1"/>
        <v>0</v>
      </c>
      <c r="AF7" s="65">
        <f t="shared" si="1"/>
        <v>0</v>
      </c>
      <c r="AG7" s="65">
        <f t="shared" si="1"/>
        <v>0</v>
      </c>
      <c r="AH7" s="65">
        <f t="shared" si="1"/>
        <v>0</v>
      </c>
      <c r="AI7" s="65">
        <f t="shared" si="1"/>
        <v>0</v>
      </c>
      <c r="AJ7" s="65">
        <f t="shared" si="1"/>
        <v>0</v>
      </c>
      <c r="AK7" s="65">
        <f t="shared" si="1"/>
        <v>0</v>
      </c>
      <c r="AL7" s="65">
        <f t="shared" si="1"/>
        <v>0</v>
      </c>
      <c r="AM7" s="65">
        <f t="shared" si="1"/>
        <v>0</v>
      </c>
      <c r="AN7" s="65">
        <f t="shared" si="1"/>
        <v>1</v>
      </c>
      <c r="AO7" s="65">
        <f t="shared" si="1"/>
        <v>1</v>
      </c>
      <c r="AP7" s="65">
        <f t="shared" si="1"/>
        <v>1</v>
      </c>
      <c r="AQ7" s="65">
        <f t="shared" si="1"/>
        <v>1</v>
      </c>
      <c r="AR7" s="65">
        <f t="shared" si="1"/>
        <v>1</v>
      </c>
      <c r="AS7" s="65">
        <f t="shared" si="1"/>
        <v>1</v>
      </c>
      <c r="AT7" s="65">
        <f t="shared" si="1"/>
        <v>1</v>
      </c>
      <c r="AU7" s="65">
        <f t="shared" si="1"/>
        <v>1</v>
      </c>
      <c r="AV7" s="65">
        <f t="shared" si="1"/>
        <v>1</v>
      </c>
      <c r="AW7" s="65">
        <f t="shared" si="1"/>
        <v>0</v>
      </c>
      <c r="AX7" s="65">
        <f t="shared" si="1"/>
        <v>0</v>
      </c>
      <c r="AY7" s="65">
        <f t="shared" si="1"/>
        <v>0</v>
      </c>
      <c r="AZ7" s="65">
        <f t="shared" si="1"/>
        <v>0</v>
      </c>
      <c r="BA7" s="65"/>
      <c r="BB7" s="65">
        <f t="shared" si="2"/>
        <v>9</v>
      </c>
    </row>
    <row r="8" spans="1:54">
      <c r="A8" s="65">
        <v>4</v>
      </c>
      <c r="B8" s="65">
        <v>300</v>
      </c>
      <c r="C8" s="65">
        <f t="shared" si="0"/>
        <v>0</v>
      </c>
      <c r="D8" s="65">
        <f t="shared" si="1"/>
        <v>0</v>
      </c>
      <c r="E8" s="65">
        <f t="shared" si="1"/>
        <v>0</v>
      </c>
      <c r="F8" s="65">
        <f t="shared" si="1"/>
        <v>0</v>
      </c>
      <c r="G8" s="65">
        <f t="shared" si="1"/>
        <v>0</v>
      </c>
      <c r="H8" s="65">
        <f t="shared" si="1"/>
        <v>0</v>
      </c>
      <c r="I8" s="65">
        <f t="shared" si="1"/>
        <v>0</v>
      </c>
      <c r="J8" s="65">
        <f t="shared" si="1"/>
        <v>0</v>
      </c>
      <c r="K8" s="65">
        <f t="shared" si="1"/>
        <v>0</v>
      </c>
      <c r="L8" s="65">
        <f t="shared" si="1"/>
        <v>0</v>
      </c>
      <c r="M8" s="65">
        <f t="shared" si="1"/>
        <v>0</v>
      </c>
      <c r="N8" s="65">
        <f t="shared" si="1"/>
        <v>0</v>
      </c>
      <c r="O8" s="65">
        <f t="shared" si="1"/>
        <v>0</v>
      </c>
      <c r="P8" s="65">
        <f t="shared" si="1"/>
        <v>0</v>
      </c>
      <c r="Q8" s="65">
        <f t="shared" si="1"/>
        <v>0</v>
      </c>
      <c r="R8" s="65">
        <f t="shared" si="1"/>
        <v>0</v>
      </c>
      <c r="S8" s="65">
        <f t="shared" si="1"/>
        <v>0</v>
      </c>
      <c r="T8" s="65">
        <f t="shared" si="1"/>
        <v>0</v>
      </c>
      <c r="U8" s="65">
        <f t="shared" si="1"/>
        <v>0</v>
      </c>
      <c r="V8" s="65">
        <f t="shared" si="1"/>
        <v>0</v>
      </c>
      <c r="W8" s="65">
        <f t="shared" si="1"/>
        <v>0</v>
      </c>
      <c r="X8" s="65">
        <f t="shared" si="1"/>
        <v>0</v>
      </c>
      <c r="Y8" s="65">
        <f t="shared" si="1"/>
        <v>0</v>
      </c>
      <c r="Z8" s="65">
        <f t="shared" si="1"/>
        <v>0</v>
      </c>
      <c r="AA8" s="65">
        <f t="shared" si="1"/>
        <v>0</v>
      </c>
      <c r="AB8" s="65">
        <f t="shared" si="1"/>
        <v>0</v>
      </c>
      <c r="AC8" s="65">
        <f t="shared" si="1"/>
        <v>0</v>
      </c>
      <c r="AD8" s="65">
        <f t="shared" si="1"/>
        <v>0</v>
      </c>
      <c r="AE8" s="65">
        <f t="shared" si="1"/>
        <v>0</v>
      </c>
      <c r="AF8" s="65">
        <f t="shared" si="1"/>
        <v>0</v>
      </c>
      <c r="AG8" s="65">
        <f t="shared" si="1"/>
        <v>0</v>
      </c>
      <c r="AH8" s="65">
        <f t="shared" si="1"/>
        <v>0</v>
      </c>
      <c r="AI8" s="65">
        <f t="shared" si="1"/>
        <v>0</v>
      </c>
      <c r="AJ8" s="65">
        <f t="shared" si="1"/>
        <v>0</v>
      </c>
      <c r="AK8" s="65">
        <f t="shared" si="1"/>
        <v>0</v>
      </c>
      <c r="AL8" s="65">
        <f t="shared" si="1"/>
        <v>0</v>
      </c>
      <c r="AM8" s="65">
        <f t="shared" si="1"/>
        <v>0</v>
      </c>
      <c r="AN8" s="65">
        <f t="shared" si="1"/>
        <v>0</v>
      </c>
      <c r="AO8" s="65">
        <f t="shared" si="1"/>
        <v>0</v>
      </c>
      <c r="AP8" s="65">
        <f t="shared" si="1"/>
        <v>0</v>
      </c>
      <c r="AQ8" s="65">
        <f t="shared" si="1"/>
        <v>0</v>
      </c>
      <c r="AR8" s="65">
        <f t="shared" si="1"/>
        <v>0</v>
      </c>
      <c r="AS8" s="65">
        <f t="shared" si="1"/>
        <v>0</v>
      </c>
      <c r="AT8" s="65">
        <f t="shared" si="1"/>
        <v>0</v>
      </c>
      <c r="AU8" s="65">
        <f t="shared" si="1"/>
        <v>0</v>
      </c>
      <c r="AV8" s="65">
        <f t="shared" si="1"/>
        <v>0</v>
      </c>
      <c r="AW8" s="65">
        <f t="shared" si="1"/>
        <v>1</v>
      </c>
      <c r="AX8" s="65">
        <f t="shared" si="1"/>
        <v>1</v>
      </c>
      <c r="AY8" s="65">
        <f t="shared" si="1"/>
        <v>1</v>
      </c>
      <c r="AZ8" s="65">
        <f t="shared" si="1"/>
        <v>0</v>
      </c>
      <c r="BA8" s="65"/>
      <c r="BB8" s="65">
        <f t="shared" si="2"/>
        <v>3</v>
      </c>
    </row>
    <row r="9" spans="1:54">
      <c r="A9" s="65">
        <v>5</v>
      </c>
      <c r="B9" s="65">
        <v>400</v>
      </c>
      <c r="C9" s="65">
        <f t="shared" si="0"/>
        <v>0</v>
      </c>
      <c r="D9" s="65">
        <f t="shared" si="1"/>
        <v>0</v>
      </c>
      <c r="E9" s="65">
        <f t="shared" si="1"/>
        <v>0</v>
      </c>
      <c r="F9" s="65">
        <f t="shared" si="1"/>
        <v>0</v>
      </c>
      <c r="G9" s="65">
        <f t="shared" si="1"/>
        <v>0</v>
      </c>
      <c r="H9" s="65">
        <f t="shared" si="1"/>
        <v>0</v>
      </c>
      <c r="I9" s="65">
        <f t="shared" si="1"/>
        <v>0</v>
      </c>
      <c r="J9" s="65">
        <f t="shared" si="1"/>
        <v>0</v>
      </c>
      <c r="K9" s="65">
        <f t="shared" si="1"/>
        <v>0</v>
      </c>
      <c r="L9" s="65">
        <f t="shared" si="1"/>
        <v>0</v>
      </c>
      <c r="M9" s="65">
        <f t="shared" si="1"/>
        <v>0</v>
      </c>
      <c r="N9" s="65">
        <f t="shared" si="1"/>
        <v>0</v>
      </c>
      <c r="O9" s="65">
        <f t="shared" si="1"/>
        <v>0</v>
      </c>
      <c r="P9" s="65">
        <f t="shared" si="1"/>
        <v>0</v>
      </c>
      <c r="Q9" s="65">
        <f t="shared" si="1"/>
        <v>0</v>
      </c>
      <c r="R9" s="65">
        <f t="shared" si="1"/>
        <v>0</v>
      </c>
      <c r="S9" s="65">
        <f t="shared" si="1"/>
        <v>0</v>
      </c>
      <c r="T9" s="65">
        <f t="shared" si="1"/>
        <v>0</v>
      </c>
      <c r="U9" s="65">
        <f t="shared" si="1"/>
        <v>0</v>
      </c>
      <c r="V9" s="65">
        <f t="shared" si="1"/>
        <v>0</v>
      </c>
      <c r="W9" s="65">
        <f t="shared" si="1"/>
        <v>0</v>
      </c>
      <c r="X9" s="65">
        <f t="shared" si="1"/>
        <v>0</v>
      </c>
      <c r="Y9" s="65">
        <f t="shared" si="1"/>
        <v>0</v>
      </c>
      <c r="Z9" s="65">
        <f t="shared" si="1"/>
        <v>0</v>
      </c>
      <c r="AA9" s="65">
        <f t="shared" si="1"/>
        <v>0</v>
      </c>
      <c r="AB9" s="65">
        <f t="shared" si="1"/>
        <v>0</v>
      </c>
      <c r="AC9" s="65">
        <f t="shared" si="1"/>
        <v>0</v>
      </c>
      <c r="AD9" s="65">
        <f t="shared" si="1"/>
        <v>0</v>
      </c>
      <c r="AE9" s="65">
        <f t="shared" si="1"/>
        <v>0</v>
      </c>
      <c r="AF9" s="65">
        <f t="shared" si="1"/>
        <v>0</v>
      </c>
      <c r="AG9" s="65">
        <f t="shared" si="1"/>
        <v>0</v>
      </c>
      <c r="AH9" s="65">
        <f t="shared" si="1"/>
        <v>0</v>
      </c>
      <c r="AI9" s="65">
        <f t="shared" si="1"/>
        <v>0</v>
      </c>
      <c r="AJ9" s="65">
        <f t="shared" si="1"/>
        <v>0</v>
      </c>
      <c r="AK9" s="65">
        <f t="shared" si="1"/>
        <v>0</v>
      </c>
      <c r="AL9" s="65">
        <f t="shared" si="1"/>
        <v>0</v>
      </c>
      <c r="AM9" s="65">
        <f t="shared" si="1"/>
        <v>0</v>
      </c>
      <c r="AN9" s="65">
        <f t="shared" si="1"/>
        <v>0</v>
      </c>
      <c r="AO9" s="65">
        <f t="shared" si="1"/>
        <v>0</v>
      </c>
      <c r="AP9" s="65">
        <f t="shared" si="1"/>
        <v>0</v>
      </c>
      <c r="AQ9" s="65">
        <f t="shared" si="1"/>
        <v>0</v>
      </c>
      <c r="AR9" s="65">
        <f t="shared" si="1"/>
        <v>0</v>
      </c>
      <c r="AS9" s="65">
        <f t="shared" si="1"/>
        <v>0</v>
      </c>
      <c r="AT9" s="65">
        <f t="shared" si="1"/>
        <v>0</v>
      </c>
      <c r="AU9" s="65">
        <f t="shared" si="1"/>
        <v>0</v>
      </c>
      <c r="AV9" s="65">
        <f t="shared" si="1"/>
        <v>0</v>
      </c>
      <c r="AW9" s="65">
        <f t="shared" si="1"/>
        <v>0</v>
      </c>
      <c r="AX9" s="65">
        <f t="shared" si="1"/>
        <v>0</v>
      </c>
      <c r="AY9" s="65">
        <f t="shared" si="1"/>
        <v>0</v>
      </c>
      <c r="AZ9" s="65">
        <f t="shared" si="1"/>
        <v>0</v>
      </c>
      <c r="BA9" s="65"/>
      <c r="BB9" s="65">
        <f t="shared" si="2"/>
        <v>0</v>
      </c>
    </row>
    <row r="10" spans="1:54">
      <c r="A10" s="65">
        <v>6</v>
      </c>
      <c r="B10" s="65">
        <v>500</v>
      </c>
      <c r="C10" s="65">
        <f t="shared" si="0"/>
        <v>0</v>
      </c>
      <c r="D10" s="65">
        <f t="shared" si="1"/>
        <v>0</v>
      </c>
      <c r="E10" s="65">
        <f t="shared" si="1"/>
        <v>0</v>
      </c>
      <c r="F10" s="65">
        <f t="shared" si="1"/>
        <v>0</v>
      </c>
      <c r="G10" s="65">
        <f t="shared" si="1"/>
        <v>0</v>
      </c>
      <c r="H10" s="65">
        <f t="shared" si="1"/>
        <v>0</v>
      </c>
      <c r="I10" s="65">
        <f t="shared" si="1"/>
        <v>0</v>
      </c>
      <c r="J10" s="65">
        <f t="shared" si="1"/>
        <v>0</v>
      </c>
      <c r="K10" s="65">
        <f t="shared" si="1"/>
        <v>0</v>
      </c>
      <c r="L10" s="65">
        <f t="shared" si="1"/>
        <v>0</v>
      </c>
      <c r="M10" s="65">
        <f t="shared" si="1"/>
        <v>0</v>
      </c>
      <c r="N10" s="65">
        <f t="shared" ref="N10:W14" si="3">IF((AND(N$4&lt;$B11,N$4&gt;$B10)),1,0)</f>
        <v>0</v>
      </c>
      <c r="O10" s="65">
        <f t="shared" si="3"/>
        <v>0</v>
      </c>
      <c r="P10" s="65">
        <f t="shared" si="3"/>
        <v>0</v>
      </c>
      <c r="Q10" s="65">
        <f t="shared" si="3"/>
        <v>0</v>
      </c>
      <c r="R10" s="65">
        <f t="shared" si="3"/>
        <v>0</v>
      </c>
      <c r="S10" s="65">
        <f t="shared" si="3"/>
        <v>0</v>
      </c>
      <c r="T10" s="65">
        <f t="shared" si="3"/>
        <v>0</v>
      </c>
      <c r="U10" s="65">
        <f t="shared" si="3"/>
        <v>0</v>
      </c>
      <c r="V10" s="65">
        <f t="shared" si="3"/>
        <v>0</v>
      </c>
      <c r="W10" s="65">
        <f t="shared" si="3"/>
        <v>0</v>
      </c>
      <c r="X10" s="65">
        <f t="shared" ref="X10:AG14" si="4">IF((AND(X$4&lt;$B11,X$4&gt;$B10)),1,0)</f>
        <v>0</v>
      </c>
      <c r="Y10" s="65">
        <f t="shared" si="4"/>
        <v>0</v>
      </c>
      <c r="Z10" s="65">
        <f t="shared" si="4"/>
        <v>0</v>
      </c>
      <c r="AA10" s="65">
        <f t="shared" si="4"/>
        <v>0</v>
      </c>
      <c r="AB10" s="65">
        <f t="shared" si="4"/>
        <v>0</v>
      </c>
      <c r="AC10" s="65">
        <f t="shared" si="4"/>
        <v>0</v>
      </c>
      <c r="AD10" s="65">
        <f t="shared" si="4"/>
        <v>0</v>
      </c>
      <c r="AE10" s="65">
        <f t="shared" si="4"/>
        <v>0</v>
      </c>
      <c r="AF10" s="65">
        <f t="shared" si="4"/>
        <v>0</v>
      </c>
      <c r="AG10" s="65">
        <f t="shared" si="4"/>
        <v>0</v>
      </c>
      <c r="AH10" s="65">
        <f t="shared" ref="AH10:AQ14" si="5">IF((AND(AH$4&lt;$B11,AH$4&gt;$B10)),1,0)</f>
        <v>0</v>
      </c>
      <c r="AI10" s="65">
        <f t="shared" si="5"/>
        <v>0</v>
      </c>
      <c r="AJ10" s="65">
        <f t="shared" si="5"/>
        <v>0</v>
      </c>
      <c r="AK10" s="65">
        <f t="shared" si="5"/>
        <v>0</v>
      </c>
      <c r="AL10" s="65">
        <f t="shared" si="5"/>
        <v>0</v>
      </c>
      <c r="AM10" s="65">
        <f t="shared" si="5"/>
        <v>0</v>
      </c>
      <c r="AN10" s="65">
        <f t="shared" si="5"/>
        <v>0</v>
      </c>
      <c r="AO10" s="65">
        <f t="shared" si="5"/>
        <v>0</v>
      </c>
      <c r="AP10" s="65">
        <f t="shared" si="5"/>
        <v>0</v>
      </c>
      <c r="AQ10" s="65">
        <f t="shared" si="5"/>
        <v>0</v>
      </c>
      <c r="AR10" s="65">
        <f t="shared" ref="AR10:AZ14" si="6">IF((AND(AR$4&lt;$B11,AR$4&gt;$B10)),1,0)</f>
        <v>0</v>
      </c>
      <c r="AS10" s="65">
        <f t="shared" si="6"/>
        <v>0</v>
      </c>
      <c r="AT10" s="65">
        <f t="shared" si="6"/>
        <v>0</v>
      </c>
      <c r="AU10" s="65">
        <f t="shared" si="6"/>
        <v>0</v>
      </c>
      <c r="AV10" s="65">
        <f t="shared" si="6"/>
        <v>0</v>
      </c>
      <c r="AW10" s="65">
        <f t="shared" si="6"/>
        <v>0</v>
      </c>
      <c r="AX10" s="65">
        <f t="shared" si="6"/>
        <v>0</v>
      </c>
      <c r="AY10" s="65">
        <f t="shared" si="6"/>
        <v>0</v>
      </c>
      <c r="AZ10" s="65">
        <f t="shared" si="6"/>
        <v>0</v>
      </c>
      <c r="BA10" s="65"/>
      <c r="BB10" s="65">
        <f t="shared" si="2"/>
        <v>0</v>
      </c>
    </row>
    <row r="11" spans="1:54">
      <c r="A11" s="65">
        <v>7</v>
      </c>
      <c r="B11" s="65">
        <v>600</v>
      </c>
      <c r="C11" s="65">
        <f t="shared" si="0"/>
        <v>0</v>
      </c>
      <c r="D11" s="65">
        <f t="shared" ref="D11:M14" si="7">IF((AND(D$4&lt;$B12,D$4&gt;$B11)),1,0)</f>
        <v>0</v>
      </c>
      <c r="E11" s="65">
        <f t="shared" si="7"/>
        <v>0</v>
      </c>
      <c r="F11" s="65">
        <f t="shared" si="7"/>
        <v>0</v>
      </c>
      <c r="G11" s="65">
        <f t="shared" si="7"/>
        <v>0</v>
      </c>
      <c r="H11" s="65">
        <f t="shared" si="7"/>
        <v>0</v>
      </c>
      <c r="I11" s="65">
        <f t="shared" si="7"/>
        <v>0</v>
      </c>
      <c r="J11" s="65">
        <f t="shared" si="7"/>
        <v>0</v>
      </c>
      <c r="K11" s="65">
        <f t="shared" si="7"/>
        <v>0</v>
      </c>
      <c r="L11" s="65">
        <f t="shared" si="7"/>
        <v>0</v>
      </c>
      <c r="M11" s="65">
        <f t="shared" si="7"/>
        <v>0</v>
      </c>
      <c r="N11" s="65">
        <f t="shared" si="3"/>
        <v>0</v>
      </c>
      <c r="O11" s="65">
        <f t="shared" si="3"/>
        <v>0</v>
      </c>
      <c r="P11" s="65">
        <f t="shared" si="3"/>
        <v>0</v>
      </c>
      <c r="Q11" s="65">
        <f t="shared" si="3"/>
        <v>0</v>
      </c>
      <c r="R11" s="65">
        <f t="shared" si="3"/>
        <v>0</v>
      </c>
      <c r="S11" s="65">
        <f t="shared" si="3"/>
        <v>0</v>
      </c>
      <c r="T11" s="65">
        <f t="shared" si="3"/>
        <v>0</v>
      </c>
      <c r="U11" s="65">
        <f t="shared" si="3"/>
        <v>0</v>
      </c>
      <c r="V11" s="65">
        <f t="shared" si="3"/>
        <v>0</v>
      </c>
      <c r="W11" s="65">
        <f t="shared" si="3"/>
        <v>0</v>
      </c>
      <c r="X11" s="65">
        <f t="shared" si="4"/>
        <v>0</v>
      </c>
      <c r="Y11" s="65">
        <f t="shared" si="4"/>
        <v>0</v>
      </c>
      <c r="Z11" s="65">
        <f t="shared" si="4"/>
        <v>0</v>
      </c>
      <c r="AA11" s="65">
        <f t="shared" si="4"/>
        <v>0</v>
      </c>
      <c r="AB11" s="65">
        <f t="shared" si="4"/>
        <v>0</v>
      </c>
      <c r="AC11" s="65">
        <f t="shared" si="4"/>
        <v>0</v>
      </c>
      <c r="AD11" s="65">
        <f t="shared" si="4"/>
        <v>0</v>
      </c>
      <c r="AE11" s="65">
        <f t="shared" si="4"/>
        <v>0</v>
      </c>
      <c r="AF11" s="65">
        <f t="shared" si="4"/>
        <v>0</v>
      </c>
      <c r="AG11" s="65">
        <f t="shared" si="4"/>
        <v>0</v>
      </c>
      <c r="AH11" s="65">
        <f t="shared" si="5"/>
        <v>0</v>
      </c>
      <c r="AI11" s="65">
        <f t="shared" si="5"/>
        <v>0</v>
      </c>
      <c r="AJ11" s="65">
        <f t="shared" si="5"/>
        <v>0</v>
      </c>
      <c r="AK11" s="65">
        <f t="shared" si="5"/>
        <v>0</v>
      </c>
      <c r="AL11" s="65">
        <f t="shared" si="5"/>
        <v>0</v>
      </c>
      <c r="AM11" s="65">
        <f t="shared" si="5"/>
        <v>0</v>
      </c>
      <c r="AN11" s="65">
        <f t="shared" si="5"/>
        <v>0</v>
      </c>
      <c r="AO11" s="65">
        <f t="shared" si="5"/>
        <v>0</v>
      </c>
      <c r="AP11" s="65">
        <f t="shared" si="5"/>
        <v>0</v>
      </c>
      <c r="AQ11" s="65">
        <f t="shared" si="5"/>
        <v>0</v>
      </c>
      <c r="AR11" s="65">
        <f t="shared" si="6"/>
        <v>0</v>
      </c>
      <c r="AS11" s="65">
        <f t="shared" si="6"/>
        <v>0</v>
      </c>
      <c r="AT11" s="65">
        <f t="shared" si="6"/>
        <v>0</v>
      </c>
      <c r="AU11" s="65">
        <f t="shared" si="6"/>
        <v>0</v>
      </c>
      <c r="AV11" s="65">
        <f t="shared" si="6"/>
        <v>0</v>
      </c>
      <c r="AW11" s="65">
        <f t="shared" si="6"/>
        <v>0</v>
      </c>
      <c r="AX11" s="65">
        <f t="shared" si="6"/>
        <v>0</v>
      </c>
      <c r="AY11" s="65">
        <f t="shared" si="6"/>
        <v>0</v>
      </c>
      <c r="AZ11" s="65">
        <f t="shared" si="6"/>
        <v>0</v>
      </c>
      <c r="BA11" s="65"/>
      <c r="BB11" s="65">
        <f t="shared" si="2"/>
        <v>0</v>
      </c>
    </row>
    <row r="12" spans="1:54">
      <c r="A12" s="65">
        <v>8</v>
      </c>
      <c r="B12" s="65">
        <v>700</v>
      </c>
      <c r="C12" s="65">
        <f t="shared" si="0"/>
        <v>0</v>
      </c>
      <c r="D12" s="65">
        <f t="shared" si="7"/>
        <v>0</v>
      </c>
      <c r="E12" s="65">
        <f t="shared" si="7"/>
        <v>0</v>
      </c>
      <c r="F12" s="65">
        <f t="shared" si="7"/>
        <v>0</v>
      </c>
      <c r="G12" s="65">
        <f t="shared" si="7"/>
        <v>0</v>
      </c>
      <c r="H12" s="65">
        <f t="shared" si="7"/>
        <v>0</v>
      </c>
      <c r="I12" s="65">
        <f t="shared" si="7"/>
        <v>0</v>
      </c>
      <c r="J12" s="65">
        <f t="shared" si="7"/>
        <v>0</v>
      </c>
      <c r="K12" s="65">
        <f t="shared" si="7"/>
        <v>0</v>
      </c>
      <c r="L12" s="65">
        <f t="shared" si="7"/>
        <v>0</v>
      </c>
      <c r="M12" s="65">
        <f t="shared" si="7"/>
        <v>0</v>
      </c>
      <c r="N12" s="65">
        <f t="shared" si="3"/>
        <v>0</v>
      </c>
      <c r="O12" s="65">
        <f t="shared" si="3"/>
        <v>0</v>
      </c>
      <c r="P12" s="65">
        <f t="shared" si="3"/>
        <v>0</v>
      </c>
      <c r="Q12" s="65">
        <f t="shared" si="3"/>
        <v>0</v>
      </c>
      <c r="R12" s="65">
        <f t="shared" si="3"/>
        <v>0</v>
      </c>
      <c r="S12" s="65">
        <f t="shared" si="3"/>
        <v>0</v>
      </c>
      <c r="T12" s="65">
        <f t="shared" si="3"/>
        <v>0</v>
      </c>
      <c r="U12" s="65">
        <f t="shared" si="3"/>
        <v>0</v>
      </c>
      <c r="V12" s="65">
        <f t="shared" si="3"/>
        <v>0</v>
      </c>
      <c r="W12" s="65">
        <f t="shared" si="3"/>
        <v>0</v>
      </c>
      <c r="X12" s="65">
        <f t="shared" si="4"/>
        <v>0</v>
      </c>
      <c r="Y12" s="65">
        <f t="shared" si="4"/>
        <v>0</v>
      </c>
      <c r="Z12" s="65">
        <f t="shared" si="4"/>
        <v>0</v>
      </c>
      <c r="AA12" s="65">
        <f t="shared" si="4"/>
        <v>0</v>
      </c>
      <c r="AB12" s="65">
        <f t="shared" si="4"/>
        <v>0</v>
      </c>
      <c r="AC12" s="65">
        <f t="shared" si="4"/>
        <v>0</v>
      </c>
      <c r="AD12" s="65">
        <f t="shared" si="4"/>
        <v>0</v>
      </c>
      <c r="AE12" s="65">
        <f t="shared" si="4"/>
        <v>0</v>
      </c>
      <c r="AF12" s="65">
        <f t="shared" si="4"/>
        <v>0</v>
      </c>
      <c r="AG12" s="65">
        <f t="shared" si="4"/>
        <v>0</v>
      </c>
      <c r="AH12" s="65">
        <f t="shared" si="5"/>
        <v>0</v>
      </c>
      <c r="AI12" s="65">
        <f t="shared" si="5"/>
        <v>0</v>
      </c>
      <c r="AJ12" s="65">
        <f t="shared" si="5"/>
        <v>0</v>
      </c>
      <c r="AK12" s="65">
        <f t="shared" si="5"/>
        <v>0</v>
      </c>
      <c r="AL12" s="65">
        <f t="shared" si="5"/>
        <v>0</v>
      </c>
      <c r="AM12" s="65">
        <f t="shared" si="5"/>
        <v>0</v>
      </c>
      <c r="AN12" s="65">
        <f t="shared" si="5"/>
        <v>0</v>
      </c>
      <c r="AO12" s="65">
        <f t="shared" si="5"/>
        <v>0</v>
      </c>
      <c r="AP12" s="65">
        <f t="shared" si="5"/>
        <v>0</v>
      </c>
      <c r="AQ12" s="65">
        <f t="shared" si="5"/>
        <v>0</v>
      </c>
      <c r="AR12" s="65">
        <f t="shared" si="6"/>
        <v>0</v>
      </c>
      <c r="AS12" s="65">
        <f t="shared" si="6"/>
        <v>0</v>
      </c>
      <c r="AT12" s="65">
        <f t="shared" si="6"/>
        <v>0</v>
      </c>
      <c r="AU12" s="65">
        <f t="shared" si="6"/>
        <v>0</v>
      </c>
      <c r="AV12" s="65">
        <f t="shared" si="6"/>
        <v>0</v>
      </c>
      <c r="AW12" s="65">
        <f t="shared" si="6"/>
        <v>0</v>
      </c>
      <c r="AX12" s="65">
        <f t="shared" si="6"/>
        <v>0</v>
      </c>
      <c r="AY12" s="65">
        <f t="shared" si="6"/>
        <v>0</v>
      </c>
      <c r="AZ12" s="65">
        <f t="shared" si="6"/>
        <v>1</v>
      </c>
      <c r="BA12" s="65"/>
      <c r="BB12" s="65">
        <f t="shared" si="2"/>
        <v>1</v>
      </c>
    </row>
    <row r="13" spans="1:54">
      <c r="A13" s="65">
        <v>9</v>
      </c>
      <c r="B13" s="65">
        <v>800</v>
      </c>
      <c r="C13" s="65">
        <f t="shared" si="0"/>
        <v>0</v>
      </c>
      <c r="D13" s="65">
        <f t="shared" si="7"/>
        <v>0</v>
      </c>
      <c r="E13" s="65">
        <f t="shared" si="7"/>
        <v>0</v>
      </c>
      <c r="F13" s="65">
        <f t="shared" si="7"/>
        <v>0</v>
      </c>
      <c r="G13" s="65">
        <f t="shared" si="7"/>
        <v>0</v>
      </c>
      <c r="H13" s="65">
        <f t="shared" si="7"/>
        <v>0</v>
      </c>
      <c r="I13" s="65">
        <f t="shared" si="7"/>
        <v>0</v>
      </c>
      <c r="J13" s="65">
        <f t="shared" si="7"/>
        <v>0</v>
      </c>
      <c r="K13" s="65">
        <f t="shared" si="7"/>
        <v>0</v>
      </c>
      <c r="L13" s="65">
        <f t="shared" si="7"/>
        <v>0</v>
      </c>
      <c r="M13" s="65">
        <f t="shared" si="7"/>
        <v>0</v>
      </c>
      <c r="N13" s="65">
        <f t="shared" si="3"/>
        <v>0</v>
      </c>
      <c r="O13" s="65">
        <f t="shared" si="3"/>
        <v>0</v>
      </c>
      <c r="P13" s="65">
        <f t="shared" si="3"/>
        <v>0</v>
      </c>
      <c r="Q13" s="65">
        <f t="shared" si="3"/>
        <v>0</v>
      </c>
      <c r="R13" s="65">
        <f t="shared" si="3"/>
        <v>0</v>
      </c>
      <c r="S13" s="65">
        <f t="shared" si="3"/>
        <v>0</v>
      </c>
      <c r="T13" s="65">
        <f t="shared" si="3"/>
        <v>0</v>
      </c>
      <c r="U13" s="65">
        <f t="shared" si="3"/>
        <v>0</v>
      </c>
      <c r="V13" s="65">
        <f t="shared" si="3"/>
        <v>0</v>
      </c>
      <c r="W13" s="65">
        <f t="shared" si="3"/>
        <v>0</v>
      </c>
      <c r="X13" s="65">
        <f t="shared" si="4"/>
        <v>0</v>
      </c>
      <c r="Y13" s="65">
        <f t="shared" si="4"/>
        <v>0</v>
      </c>
      <c r="Z13" s="65">
        <f t="shared" si="4"/>
        <v>0</v>
      </c>
      <c r="AA13" s="65">
        <f t="shared" si="4"/>
        <v>0</v>
      </c>
      <c r="AB13" s="65">
        <f t="shared" si="4"/>
        <v>0</v>
      </c>
      <c r="AC13" s="65">
        <f t="shared" si="4"/>
        <v>0</v>
      </c>
      <c r="AD13" s="65">
        <f t="shared" si="4"/>
        <v>0</v>
      </c>
      <c r="AE13" s="65">
        <f t="shared" si="4"/>
        <v>0</v>
      </c>
      <c r="AF13" s="65">
        <f t="shared" si="4"/>
        <v>0</v>
      </c>
      <c r="AG13" s="65">
        <f t="shared" si="4"/>
        <v>0</v>
      </c>
      <c r="AH13" s="65">
        <f t="shared" si="5"/>
        <v>0</v>
      </c>
      <c r="AI13" s="65">
        <f t="shared" si="5"/>
        <v>0</v>
      </c>
      <c r="AJ13" s="65">
        <f t="shared" si="5"/>
        <v>0</v>
      </c>
      <c r="AK13" s="65">
        <f t="shared" si="5"/>
        <v>0</v>
      </c>
      <c r="AL13" s="65">
        <f t="shared" si="5"/>
        <v>0</v>
      </c>
      <c r="AM13" s="65">
        <f t="shared" si="5"/>
        <v>0</v>
      </c>
      <c r="AN13" s="65">
        <f t="shared" si="5"/>
        <v>0</v>
      </c>
      <c r="AO13" s="65">
        <f t="shared" si="5"/>
        <v>0</v>
      </c>
      <c r="AP13" s="65">
        <f t="shared" si="5"/>
        <v>0</v>
      </c>
      <c r="AQ13" s="65">
        <f t="shared" si="5"/>
        <v>0</v>
      </c>
      <c r="AR13" s="65">
        <f t="shared" si="6"/>
        <v>0</v>
      </c>
      <c r="AS13" s="65">
        <f t="shared" si="6"/>
        <v>0</v>
      </c>
      <c r="AT13" s="65">
        <f t="shared" si="6"/>
        <v>0</v>
      </c>
      <c r="AU13" s="65">
        <f t="shared" si="6"/>
        <v>0</v>
      </c>
      <c r="AV13" s="65">
        <f t="shared" si="6"/>
        <v>0</v>
      </c>
      <c r="AW13" s="65">
        <f t="shared" si="6"/>
        <v>0</v>
      </c>
      <c r="AX13" s="65">
        <f t="shared" si="6"/>
        <v>0</v>
      </c>
      <c r="AY13" s="65">
        <f t="shared" si="6"/>
        <v>0</v>
      </c>
      <c r="AZ13" s="65">
        <f t="shared" si="6"/>
        <v>0</v>
      </c>
      <c r="BA13" s="65"/>
      <c r="BB13" s="65">
        <f t="shared" si="2"/>
        <v>0</v>
      </c>
    </row>
    <row r="14" spans="1:54">
      <c r="A14" s="65">
        <v>10</v>
      </c>
      <c r="B14" s="65">
        <v>900</v>
      </c>
      <c r="C14" s="65">
        <f t="shared" si="0"/>
        <v>0</v>
      </c>
      <c r="D14" s="65">
        <f t="shared" si="7"/>
        <v>0</v>
      </c>
      <c r="E14" s="65">
        <f t="shared" si="7"/>
        <v>0</v>
      </c>
      <c r="F14" s="65">
        <f t="shared" si="7"/>
        <v>0</v>
      </c>
      <c r="G14" s="65">
        <f t="shared" si="7"/>
        <v>0</v>
      </c>
      <c r="H14" s="65">
        <f t="shared" si="7"/>
        <v>0</v>
      </c>
      <c r="I14" s="65">
        <f t="shared" si="7"/>
        <v>0</v>
      </c>
      <c r="J14" s="65">
        <f t="shared" si="7"/>
        <v>0</v>
      </c>
      <c r="K14" s="65">
        <f t="shared" si="7"/>
        <v>0</v>
      </c>
      <c r="L14" s="65">
        <f t="shared" si="7"/>
        <v>0</v>
      </c>
      <c r="M14" s="65">
        <f t="shared" si="7"/>
        <v>0</v>
      </c>
      <c r="N14" s="65">
        <f t="shared" si="3"/>
        <v>0</v>
      </c>
      <c r="O14" s="65">
        <f t="shared" si="3"/>
        <v>0</v>
      </c>
      <c r="P14" s="65">
        <f t="shared" si="3"/>
        <v>0</v>
      </c>
      <c r="Q14" s="65">
        <f t="shared" si="3"/>
        <v>0</v>
      </c>
      <c r="R14" s="65">
        <f t="shared" si="3"/>
        <v>0</v>
      </c>
      <c r="S14" s="65">
        <f t="shared" si="3"/>
        <v>0</v>
      </c>
      <c r="T14" s="65">
        <f t="shared" si="3"/>
        <v>0</v>
      </c>
      <c r="U14" s="65">
        <f t="shared" si="3"/>
        <v>0</v>
      </c>
      <c r="V14" s="65">
        <f t="shared" si="3"/>
        <v>0</v>
      </c>
      <c r="W14" s="65">
        <f t="shared" si="3"/>
        <v>0</v>
      </c>
      <c r="X14" s="65">
        <f t="shared" si="4"/>
        <v>0</v>
      </c>
      <c r="Y14" s="65">
        <f t="shared" si="4"/>
        <v>0</v>
      </c>
      <c r="Z14" s="65">
        <f t="shared" si="4"/>
        <v>0</v>
      </c>
      <c r="AA14" s="65">
        <f t="shared" si="4"/>
        <v>0</v>
      </c>
      <c r="AB14" s="65">
        <f t="shared" si="4"/>
        <v>0</v>
      </c>
      <c r="AC14" s="65">
        <f t="shared" si="4"/>
        <v>0</v>
      </c>
      <c r="AD14" s="65">
        <f t="shared" si="4"/>
        <v>0</v>
      </c>
      <c r="AE14" s="65">
        <f t="shared" si="4"/>
        <v>0</v>
      </c>
      <c r="AF14" s="65">
        <f t="shared" si="4"/>
        <v>0</v>
      </c>
      <c r="AG14" s="65">
        <f t="shared" si="4"/>
        <v>0</v>
      </c>
      <c r="AH14" s="65">
        <f t="shared" si="5"/>
        <v>0</v>
      </c>
      <c r="AI14" s="65">
        <f t="shared" si="5"/>
        <v>0</v>
      </c>
      <c r="AJ14" s="65">
        <f t="shared" si="5"/>
        <v>0</v>
      </c>
      <c r="AK14" s="65">
        <f t="shared" si="5"/>
        <v>0</v>
      </c>
      <c r="AL14" s="65">
        <f t="shared" si="5"/>
        <v>0</v>
      </c>
      <c r="AM14" s="65">
        <f t="shared" si="5"/>
        <v>0</v>
      </c>
      <c r="AN14" s="65">
        <f t="shared" si="5"/>
        <v>0</v>
      </c>
      <c r="AO14" s="65">
        <f t="shared" si="5"/>
        <v>0</v>
      </c>
      <c r="AP14" s="65">
        <f t="shared" si="5"/>
        <v>0</v>
      </c>
      <c r="AQ14" s="65">
        <f t="shared" si="5"/>
        <v>0</v>
      </c>
      <c r="AR14" s="65">
        <f t="shared" si="6"/>
        <v>0</v>
      </c>
      <c r="AS14" s="65">
        <f t="shared" si="6"/>
        <v>0</v>
      </c>
      <c r="AT14" s="65">
        <f t="shared" si="6"/>
        <v>0</v>
      </c>
      <c r="AU14" s="65">
        <f t="shared" si="6"/>
        <v>0</v>
      </c>
      <c r="AV14" s="65">
        <f t="shared" si="6"/>
        <v>0</v>
      </c>
      <c r="AW14" s="65">
        <f t="shared" si="6"/>
        <v>0</v>
      </c>
      <c r="AX14" s="65">
        <f t="shared" si="6"/>
        <v>0</v>
      </c>
      <c r="AY14" s="65">
        <f t="shared" si="6"/>
        <v>0</v>
      </c>
      <c r="AZ14" s="65">
        <f t="shared" si="6"/>
        <v>0</v>
      </c>
      <c r="BA14" s="65"/>
      <c r="BB14" s="65">
        <f t="shared" si="2"/>
        <v>0</v>
      </c>
    </row>
    <row r="15" spans="1:54">
      <c r="A15" s="65">
        <v>11</v>
      </c>
      <c r="B15" s="65">
        <v>1000</v>
      </c>
      <c r="C15" s="65">
        <f>IF((AND(C$4&gt;$B15)),1,0)</f>
        <v>0</v>
      </c>
      <c r="D15" s="65">
        <f t="shared" ref="D15:AZ15" si="8">IF((AND(D$4&gt;$B15)),1,0)</f>
        <v>0</v>
      </c>
      <c r="E15" s="65">
        <f t="shared" si="8"/>
        <v>0</v>
      </c>
      <c r="F15" s="65">
        <f t="shared" si="8"/>
        <v>0</v>
      </c>
      <c r="G15" s="65">
        <f t="shared" si="8"/>
        <v>0</v>
      </c>
      <c r="H15" s="65">
        <f t="shared" si="8"/>
        <v>0</v>
      </c>
      <c r="I15" s="65">
        <f t="shared" si="8"/>
        <v>0</v>
      </c>
      <c r="J15" s="65">
        <f t="shared" si="8"/>
        <v>0</v>
      </c>
      <c r="K15" s="65">
        <f t="shared" si="8"/>
        <v>0</v>
      </c>
      <c r="L15" s="65">
        <f t="shared" si="8"/>
        <v>0</v>
      </c>
      <c r="M15" s="65">
        <f t="shared" si="8"/>
        <v>0</v>
      </c>
      <c r="N15" s="65">
        <f t="shared" si="8"/>
        <v>0</v>
      </c>
      <c r="O15" s="65">
        <f t="shared" si="8"/>
        <v>0</v>
      </c>
      <c r="P15" s="65">
        <f t="shared" si="8"/>
        <v>0</v>
      </c>
      <c r="Q15" s="65">
        <f t="shared" si="8"/>
        <v>0</v>
      </c>
      <c r="R15" s="65">
        <f t="shared" si="8"/>
        <v>0</v>
      </c>
      <c r="S15" s="65">
        <f t="shared" si="8"/>
        <v>0</v>
      </c>
      <c r="T15" s="65">
        <f t="shared" si="8"/>
        <v>0</v>
      </c>
      <c r="U15" s="65">
        <f t="shared" si="8"/>
        <v>0</v>
      </c>
      <c r="V15" s="65">
        <f t="shared" si="8"/>
        <v>0</v>
      </c>
      <c r="W15" s="65">
        <f t="shared" si="8"/>
        <v>0</v>
      </c>
      <c r="X15" s="65">
        <f t="shared" si="8"/>
        <v>0</v>
      </c>
      <c r="Y15" s="65">
        <f t="shared" si="8"/>
        <v>0</v>
      </c>
      <c r="Z15" s="65">
        <f t="shared" si="8"/>
        <v>0</v>
      </c>
      <c r="AA15" s="65">
        <f t="shared" si="8"/>
        <v>0</v>
      </c>
      <c r="AB15" s="65">
        <f t="shared" si="8"/>
        <v>0</v>
      </c>
      <c r="AC15" s="65">
        <f t="shared" si="8"/>
        <v>0</v>
      </c>
      <c r="AD15" s="65">
        <f t="shared" si="8"/>
        <v>0</v>
      </c>
      <c r="AE15" s="65">
        <f t="shared" si="8"/>
        <v>0</v>
      </c>
      <c r="AF15" s="65">
        <f t="shared" si="8"/>
        <v>0</v>
      </c>
      <c r="AG15" s="65">
        <f t="shared" si="8"/>
        <v>0</v>
      </c>
      <c r="AH15" s="65">
        <f t="shared" si="8"/>
        <v>0</v>
      </c>
      <c r="AI15" s="65">
        <f t="shared" si="8"/>
        <v>0</v>
      </c>
      <c r="AJ15" s="65">
        <f t="shared" si="8"/>
        <v>0</v>
      </c>
      <c r="AK15" s="65">
        <f t="shared" si="8"/>
        <v>0</v>
      </c>
      <c r="AL15" s="65">
        <f t="shared" si="8"/>
        <v>0</v>
      </c>
      <c r="AM15" s="65">
        <f t="shared" si="8"/>
        <v>0</v>
      </c>
      <c r="AN15" s="65">
        <f t="shared" si="8"/>
        <v>0</v>
      </c>
      <c r="AO15" s="65">
        <f t="shared" si="8"/>
        <v>0</v>
      </c>
      <c r="AP15" s="65">
        <f t="shared" si="8"/>
        <v>0</v>
      </c>
      <c r="AQ15" s="65">
        <f t="shared" si="8"/>
        <v>0</v>
      </c>
      <c r="AR15" s="65">
        <f t="shared" si="8"/>
        <v>0</v>
      </c>
      <c r="AS15" s="65">
        <f t="shared" si="8"/>
        <v>0</v>
      </c>
      <c r="AT15" s="65">
        <f t="shared" si="8"/>
        <v>0</v>
      </c>
      <c r="AU15" s="65">
        <f t="shared" si="8"/>
        <v>0</v>
      </c>
      <c r="AV15" s="65">
        <f t="shared" si="8"/>
        <v>0</v>
      </c>
      <c r="AW15" s="65">
        <f t="shared" si="8"/>
        <v>0</v>
      </c>
      <c r="AX15" s="65">
        <f t="shared" si="8"/>
        <v>0</v>
      </c>
      <c r="AY15" s="65">
        <f t="shared" si="8"/>
        <v>0</v>
      </c>
      <c r="AZ15" s="65">
        <f t="shared" si="8"/>
        <v>0</v>
      </c>
      <c r="BA15" s="65"/>
      <c r="BB15" s="65">
        <f t="shared" si="2"/>
        <v>0</v>
      </c>
    </row>
    <row r="16" spans="1:54">
      <c r="A16" s="65"/>
      <c r="B16" s="65" t="s">
        <v>196</v>
      </c>
      <c r="C16" s="65">
        <f>SUM(C5:C15)</f>
        <v>1</v>
      </c>
      <c r="D16" s="65">
        <f t="shared" ref="D16:AZ16" si="9">SUM(D5:D15)</f>
        <v>1</v>
      </c>
      <c r="E16" s="65">
        <f t="shared" si="9"/>
        <v>1</v>
      </c>
      <c r="F16" s="65">
        <f t="shared" si="9"/>
        <v>1</v>
      </c>
      <c r="G16" s="65">
        <f t="shared" si="9"/>
        <v>1</v>
      </c>
      <c r="H16" s="65">
        <f t="shared" si="9"/>
        <v>1</v>
      </c>
      <c r="I16" s="65">
        <f t="shared" si="9"/>
        <v>1</v>
      </c>
      <c r="J16" s="65">
        <f t="shared" si="9"/>
        <v>1</v>
      </c>
      <c r="K16" s="65">
        <f t="shared" si="9"/>
        <v>1</v>
      </c>
      <c r="L16" s="65">
        <f t="shared" si="9"/>
        <v>1</v>
      </c>
      <c r="M16" s="65">
        <f t="shared" si="9"/>
        <v>1</v>
      </c>
      <c r="N16" s="65">
        <f t="shared" si="9"/>
        <v>1</v>
      </c>
      <c r="O16" s="65">
        <f t="shared" si="9"/>
        <v>1</v>
      </c>
      <c r="P16" s="65">
        <f t="shared" si="9"/>
        <v>1</v>
      </c>
      <c r="Q16" s="65">
        <f t="shared" si="9"/>
        <v>1</v>
      </c>
      <c r="R16" s="65">
        <f t="shared" si="9"/>
        <v>1</v>
      </c>
      <c r="S16" s="65">
        <f t="shared" si="9"/>
        <v>1</v>
      </c>
      <c r="T16" s="65">
        <f t="shared" si="9"/>
        <v>1</v>
      </c>
      <c r="U16" s="65">
        <f t="shared" si="9"/>
        <v>1</v>
      </c>
      <c r="V16" s="65">
        <f t="shared" si="9"/>
        <v>1</v>
      </c>
      <c r="W16" s="65">
        <f t="shared" si="9"/>
        <v>1</v>
      </c>
      <c r="X16" s="65">
        <f t="shared" si="9"/>
        <v>1</v>
      </c>
      <c r="Y16" s="65">
        <f t="shared" si="9"/>
        <v>1</v>
      </c>
      <c r="Z16" s="65">
        <f t="shared" si="9"/>
        <v>1</v>
      </c>
      <c r="AA16" s="65">
        <f t="shared" si="9"/>
        <v>1</v>
      </c>
      <c r="AB16" s="65">
        <f t="shared" si="9"/>
        <v>1</v>
      </c>
      <c r="AC16" s="65">
        <f t="shared" si="9"/>
        <v>1</v>
      </c>
      <c r="AD16" s="65">
        <f t="shared" si="9"/>
        <v>1</v>
      </c>
      <c r="AE16" s="65">
        <f t="shared" si="9"/>
        <v>1</v>
      </c>
      <c r="AF16" s="65">
        <f t="shared" si="9"/>
        <v>1</v>
      </c>
      <c r="AG16" s="65">
        <f t="shared" si="9"/>
        <v>1</v>
      </c>
      <c r="AH16" s="65">
        <f t="shared" si="9"/>
        <v>1</v>
      </c>
      <c r="AI16" s="65">
        <f t="shared" si="9"/>
        <v>1</v>
      </c>
      <c r="AJ16" s="65">
        <f t="shared" si="9"/>
        <v>1</v>
      </c>
      <c r="AK16" s="65">
        <f t="shared" si="9"/>
        <v>1</v>
      </c>
      <c r="AL16" s="65">
        <f t="shared" si="9"/>
        <v>1</v>
      </c>
      <c r="AM16" s="65">
        <f t="shared" si="9"/>
        <v>1</v>
      </c>
      <c r="AN16" s="65">
        <f t="shared" si="9"/>
        <v>1</v>
      </c>
      <c r="AO16" s="65">
        <f t="shared" si="9"/>
        <v>1</v>
      </c>
      <c r="AP16" s="65">
        <f t="shared" si="9"/>
        <v>1</v>
      </c>
      <c r="AQ16" s="65">
        <f t="shared" si="9"/>
        <v>1</v>
      </c>
      <c r="AR16" s="65">
        <f t="shared" si="9"/>
        <v>1</v>
      </c>
      <c r="AS16" s="65">
        <f t="shared" si="9"/>
        <v>1</v>
      </c>
      <c r="AT16" s="65">
        <f t="shared" si="9"/>
        <v>1</v>
      </c>
      <c r="AU16" s="65">
        <f t="shared" si="9"/>
        <v>1</v>
      </c>
      <c r="AV16" s="65">
        <f t="shared" si="9"/>
        <v>1</v>
      </c>
      <c r="AW16" s="65">
        <f t="shared" si="9"/>
        <v>1</v>
      </c>
      <c r="AX16" s="65">
        <f t="shared" si="9"/>
        <v>1</v>
      </c>
      <c r="AY16" s="65">
        <f t="shared" si="9"/>
        <v>1</v>
      </c>
      <c r="AZ16" s="65">
        <f t="shared" si="9"/>
        <v>1</v>
      </c>
      <c r="BA16" s="65"/>
      <c r="BB16" s="65">
        <f t="shared" si="2"/>
        <v>50</v>
      </c>
    </row>
    <row r="17" spans="1:43">
      <c r="A17" s="72"/>
      <c r="B17" s="72"/>
      <c r="C17" s="72"/>
      <c r="D17" s="72"/>
      <c r="E17" s="72"/>
    </row>
    <row r="18" spans="1:43">
      <c r="A18" s="72"/>
      <c r="B18" s="72" t="s">
        <v>155</v>
      </c>
      <c r="C18" s="73"/>
      <c r="D18" s="73"/>
      <c r="E18" s="72"/>
      <c r="R18" s="63"/>
      <c r="AG18" s="62"/>
    </row>
    <row r="19" spans="1:43">
      <c r="A19" s="72"/>
      <c r="B19" s="72" t="s">
        <v>1</v>
      </c>
      <c r="C19" s="73" t="s">
        <v>157</v>
      </c>
      <c r="D19" s="73" t="s">
        <v>158</v>
      </c>
      <c r="E19" s="72" t="s">
        <v>159</v>
      </c>
      <c r="F19" t="s">
        <v>160</v>
      </c>
      <c r="G19" t="s">
        <v>161</v>
      </c>
      <c r="H19" t="s">
        <v>162</v>
      </c>
      <c r="I19" t="s">
        <v>163</v>
      </c>
      <c r="J19" t="s">
        <v>164</v>
      </c>
      <c r="K19" t="s">
        <v>165</v>
      </c>
      <c r="L19" t="s">
        <v>166</v>
      </c>
      <c r="M19" t="s">
        <v>167</v>
      </c>
      <c r="N19" t="s">
        <v>168</v>
      </c>
      <c r="O19" t="s">
        <v>169</v>
      </c>
      <c r="P19" t="s">
        <v>170</v>
      </c>
      <c r="Q19" t="s">
        <v>171</v>
      </c>
      <c r="R19" s="63" t="s">
        <v>172</v>
      </c>
      <c r="S19" t="s">
        <v>173</v>
      </c>
      <c r="T19" t="s">
        <v>174</v>
      </c>
      <c r="U19" t="s">
        <v>175</v>
      </c>
      <c r="V19" t="s">
        <v>176</v>
      </c>
      <c r="W19" t="s">
        <v>177</v>
      </c>
      <c r="X19" t="s">
        <v>178</v>
      </c>
      <c r="Y19" t="s">
        <v>179</v>
      </c>
      <c r="Z19" t="s">
        <v>180</v>
      </c>
      <c r="AA19" t="s">
        <v>181</v>
      </c>
      <c r="AB19" t="s">
        <v>182</v>
      </c>
      <c r="AC19" t="s">
        <v>183</v>
      </c>
      <c r="AD19" t="s">
        <v>184</v>
      </c>
      <c r="AE19" t="s">
        <v>185</v>
      </c>
      <c r="AF19" t="s">
        <v>186</v>
      </c>
      <c r="AG19" s="62" t="s">
        <v>187</v>
      </c>
      <c r="AH19" t="s">
        <v>188</v>
      </c>
      <c r="AI19" t="s">
        <v>189</v>
      </c>
      <c r="AJ19" t="s">
        <v>190</v>
      </c>
      <c r="AK19" t="s">
        <v>191</v>
      </c>
      <c r="AL19" t="s">
        <v>192</v>
      </c>
      <c r="AM19" t="s">
        <v>193</v>
      </c>
      <c r="AN19" t="s">
        <v>194</v>
      </c>
      <c r="AO19" t="s">
        <v>195</v>
      </c>
    </row>
    <row r="20" spans="1:43">
      <c r="A20" s="72"/>
      <c r="B20" s="72" t="s">
        <v>104</v>
      </c>
      <c r="C20" s="73">
        <v>294.1078938</v>
      </c>
      <c r="D20" s="73">
        <v>244.13002773067331</v>
      </c>
      <c r="E20" s="72">
        <v>381.64318552204242</v>
      </c>
      <c r="F20">
        <v>439.06690559999998</v>
      </c>
      <c r="G20">
        <v>328.66620840000002</v>
      </c>
      <c r="H20">
        <v>437.77548360000003</v>
      </c>
      <c r="I20">
        <v>198.97152840000001</v>
      </c>
      <c r="J20">
        <v>345.26823239999999</v>
      </c>
      <c r="K20">
        <v>198.00468839999999</v>
      </c>
      <c r="L20">
        <v>606.50563799999998</v>
      </c>
      <c r="M20">
        <v>299.22731160000001</v>
      </c>
      <c r="N20">
        <v>395.4915184275186</v>
      </c>
      <c r="O20">
        <v>206.45833952153126</v>
      </c>
      <c r="P20">
        <v>59.098647480000004</v>
      </c>
      <c r="Q20">
        <v>230.37311040000003</v>
      </c>
      <c r="R20" s="63">
        <v>58.345037529691275</v>
      </c>
      <c r="S20">
        <v>322.73682407767012</v>
      </c>
      <c r="T20">
        <v>74.143920960000003</v>
      </c>
      <c r="U20">
        <v>300.85545878934641</v>
      </c>
      <c r="V20">
        <v>223.82413048543702</v>
      </c>
      <c r="W20">
        <v>131.31218957345988</v>
      </c>
      <c r="X20">
        <v>309.21574941995414</v>
      </c>
      <c r="Y20">
        <v>278.69532390697725</v>
      </c>
      <c r="Z20">
        <v>344.52706569343081</v>
      </c>
      <c r="AA20">
        <v>502.34210556900763</v>
      </c>
      <c r="AB20">
        <v>388.23934693877624</v>
      </c>
      <c r="AC20">
        <v>396.42314932126772</v>
      </c>
      <c r="AD20">
        <v>726.48823316397352</v>
      </c>
      <c r="AE20">
        <v>683.69400000000132</v>
      </c>
      <c r="AF20">
        <v>327.36062704587238</v>
      </c>
      <c r="AG20" s="62">
        <v>201.50153118976638</v>
      </c>
      <c r="AH20">
        <v>459.88592696573477</v>
      </c>
      <c r="AI20">
        <v>324.51886713525619</v>
      </c>
      <c r="AJ20">
        <v>187.14779442763972</v>
      </c>
      <c r="AK20">
        <v>581.13449583807756</v>
      </c>
      <c r="AL20">
        <v>210.65363157796301</v>
      </c>
      <c r="AM20">
        <v>548.54739467946615</v>
      </c>
      <c r="AN20">
        <v>240.0037196627641</v>
      </c>
      <c r="AO20">
        <v>272.47557942762131</v>
      </c>
      <c r="AQ20" t="s">
        <v>196</v>
      </c>
    </row>
    <row r="21" spans="1:43">
      <c r="A21" s="65">
        <v>1</v>
      </c>
      <c r="B21" s="65">
        <v>-1</v>
      </c>
      <c r="C21" s="65">
        <f>IF((AND(C$20&lt;$B22,C$20&gt;$B21)),1,0)</f>
        <v>0</v>
      </c>
      <c r="D21" s="65">
        <f t="shared" ref="D21:I30" si="10">IF((AND(D$20&lt;$B22,D$20&gt;$B21)),1,0)</f>
        <v>0</v>
      </c>
      <c r="E21" s="65">
        <f t="shared" si="10"/>
        <v>0</v>
      </c>
      <c r="F21" s="66">
        <f t="shared" si="10"/>
        <v>0</v>
      </c>
      <c r="G21" s="66">
        <f t="shared" si="10"/>
        <v>0</v>
      </c>
      <c r="H21" s="66">
        <f t="shared" si="10"/>
        <v>0</v>
      </c>
      <c r="I21" s="66">
        <f t="shared" si="10"/>
        <v>0</v>
      </c>
      <c r="J21" s="66">
        <f t="shared" ref="J21:J30" si="11">IF((AND(J$20&lt;$B22,J$20&gt;$B21)),1,0)</f>
        <v>0</v>
      </c>
      <c r="K21" s="66">
        <f t="shared" ref="K21:K30" si="12">IF((AND(K$20&lt;$B22,K$20&gt;$B21)),1,0)</f>
        <v>0</v>
      </c>
      <c r="L21" s="66">
        <f t="shared" ref="L21:L30" si="13">IF((AND(L$20&lt;$B22,L$20&gt;$B21)),1,0)</f>
        <v>0</v>
      </c>
      <c r="M21" s="66">
        <f t="shared" ref="M21:M30" si="14">IF((AND(M$20&lt;$B22,M$20&gt;$B21)),1,0)</f>
        <v>0</v>
      </c>
      <c r="N21" s="66">
        <f t="shared" ref="N21:N30" si="15">IF((AND(N$20&lt;$B22,N$20&gt;$B21)),1,0)</f>
        <v>0</v>
      </c>
      <c r="O21" s="66">
        <f t="shared" ref="O21:O30" si="16">IF((AND(O$20&lt;$B22,O$20&gt;$B21)),1,0)</f>
        <v>0</v>
      </c>
      <c r="P21" s="66">
        <f t="shared" ref="P21:P30" si="17">IF((AND(P$20&lt;$B22,P$20&gt;$B21)),1,0)</f>
        <v>1</v>
      </c>
      <c r="Q21" s="66">
        <f t="shared" ref="Q21:Q30" si="18">IF((AND(Q$20&lt;$B22,Q$20&gt;$B21)),1,0)</f>
        <v>0</v>
      </c>
      <c r="R21" s="66">
        <f t="shared" ref="R21:R30" si="19">IF((AND(R$20&lt;$B22,R$20&gt;$B21)),1,0)</f>
        <v>1</v>
      </c>
      <c r="S21" s="66">
        <f t="shared" ref="S21:S30" si="20">IF((AND(S$20&lt;$B22,S$20&gt;$B21)),1,0)</f>
        <v>0</v>
      </c>
      <c r="T21" s="66">
        <f t="shared" ref="T21:T30" si="21">IF((AND(T$20&lt;$B22,T$20&gt;$B21)),1,0)</f>
        <v>1</v>
      </c>
      <c r="U21" s="66">
        <f t="shared" ref="U21:U30" si="22">IF((AND(U$20&lt;$B22,U$20&gt;$B21)),1,0)</f>
        <v>0</v>
      </c>
      <c r="V21" s="66">
        <f t="shared" ref="V21:V30" si="23">IF((AND(V$20&lt;$B22,V$20&gt;$B21)),1,0)</f>
        <v>0</v>
      </c>
      <c r="W21" s="66">
        <f t="shared" ref="W21:W30" si="24">IF((AND(W$20&lt;$B22,W$20&gt;$B21)),1,0)</f>
        <v>0</v>
      </c>
      <c r="X21" s="66">
        <f t="shared" ref="X21:X30" si="25">IF((AND(X$20&lt;$B22,X$20&gt;$B21)),1,0)</f>
        <v>0</v>
      </c>
      <c r="Y21" s="66">
        <f t="shared" ref="Y21:Y30" si="26">IF((AND(Y$20&lt;$B22,Y$20&gt;$B21)),1,0)</f>
        <v>0</v>
      </c>
      <c r="Z21" s="66">
        <f t="shared" ref="Z21:Z30" si="27">IF((AND(Z$20&lt;$B22,Z$20&gt;$B21)),1,0)</f>
        <v>0</v>
      </c>
      <c r="AA21" s="66">
        <f t="shared" ref="AA21:AA30" si="28">IF((AND(AA$20&lt;$B22,AA$20&gt;$B21)),1,0)</f>
        <v>0</v>
      </c>
      <c r="AB21" s="66">
        <f t="shared" ref="AB21:AB30" si="29">IF((AND(AB$20&lt;$B22,AB$20&gt;$B21)),1,0)</f>
        <v>0</v>
      </c>
      <c r="AC21" s="66">
        <f t="shared" ref="AC21:AC30" si="30">IF((AND(AC$20&lt;$B22,AC$20&gt;$B21)),1,0)</f>
        <v>0</v>
      </c>
      <c r="AD21" s="66">
        <f t="shared" ref="AD21:AD30" si="31">IF((AND(AD$20&lt;$B22,AD$20&gt;$B21)),1,0)</f>
        <v>0</v>
      </c>
      <c r="AE21" s="66">
        <f t="shared" ref="AE21:AE30" si="32">IF((AND(AE$20&lt;$B22,AE$20&gt;$B21)),1,0)</f>
        <v>0</v>
      </c>
      <c r="AF21" s="66">
        <f t="shared" ref="AF21:AF30" si="33">IF((AND(AF$20&lt;$B22,AF$20&gt;$B21)),1,0)</f>
        <v>0</v>
      </c>
      <c r="AG21" s="66">
        <f t="shared" ref="AG21:AG30" si="34">IF((AND(AG$20&lt;$B22,AG$20&gt;$B21)),1,0)</f>
        <v>0</v>
      </c>
      <c r="AH21" s="66">
        <f t="shared" ref="AH21:AH30" si="35">IF((AND(AH$20&lt;$B22,AH$20&gt;$B21)),1,0)</f>
        <v>0</v>
      </c>
      <c r="AI21" s="66">
        <f t="shared" ref="AI21:AI30" si="36">IF((AND(AI$20&lt;$B22,AI$20&gt;$B21)),1,0)</f>
        <v>0</v>
      </c>
      <c r="AJ21" s="66">
        <f t="shared" ref="AJ21:AJ30" si="37">IF((AND(AJ$20&lt;$B22,AJ$20&gt;$B21)),1,0)</f>
        <v>0</v>
      </c>
      <c r="AK21" s="66">
        <f t="shared" ref="AK21:AK30" si="38">IF((AND(AK$20&lt;$B22,AK$20&gt;$B21)),1,0)</f>
        <v>0</v>
      </c>
      <c r="AL21" s="66">
        <f t="shared" ref="AL21:AL30" si="39">IF((AND(AL$20&lt;$B22,AL$20&gt;$B21)),1,0)</f>
        <v>0</v>
      </c>
      <c r="AM21" s="66">
        <f t="shared" ref="AM21:AM30" si="40">IF((AND(AM$20&lt;$B22,AM$20&gt;$B21)),1,0)</f>
        <v>0</v>
      </c>
      <c r="AN21" s="66">
        <f t="shared" ref="AN21:AN30" si="41">IF((AND(AN$20&lt;$B22,AN$20&gt;$B21)),1,0)</f>
        <v>0</v>
      </c>
      <c r="AO21" s="66">
        <f t="shared" ref="AO21:AO30" si="42">IF((AND(AO$20&lt;$B22,AO$20&gt;$B21)),1,0)</f>
        <v>0</v>
      </c>
      <c r="AP21" s="66"/>
      <c r="AQ21" s="66">
        <f>SUM(C21:AO21)</f>
        <v>3</v>
      </c>
    </row>
    <row r="22" spans="1:43">
      <c r="A22" s="65">
        <v>2</v>
      </c>
      <c r="B22" s="65">
        <v>100</v>
      </c>
      <c r="C22" s="65">
        <f t="shared" ref="C22:C30" si="43">IF((AND(C$20&lt;$B23,C$20&gt;$B22)),1,0)</f>
        <v>0</v>
      </c>
      <c r="D22" s="65">
        <f t="shared" si="10"/>
        <v>0</v>
      </c>
      <c r="E22" s="65">
        <f t="shared" si="10"/>
        <v>0</v>
      </c>
      <c r="F22" s="66">
        <f t="shared" si="10"/>
        <v>0</v>
      </c>
      <c r="G22" s="66">
        <f t="shared" si="10"/>
        <v>0</v>
      </c>
      <c r="H22" s="66">
        <f t="shared" si="10"/>
        <v>0</v>
      </c>
      <c r="I22" s="66">
        <f t="shared" si="10"/>
        <v>1</v>
      </c>
      <c r="J22" s="66">
        <f t="shared" si="11"/>
        <v>0</v>
      </c>
      <c r="K22" s="66">
        <f t="shared" si="12"/>
        <v>1</v>
      </c>
      <c r="L22" s="66">
        <f t="shared" si="13"/>
        <v>0</v>
      </c>
      <c r="M22" s="66">
        <f t="shared" si="14"/>
        <v>0</v>
      </c>
      <c r="N22" s="66">
        <f t="shared" si="15"/>
        <v>0</v>
      </c>
      <c r="O22" s="66">
        <f t="shared" si="16"/>
        <v>0</v>
      </c>
      <c r="P22" s="66">
        <f t="shared" si="17"/>
        <v>0</v>
      </c>
      <c r="Q22" s="66">
        <f t="shared" si="18"/>
        <v>0</v>
      </c>
      <c r="R22" s="66">
        <f t="shared" si="19"/>
        <v>0</v>
      </c>
      <c r="S22" s="66">
        <f t="shared" si="20"/>
        <v>0</v>
      </c>
      <c r="T22" s="66">
        <f t="shared" si="21"/>
        <v>0</v>
      </c>
      <c r="U22" s="66">
        <f t="shared" si="22"/>
        <v>0</v>
      </c>
      <c r="V22" s="66">
        <f t="shared" si="23"/>
        <v>0</v>
      </c>
      <c r="W22" s="66">
        <f t="shared" si="24"/>
        <v>1</v>
      </c>
      <c r="X22" s="66">
        <f t="shared" si="25"/>
        <v>0</v>
      </c>
      <c r="Y22" s="66">
        <f t="shared" si="26"/>
        <v>0</v>
      </c>
      <c r="Z22" s="66">
        <f t="shared" si="27"/>
        <v>0</v>
      </c>
      <c r="AA22" s="66">
        <f t="shared" si="28"/>
        <v>0</v>
      </c>
      <c r="AB22" s="66">
        <f t="shared" si="29"/>
        <v>0</v>
      </c>
      <c r="AC22" s="66">
        <f t="shared" si="30"/>
        <v>0</v>
      </c>
      <c r="AD22" s="66">
        <f t="shared" si="31"/>
        <v>0</v>
      </c>
      <c r="AE22" s="66">
        <f t="shared" si="32"/>
        <v>0</v>
      </c>
      <c r="AF22" s="66">
        <f t="shared" si="33"/>
        <v>0</v>
      </c>
      <c r="AG22" s="66">
        <f t="shared" si="34"/>
        <v>0</v>
      </c>
      <c r="AH22" s="66">
        <f t="shared" si="35"/>
        <v>0</v>
      </c>
      <c r="AI22" s="66">
        <f t="shared" si="36"/>
        <v>0</v>
      </c>
      <c r="AJ22" s="66">
        <f t="shared" si="37"/>
        <v>1</v>
      </c>
      <c r="AK22" s="66">
        <f t="shared" si="38"/>
        <v>0</v>
      </c>
      <c r="AL22" s="66">
        <f t="shared" si="39"/>
        <v>0</v>
      </c>
      <c r="AM22" s="66">
        <f t="shared" si="40"/>
        <v>0</v>
      </c>
      <c r="AN22" s="66">
        <f t="shared" si="41"/>
        <v>0</v>
      </c>
      <c r="AO22" s="66">
        <f t="shared" si="42"/>
        <v>0</v>
      </c>
      <c r="AP22" s="66"/>
      <c r="AQ22" s="66">
        <f t="shared" ref="AQ22:AQ31" si="44">SUM(C22:AO22)</f>
        <v>4</v>
      </c>
    </row>
    <row r="23" spans="1:43">
      <c r="A23" s="65">
        <v>3</v>
      </c>
      <c r="B23" s="65">
        <v>200</v>
      </c>
      <c r="C23" s="65">
        <f t="shared" si="43"/>
        <v>1</v>
      </c>
      <c r="D23" s="65">
        <f t="shared" si="10"/>
        <v>1</v>
      </c>
      <c r="E23" s="65">
        <f t="shared" si="10"/>
        <v>0</v>
      </c>
      <c r="F23" s="66">
        <f t="shared" si="10"/>
        <v>0</v>
      </c>
      <c r="G23" s="66">
        <f t="shared" si="10"/>
        <v>0</v>
      </c>
      <c r="H23" s="66">
        <f t="shared" si="10"/>
        <v>0</v>
      </c>
      <c r="I23" s="66">
        <f t="shared" si="10"/>
        <v>0</v>
      </c>
      <c r="J23" s="66">
        <f t="shared" si="11"/>
        <v>0</v>
      </c>
      <c r="K23" s="66">
        <f t="shared" si="12"/>
        <v>0</v>
      </c>
      <c r="L23" s="66">
        <f t="shared" si="13"/>
        <v>0</v>
      </c>
      <c r="M23" s="66">
        <f t="shared" si="14"/>
        <v>1</v>
      </c>
      <c r="N23" s="66">
        <f t="shared" si="15"/>
        <v>0</v>
      </c>
      <c r="O23" s="66">
        <f t="shared" si="16"/>
        <v>1</v>
      </c>
      <c r="P23" s="66">
        <f t="shared" si="17"/>
        <v>0</v>
      </c>
      <c r="Q23" s="66">
        <f t="shared" si="18"/>
        <v>1</v>
      </c>
      <c r="R23" s="66">
        <f t="shared" si="19"/>
        <v>0</v>
      </c>
      <c r="S23" s="66">
        <f t="shared" si="20"/>
        <v>0</v>
      </c>
      <c r="T23" s="66">
        <f t="shared" si="21"/>
        <v>0</v>
      </c>
      <c r="U23" s="66">
        <f t="shared" si="22"/>
        <v>0</v>
      </c>
      <c r="V23" s="66">
        <f t="shared" si="23"/>
        <v>1</v>
      </c>
      <c r="W23" s="66">
        <f t="shared" si="24"/>
        <v>0</v>
      </c>
      <c r="X23" s="66">
        <f t="shared" si="25"/>
        <v>0</v>
      </c>
      <c r="Y23" s="66">
        <f t="shared" si="26"/>
        <v>1</v>
      </c>
      <c r="Z23" s="66">
        <f t="shared" si="27"/>
        <v>0</v>
      </c>
      <c r="AA23" s="66">
        <f t="shared" si="28"/>
        <v>0</v>
      </c>
      <c r="AB23" s="66">
        <f t="shared" si="29"/>
        <v>0</v>
      </c>
      <c r="AC23" s="66">
        <f t="shared" si="30"/>
        <v>0</v>
      </c>
      <c r="AD23" s="66">
        <f t="shared" si="31"/>
        <v>0</v>
      </c>
      <c r="AE23" s="66">
        <f t="shared" si="32"/>
        <v>0</v>
      </c>
      <c r="AF23" s="66">
        <f t="shared" si="33"/>
        <v>0</v>
      </c>
      <c r="AG23" s="66">
        <f t="shared" si="34"/>
        <v>1</v>
      </c>
      <c r="AH23" s="66">
        <f t="shared" si="35"/>
        <v>0</v>
      </c>
      <c r="AI23" s="66">
        <f t="shared" si="36"/>
        <v>0</v>
      </c>
      <c r="AJ23" s="66">
        <f t="shared" si="37"/>
        <v>0</v>
      </c>
      <c r="AK23" s="66">
        <f t="shared" si="38"/>
        <v>0</v>
      </c>
      <c r="AL23" s="66">
        <f t="shared" si="39"/>
        <v>1</v>
      </c>
      <c r="AM23" s="66">
        <f t="shared" si="40"/>
        <v>0</v>
      </c>
      <c r="AN23" s="66">
        <f t="shared" si="41"/>
        <v>1</v>
      </c>
      <c r="AO23" s="66">
        <f t="shared" si="42"/>
        <v>1</v>
      </c>
      <c r="AP23" s="66"/>
      <c r="AQ23" s="66">
        <f t="shared" si="44"/>
        <v>11</v>
      </c>
    </row>
    <row r="24" spans="1:43">
      <c r="A24" s="65">
        <v>4</v>
      </c>
      <c r="B24" s="65">
        <v>300</v>
      </c>
      <c r="C24" s="65">
        <f t="shared" si="43"/>
        <v>0</v>
      </c>
      <c r="D24" s="65">
        <f t="shared" si="10"/>
        <v>0</v>
      </c>
      <c r="E24" s="65">
        <f t="shared" si="10"/>
        <v>1</v>
      </c>
      <c r="F24" s="66">
        <f t="shared" si="10"/>
        <v>0</v>
      </c>
      <c r="G24" s="66">
        <f t="shared" si="10"/>
        <v>1</v>
      </c>
      <c r="H24" s="66">
        <f t="shared" si="10"/>
        <v>0</v>
      </c>
      <c r="I24" s="66">
        <f t="shared" si="10"/>
        <v>0</v>
      </c>
      <c r="J24" s="66">
        <f t="shared" si="11"/>
        <v>1</v>
      </c>
      <c r="K24" s="66">
        <f t="shared" si="12"/>
        <v>0</v>
      </c>
      <c r="L24" s="66">
        <f t="shared" si="13"/>
        <v>0</v>
      </c>
      <c r="M24" s="66">
        <f t="shared" si="14"/>
        <v>0</v>
      </c>
      <c r="N24" s="66">
        <f t="shared" si="15"/>
        <v>1</v>
      </c>
      <c r="O24" s="66">
        <f t="shared" si="16"/>
        <v>0</v>
      </c>
      <c r="P24" s="66">
        <f t="shared" si="17"/>
        <v>0</v>
      </c>
      <c r="Q24" s="66">
        <f t="shared" si="18"/>
        <v>0</v>
      </c>
      <c r="R24" s="66">
        <f t="shared" si="19"/>
        <v>0</v>
      </c>
      <c r="S24" s="66">
        <f t="shared" si="20"/>
        <v>1</v>
      </c>
      <c r="T24" s="66">
        <f t="shared" si="21"/>
        <v>0</v>
      </c>
      <c r="U24" s="66">
        <f t="shared" si="22"/>
        <v>1</v>
      </c>
      <c r="V24" s="66">
        <f t="shared" si="23"/>
        <v>0</v>
      </c>
      <c r="W24" s="66">
        <f t="shared" si="24"/>
        <v>0</v>
      </c>
      <c r="X24" s="66">
        <f t="shared" si="25"/>
        <v>1</v>
      </c>
      <c r="Y24" s="66">
        <f t="shared" si="26"/>
        <v>0</v>
      </c>
      <c r="Z24" s="66">
        <f t="shared" si="27"/>
        <v>1</v>
      </c>
      <c r="AA24" s="66">
        <f t="shared" si="28"/>
        <v>0</v>
      </c>
      <c r="AB24" s="66">
        <f t="shared" si="29"/>
        <v>1</v>
      </c>
      <c r="AC24" s="66">
        <f t="shared" si="30"/>
        <v>1</v>
      </c>
      <c r="AD24" s="66">
        <f t="shared" si="31"/>
        <v>0</v>
      </c>
      <c r="AE24" s="66">
        <f t="shared" si="32"/>
        <v>0</v>
      </c>
      <c r="AF24" s="66">
        <f t="shared" si="33"/>
        <v>1</v>
      </c>
      <c r="AG24" s="66">
        <f t="shared" si="34"/>
        <v>0</v>
      </c>
      <c r="AH24" s="66">
        <f t="shared" si="35"/>
        <v>0</v>
      </c>
      <c r="AI24" s="66">
        <f t="shared" si="36"/>
        <v>1</v>
      </c>
      <c r="AJ24" s="66">
        <f t="shared" si="37"/>
        <v>0</v>
      </c>
      <c r="AK24" s="66">
        <f t="shared" si="38"/>
        <v>0</v>
      </c>
      <c r="AL24" s="66">
        <f t="shared" si="39"/>
        <v>0</v>
      </c>
      <c r="AM24" s="66">
        <f t="shared" si="40"/>
        <v>0</v>
      </c>
      <c r="AN24" s="66">
        <f t="shared" si="41"/>
        <v>0</v>
      </c>
      <c r="AO24" s="66">
        <f t="shared" si="42"/>
        <v>0</v>
      </c>
      <c r="AP24" s="66"/>
      <c r="AQ24" s="66">
        <f t="shared" si="44"/>
        <v>12</v>
      </c>
    </row>
    <row r="25" spans="1:43">
      <c r="A25" s="65">
        <v>5</v>
      </c>
      <c r="B25" s="65">
        <v>400</v>
      </c>
      <c r="C25" s="65">
        <f t="shared" si="43"/>
        <v>0</v>
      </c>
      <c r="D25" s="65">
        <f t="shared" si="10"/>
        <v>0</v>
      </c>
      <c r="E25" s="65">
        <f t="shared" si="10"/>
        <v>0</v>
      </c>
      <c r="F25" s="66">
        <f t="shared" si="10"/>
        <v>1</v>
      </c>
      <c r="G25" s="66">
        <f t="shared" si="10"/>
        <v>0</v>
      </c>
      <c r="H25" s="66">
        <f t="shared" si="10"/>
        <v>1</v>
      </c>
      <c r="I25" s="66">
        <f t="shared" si="10"/>
        <v>0</v>
      </c>
      <c r="J25" s="66">
        <f t="shared" si="11"/>
        <v>0</v>
      </c>
      <c r="K25" s="66">
        <f t="shared" si="12"/>
        <v>0</v>
      </c>
      <c r="L25" s="66">
        <f t="shared" si="13"/>
        <v>0</v>
      </c>
      <c r="M25" s="66">
        <f t="shared" si="14"/>
        <v>0</v>
      </c>
      <c r="N25" s="66">
        <f t="shared" si="15"/>
        <v>0</v>
      </c>
      <c r="O25" s="66">
        <f t="shared" si="16"/>
        <v>0</v>
      </c>
      <c r="P25" s="66">
        <f t="shared" si="17"/>
        <v>0</v>
      </c>
      <c r="Q25" s="66">
        <f t="shared" si="18"/>
        <v>0</v>
      </c>
      <c r="R25" s="66">
        <f t="shared" si="19"/>
        <v>0</v>
      </c>
      <c r="S25" s="66">
        <f t="shared" si="20"/>
        <v>0</v>
      </c>
      <c r="T25" s="66">
        <f t="shared" si="21"/>
        <v>0</v>
      </c>
      <c r="U25" s="66">
        <f t="shared" si="22"/>
        <v>0</v>
      </c>
      <c r="V25" s="66">
        <f t="shared" si="23"/>
        <v>0</v>
      </c>
      <c r="W25" s="66">
        <f t="shared" si="24"/>
        <v>0</v>
      </c>
      <c r="X25" s="66">
        <f t="shared" si="25"/>
        <v>0</v>
      </c>
      <c r="Y25" s="66">
        <f t="shared" si="26"/>
        <v>0</v>
      </c>
      <c r="Z25" s="66">
        <f t="shared" si="27"/>
        <v>0</v>
      </c>
      <c r="AA25" s="66">
        <f t="shared" si="28"/>
        <v>0</v>
      </c>
      <c r="AB25" s="66">
        <f t="shared" si="29"/>
        <v>0</v>
      </c>
      <c r="AC25" s="66">
        <f t="shared" si="30"/>
        <v>0</v>
      </c>
      <c r="AD25" s="66">
        <f t="shared" si="31"/>
        <v>0</v>
      </c>
      <c r="AE25" s="66">
        <f t="shared" si="32"/>
        <v>0</v>
      </c>
      <c r="AF25" s="66">
        <f t="shared" si="33"/>
        <v>0</v>
      </c>
      <c r="AG25" s="66">
        <f t="shared" si="34"/>
        <v>0</v>
      </c>
      <c r="AH25" s="66">
        <f t="shared" si="35"/>
        <v>1</v>
      </c>
      <c r="AI25" s="66">
        <f t="shared" si="36"/>
        <v>0</v>
      </c>
      <c r="AJ25" s="66">
        <f t="shared" si="37"/>
        <v>0</v>
      </c>
      <c r="AK25" s="66">
        <f t="shared" si="38"/>
        <v>0</v>
      </c>
      <c r="AL25" s="66">
        <f t="shared" si="39"/>
        <v>0</v>
      </c>
      <c r="AM25" s="66">
        <f t="shared" si="40"/>
        <v>0</v>
      </c>
      <c r="AN25" s="66">
        <f t="shared" si="41"/>
        <v>0</v>
      </c>
      <c r="AO25" s="66">
        <f t="shared" si="42"/>
        <v>0</v>
      </c>
      <c r="AP25" s="66"/>
      <c r="AQ25" s="66">
        <f t="shared" si="44"/>
        <v>3</v>
      </c>
    </row>
    <row r="26" spans="1:43">
      <c r="A26" s="65">
        <v>6</v>
      </c>
      <c r="B26" s="65">
        <v>500</v>
      </c>
      <c r="C26" s="65">
        <f t="shared" si="43"/>
        <v>0</v>
      </c>
      <c r="D26" s="65">
        <f t="shared" si="10"/>
        <v>0</v>
      </c>
      <c r="E26" s="65">
        <f t="shared" si="10"/>
        <v>0</v>
      </c>
      <c r="F26" s="66">
        <f t="shared" si="10"/>
        <v>0</v>
      </c>
      <c r="G26" s="66">
        <f t="shared" si="10"/>
        <v>0</v>
      </c>
      <c r="H26" s="66">
        <f t="shared" si="10"/>
        <v>0</v>
      </c>
      <c r="I26" s="66">
        <f t="shared" si="10"/>
        <v>0</v>
      </c>
      <c r="J26" s="66">
        <f t="shared" si="11"/>
        <v>0</v>
      </c>
      <c r="K26" s="66">
        <f t="shared" si="12"/>
        <v>0</v>
      </c>
      <c r="L26" s="66">
        <f t="shared" si="13"/>
        <v>0</v>
      </c>
      <c r="M26" s="66">
        <f t="shared" si="14"/>
        <v>0</v>
      </c>
      <c r="N26" s="66">
        <f t="shared" si="15"/>
        <v>0</v>
      </c>
      <c r="O26" s="66">
        <f t="shared" si="16"/>
        <v>0</v>
      </c>
      <c r="P26" s="66">
        <f t="shared" si="17"/>
        <v>0</v>
      </c>
      <c r="Q26" s="66">
        <f t="shared" si="18"/>
        <v>0</v>
      </c>
      <c r="R26" s="66">
        <f t="shared" si="19"/>
        <v>0</v>
      </c>
      <c r="S26" s="66">
        <f t="shared" si="20"/>
        <v>0</v>
      </c>
      <c r="T26" s="66">
        <f t="shared" si="21"/>
        <v>0</v>
      </c>
      <c r="U26" s="66">
        <f t="shared" si="22"/>
        <v>0</v>
      </c>
      <c r="V26" s="66">
        <f t="shared" si="23"/>
        <v>0</v>
      </c>
      <c r="W26" s="66">
        <f t="shared" si="24"/>
        <v>0</v>
      </c>
      <c r="X26" s="66">
        <f t="shared" si="25"/>
        <v>0</v>
      </c>
      <c r="Y26" s="66">
        <f t="shared" si="26"/>
        <v>0</v>
      </c>
      <c r="Z26" s="66">
        <f t="shared" si="27"/>
        <v>0</v>
      </c>
      <c r="AA26" s="66">
        <f t="shared" si="28"/>
        <v>1</v>
      </c>
      <c r="AB26" s="66">
        <f t="shared" si="29"/>
        <v>0</v>
      </c>
      <c r="AC26" s="66">
        <f t="shared" si="30"/>
        <v>0</v>
      </c>
      <c r="AD26" s="66">
        <f t="shared" si="31"/>
        <v>0</v>
      </c>
      <c r="AE26" s="66">
        <f t="shared" si="32"/>
        <v>0</v>
      </c>
      <c r="AF26" s="66">
        <f t="shared" si="33"/>
        <v>0</v>
      </c>
      <c r="AG26" s="66">
        <f t="shared" si="34"/>
        <v>0</v>
      </c>
      <c r="AH26" s="66">
        <f t="shared" si="35"/>
        <v>0</v>
      </c>
      <c r="AI26" s="66">
        <f t="shared" si="36"/>
        <v>0</v>
      </c>
      <c r="AJ26" s="66">
        <f t="shared" si="37"/>
        <v>0</v>
      </c>
      <c r="AK26" s="66">
        <f t="shared" si="38"/>
        <v>1</v>
      </c>
      <c r="AL26" s="66">
        <f t="shared" si="39"/>
        <v>0</v>
      </c>
      <c r="AM26" s="66">
        <f t="shared" si="40"/>
        <v>1</v>
      </c>
      <c r="AN26" s="66">
        <f t="shared" si="41"/>
        <v>0</v>
      </c>
      <c r="AO26" s="66">
        <f t="shared" si="42"/>
        <v>0</v>
      </c>
      <c r="AP26" s="66"/>
      <c r="AQ26" s="66">
        <f t="shared" si="44"/>
        <v>3</v>
      </c>
    </row>
    <row r="27" spans="1:43">
      <c r="A27" s="65">
        <v>7</v>
      </c>
      <c r="B27" s="65">
        <v>600</v>
      </c>
      <c r="C27" s="65">
        <f t="shared" si="43"/>
        <v>0</v>
      </c>
      <c r="D27" s="65">
        <f t="shared" si="10"/>
        <v>0</v>
      </c>
      <c r="E27" s="65">
        <f t="shared" si="10"/>
        <v>0</v>
      </c>
      <c r="F27" s="66">
        <f t="shared" si="10"/>
        <v>0</v>
      </c>
      <c r="G27" s="66">
        <f t="shared" si="10"/>
        <v>0</v>
      </c>
      <c r="H27" s="66">
        <f t="shared" si="10"/>
        <v>0</v>
      </c>
      <c r="I27" s="66">
        <f t="shared" si="10"/>
        <v>0</v>
      </c>
      <c r="J27" s="66">
        <f t="shared" si="11"/>
        <v>0</v>
      </c>
      <c r="K27" s="66">
        <f t="shared" si="12"/>
        <v>0</v>
      </c>
      <c r="L27" s="66">
        <f t="shared" si="13"/>
        <v>1</v>
      </c>
      <c r="M27" s="66">
        <f t="shared" si="14"/>
        <v>0</v>
      </c>
      <c r="N27" s="66">
        <f t="shared" si="15"/>
        <v>0</v>
      </c>
      <c r="O27" s="66">
        <f t="shared" si="16"/>
        <v>0</v>
      </c>
      <c r="P27" s="66">
        <f t="shared" si="17"/>
        <v>0</v>
      </c>
      <c r="Q27" s="66">
        <f t="shared" si="18"/>
        <v>0</v>
      </c>
      <c r="R27" s="66">
        <f t="shared" si="19"/>
        <v>0</v>
      </c>
      <c r="S27" s="66">
        <f t="shared" si="20"/>
        <v>0</v>
      </c>
      <c r="T27" s="66">
        <f t="shared" si="21"/>
        <v>0</v>
      </c>
      <c r="U27" s="66">
        <f t="shared" si="22"/>
        <v>0</v>
      </c>
      <c r="V27" s="66">
        <f t="shared" si="23"/>
        <v>0</v>
      </c>
      <c r="W27" s="66">
        <f t="shared" si="24"/>
        <v>0</v>
      </c>
      <c r="X27" s="66">
        <f t="shared" si="25"/>
        <v>0</v>
      </c>
      <c r="Y27" s="66">
        <f t="shared" si="26"/>
        <v>0</v>
      </c>
      <c r="Z27" s="66">
        <f t="shared" si="27"/>
        <v>0</v>
      </c>
      <c r="AA27" s="66">
        <f t="shared" si="28"/>
        <v>0</v>
      </c>
      <c r="AB27" s="66">
        <f t="shared" si="29"/>
        <v>0</v>
      </c>
      <c r="AC27" s="66">
        <f t="shared" si="30"/>
        <v>0</v>
      </c>
      <c r="AD27" s="66">
        <f t="shared" si="31"/>
        <v>0</v>
      </c>
      <c r="AE27" s="66">
        <f t="shared" si="32"/>
        <v>1</v>
      </c>
      <c r="AF27" s="66">
        <f t="shared" si="33"/>
        <v>0</v>
      </c>
      <c r="AG27" s="66">
        <f t="shared" si="34"/>
        <v>0</v>
      </c>
      <c r="AH27" s="66">
        <f t="shared" si="35"/>
        <v>0</v>
      </c>
      <c r="AI27" s="66">
        <f t="shared" si="36"/>
        <v>0</v>
      </c>
      <c r="AJ27" s="66">
        <f t="shared" si="37"/>
        <v>0</v>
      </c>
      <c r="AK27" s="66">
        <f t="shared" si="38"/>
        <v>0</v>
      </c>
      <c r="AL27" s="66">
        <f t="shared" si="39"/>
        <v>0</v>
      </c>
      <c r="AM27" s="66">
        <f t="shared" si="40"/>
        <v>0</v>
      </c>
      <c r="AN27" s="66">
        <f t="shared" si="41"/>
        <v>0</v>
      </c>
      <c r="AO27" s="66">
        <f t="shared" si="42"/>
        <v>0</v>
      </c>
      <c r="AP27" s="66"/>
      <c r="AQ27" s="66">
        <f t="shared" si="44"/>
        <v>2</v>
      </c>
    </row>
    <row r="28" spans="1:43">
      <c r="A28" s="65">
        <v>8</v>
      </c>
      <c r="B28" s="65">
        <v>700</v>
      </c>
      <c r="C28" s="65">
        <f t="shared" si="43"/>
        <v>0</v>
      </c>
      <c r="D28" s="65">
        <f t="shared" si="10"/>
        <v>0</v>
      </c>
      <c r="E28" s="65">
        <f t="shared" si="10"/>
        <v>0</v>
      </c>
      <c r="F28" s="66">
        <f t="shared" si="10"/>
        <v>0</v>
      </c>
      <c r="G28" s="66">
        <f t="shared" si="10"/>
        <v>0</v>
      </c>
      <c r="H28" s="66">
        <f t="shared" si="10"/>
        <v>0</v>
      </c>
      <c r="I28" s="66">
        <f t="shared" si="10"/>
        <v>0</v>
      </c>
      <c r="J28" s="66">
        <f t="shared" si="11"/>
        <v>0</v>
      </c>
      <c r="K28" s="66">
        <f t="shared" si="12"/>
        <v>0</v>
      </c>
      <c r="L28" s="66">
        <f t="shared" si="13"/>
        <v>0</v>
      </c>
      <c r="M28" s="66">
        <f t="shared" si="14"/>
        <v>0</v>
      </c>
      <c r="N28" s="66">
        <f t="shared" si="15"/>
        <v>0</v>
      </c>
      <c r="O28" s="66">
        <f t="shared" si="16"/>
        <v>0</v>
      </c>
      <c r="P28" s="66">
        <f t="shared" si="17"/>
        <v>0</v>
      </c>
      <c r="Q28" s="66">
        <f t="shared" si="18"/>
        <v>0</v>
      </c>
      <c r="R28" s="66">
        <f t="shared" si="19"/>
        <v>0</v>
      </c>
      <c r="S28" s="66">
        <f t="shared" si="20"/>
        <v>0</v>
      </c>
      <c r="T28" s="66">
        <f t="shared" si="21"/>
        <v>0</v>
      </c>
      <c r="U28" s="66">
        <f t="shared" si="22"/>
        <v>0</v>
      </c>
      <c r="V28" s="66">
        <f t="shared" si="23"/>
        <v>0</v>
      </c>
      <c r="W28" s="66">
        <f t="shared" si="24"/>
        <v>0</v>
      </c>
      <c r="X28" s="66">
        <f t="shared" si="25"/>
        <v>0</v>
      </c>
      <c r="Y28" s="66">
        <f t="shared" si="26"/>
        <v>0</v>
      </c>
      <c r="Z28" s="66">
        <f t="shared" si="27"/>
        <v>0</v>
      </c>
      <c r="AA28" s="66">
        <f t="shared" si="28"/>
        <v>0</v>
      </c>
      <c r="AB28" s="66">
        <f t="shared" si="29"/>
        <v>0</v>
      </c>
      <c r="AC28" s="66">
        <f t="shared" si="30"/>
        <v>0</v>
      </c>
      <c r="AD28" s="66">
        <f t="shared" si="31"/>
        <v>1</v>
      </c>
      <c r="AE28" s="66">
        <f t="shared" si="32"/>
        <v>0</v>
      </c>
      <c r="AF28" s="66">
        <f t="shared" si="33"/>
        <v>0</v>
      </c>
      <c r="AG28" s="66">
        <f t="shared" si="34"/>
        <v>0</v>
      </c>
      <c r="AH28" s="66">
        <f t="shared" si="35"/>
        <v>0</v>
      </c>
      <c r="AI28" s="66">
        <f t="shared" si="36"/>
        <v>0</v>
      </c>
      <c r="AJ28" s="66">
        <f t="shared" si="37"/>
        <v>0</v>
      </c>
      <c r="AK28" s="66">
        <f t="shared" si="38"/>
        <v>0</v>
      </c>
      <c r="AL28" s="66">
        <f t="shared" si="39"/>
        <v>0</v>
      </c>
      <c r="AM28" s="66">
        <f t="shared" si="40"/>
        <v>0</v>
      </c>
      <c r="AN28" s="66">
        <f t="shared" si="41"/>
        <v>0</v>
      </c>
      <c r="AO28" s="66">
        <f t="shared" si="42"/>
        <v>0</v>
      </c>
      <c r="AP28" s="66"/>
      <c r="AQ28" s="66">
        <f t="shared" si="44"/>
        <v>1</v>
      </c>
    </row>
    <row r="29" spans="1:43">
      <c r="A29" s="65">
        <v>9</v>
      </c>
      <c r="B29" s="65">
        <v>800</v>
      </c>
      <c r="C29" s="65">
        <f t="shared" si="43"/>
        <v>0</v>
      </c>
      <c r="D29" s="65">
        <f t="shared" si="10"/>
        <v>0</v>
      </c>
      <c r="E29" s="65">
        <f t="shared" si="10"/>
        <v>0</v>
      </c>
      <c r="F29" s="66">
        <f t="shared" si="10"/>
        <v>0</v>
      </c>
      <c r="G29" s="66">
        <f t="shared" si="10"/>
        <v>0</v>
      </c>
      <c r="H29" s="66">
        <f t="shared" si="10"/>
        <v>0</v>
      </c>
      <c r="I29" s="66">
        <f t="shared" si="10"/>
        <v>0</v>
      </c>
      <c r="J29" s="66">
        <f t="shared" si="11"/>
        <v>0</v>
      </c>
      <c r="K29" s="66">
        <f t="shared" si="12"/>
        <v>0</v>
      </c>
      <c r="L29" s="66">
        <f t="shared" si="13"/>
        <v>0</v>
      </c>
      <c r="M29" s="66">
        <f t="shared" si="14"/>
        <v>0</v>
      </c>
      <c r="N29" s="66">
        <f t="shared" si="15"/>
        <v>0</v>
      </c>
      <c r="O29" s="66">
        <f t="shared" si="16"/>
        <v>0</v>
      </c>
      <c r="P29" s="66">
        <f t="shared" si="17"/>
        <v>0</v>
      </c>
      <c r="Q29" s="66">
        <f t="shared" si="18"/>
        <v>0</v>
      </c>
      <c r="R29" s="66">
        <f t="shared" si="19"/>
        <v>0</v>
      </c>
      <c r="S29" s="66">
        <f t="shared" si="20"/>
        <v>0</v>
      </c>
      <c r="T29" s="66">
        <f t="shared" si="21"/>
        <v>0</v>
      </c>
      <c r="U29" s="66">
        <f t="shared" si="22"/>
        <v>0</v>
      </c>
      <c r="V29" s="66">
        <f t="shared" si="23"/>
        <v>0</v>
      </c>
      <c r="W29" s="66">
        <f t="shared" si="24"/>
        <v>0</v>
      </c>
      <c r="X29" s="66">
        <f t="shared" si="25"/>
        <v>0</v>
      </c>
      <c r="Y29" s="66">
        <f t="shared" si="26"/>
        <v>0</v>
      </c>
      <c r="Z29" s="66">
        <f t="shared" si="27"/>
        <v>0</v>
      </c>
      <c r="AA29" s="66">
        <f t="shared" si="28"/>
        <v>0</v>
      </c>
      <c r="AB29" s="66">
        <f t="shared" si="29"/>
        <v>0</v>
      </c>
      <c r="AC29" s="66">
        <f t="shared" si="30"/>
        <v>0</v>
      </c>
      <c r="AD29" s="66">
        <f t="shared" si="31"/>
        <v>0</v>
      </c>
      <c r="AE29" s="66">
        <f t="shared" si="32"/>
        <v>0</v>
      </c>
      <c r="AF29" s="66">
        <f t="shared" si="33"/>
        <v>0</v>
      </c>
      <c r="AG29" s="66">
        <f t="shared" si="34"/>
        <v>0</v>
      </c>
      <c r="AH29" s="66">
        <f t="shared" si="35"/>
        <v>0</v>
      </c>
      <c r="AI29" s="66">
        <f t="shared" si="36"/>
        <v>0</v>
      </c>
      <c r="AJ29" s="66">
        <f t="shared" si="37"/>
        <v>0</v>
      </c>
      <c r="AK29" s="66">
        <f t="shared" si="38"/>
        <v>0</v>
      </c>
      <c r="AL29" s="66">
        <f t="shared" si="39"/>
        <v>0</v>
      </c>
      <c r="AM29" s="66">
        <f t="shared" si="40"/>
        <v>0</v>
      </c>
      <c r="AN29" s="66">
        <f t="shared" si="41"/>
        <v>0</v>
      </c>
      <c r="AO29" s="66">
        <f t="shared" si="42"/>
        <v>0</v>
      </c>
      <c r="AP29" s="66"/>
      <c r="AQ29" s="66">
        <f t="shared" si="44"/>
        <v>0</v>
      </c>
    </row>
    <row r="30" spans="1:43">
      <c r="A30" s="65">
        <v>10</v>
      </c>
      <c r="B30" s="65">
        <v>900</v>
      </c>
      <c r="C30" s="65">
        <f t="shared" si="43"/>
        <v>0</v>
      </c>
      <c r="D30" s="65">
        <f t="shared" si="10"/>
        <v>0</v>
      </c>
      <c r="E30" s="65">
        <f t="shared" si="10"/>
        <v>0</v>
      </c>
      <c r="F30" s="66">
        <f t="shared" si="10"/>
        <v>0</v>
      </c>
      <c r="G30" s="66">
        <f t="shared" si="10"/>
        <v>0</v>
      </c>
      <c r="H30" s="66">
        <f t="shared" si="10"/>
        <v>0</v>
      </c>
      <c r="I30" s="66">
        <f t="shared" si="10"/>
        <v>0</v>
      </c>
      <c r="J30" s="66">
        <f t="shared" si="11"/>
        <v>0</v>
      </c>
      <c r="K30" s="66">
        <f t="shared" si="12"/>
        <v>0</v>
      </c>
      <c r="L30" s="66">
        <f t="shared" si="13"/>
        <v>0</v>
      </c>
      <c r="M30" s="66">
        <f t="shared" si="14"/>
        <v>0</v>
      </c>
      <c r="N30" s="66">
        <f t="shared" si="15"/>
        <v>0</v>
      </c>
      <c r="O30" s="66">
        <f t="shared" si="16"/>
        <v>0</v>
      </c>
      <c r="P30" s="66">
        <f t="shared" si="17"/>
        <v>0</v>
      </c>
      <c r="Q30" s="66">
        <f t="shared" si="18"/>
        <v>0</v>
      </c>
      <c r="R30" s="66">
        <f t="shared" si="19"/>
        <v>0</v>
      </c>
      <c r="S30" s="66">
        <f t="shared" si="20"/>
        <v>0</v>
      </c>
      <c r="T30" s="66">
        <f t="shared" si="21"/>
        <v>0</v>
      </c>
      <c r="U30" s="66">
        <f t="shared" si="22"/>
        <v>0</v>
      </c>
      <c r="V30" s="66">
        <f t="shared" si="23"/>
        <v>0</v>
      </c>
      <c r="W30" s="66">
        <f t="shared" si="24"/>
        <v>0</v>
      </c>
      <c r="X30" s="66">
        <f t="shared" si="25"/>
        <v>0</v>
      </c>
      <c r="Y30" s="66">
        <f t="shared" si="26"/>
        <v>0</v>
      </c>
      <c r="Z30" s="66">
        <f t="shared" si="27"/>
        <v>0</v>
      </c>
      <c r="AA30" s="66">
        <f t="shared" si="28"/>
        <v>0</v>
      </c>
      <c r="AB30" s="66">
        <f t="shared" si="29"/>
        <v>0</v>
      </c>
      <c r="AC30" s="66">
        <f t="shared" si="30"/>
        <v>0</v>
      </c>
      <c r="AD30" s="66">
        <f t="shared" si="31"/>
        <v>0</v>
      </c>
      <c r="AE30" s="66">
        <f t="shared" si="32"/>
        <v>0</v>
      </c>
      <c r="AF30" s="66">
        <f t="shared" si="33"/>
        <v>0</v>
      </c>
      <c r="AG30" s="66">
        <f t="shared" si="34"/>
        <v>0</v>
      </c>
      <c r="AH30" s="66">
        <f t="shared" si="35"/>
        <v>0</v>
      </c>
      <c r="AI30" s="66">
        <f t="shared" si="36"/>
        <v>0</v>
      </c>
      <c r="AJ30" s="66">
        <f t="shared" si="37"/>
        <v>0</v>
      </c>
      <c r="AK30" s="66">
        <f t="shared" si="38"/>
        <v>0</v>
      </c>
      <c r="AL30" s="66">
        <f t="shared" si="39"/>
        <v>0</v>
      </c>
      <c r="AM30" s="66">
        <f t="shared" si="40"/>
        <v>0</v>
      </c>
      <c r="AN30" s="66">
        <f t="shared" si="41"/>
        <v>0</v>
      </c>
      <c r="AO30" s="66">
        <f t="shared" si="42"/>
        <v>0</v>
      </c>
      <c r="AP30" s="66"/>
      <c r="AQ30" s="66">
        <f t="shared" si="44"/>
        <v>0</v>
      </c>
    </row>
    <row r="31" spans="1:43">
      <c r="A31" s="65">
        <v>11</v>
      </c>
      <c r="B31" s="65">
        <v>1000</v>
      </c>
      <c r="C31" s="65">
        <f>IF((AND(C$20&gt;$B31)),1,0)</f>
        <v>0</v>
      </c>
      <c r="D31" s="65">
        <f t="shared" ref="D31:AO31" si="45">IF((AND(D$20&gt;$B31)),1,0)</f>
        <v>0</v>
      </c>
      <c r="E31" s="65">
        <f t="shared" si="45"/>
        <v>0</v>
      </c>
      <c r="F31" s="66">
        <f t="shared" si="45"/>
        <v>0</v>
      </c>
      <c r="G31" s="66">
        <f t="shared" si="45"/>
        <v>0</v>
      </c>
      <c r="H31" s="66">
        <f t="shared" si="45"/>
        <v>0</v>
      </c>
      <c r="I31" s="66">
        <f t="shared" si="45"/>
        <v>0</v>
      </c>
      <c r="J31" s="66">
        <f t="shared" si="45"/>
        <v>0</v>
      </c>
      <c r="K31" s="66">
        <f t="shared" si="45"/>
        <v>0</v>
      </c>
      <c r="L31" s="66">
        <f t="shared" si="45"/>
        <v>0</v>
      </c>
      <c r="M31" s="66">
        <f t="shared" si="45"/>
        <v>0</v>
      </c>
      <c r="N31" s="66">
        <f t="shared" si="45"/>
        <v>0</v>
      </c>
      <c r="O31" s="66">
        <f t="shared" si="45"/>
        <v>0</v>
      </c>
      <c r="P31" s="66">
        <f t="shared" si="45"/>
        <v>0</v>
      </c>
      <c r="Q31" s="66">
        <f t="shared" si="45"/>
        <v>0</v>
      </c>
      <c r="R31" s="66">
        <f t="shared" si="45"/>
        <v>0</v>
      </c>
      <c r="S31" s="66">
        <f t="shared" si="45"/>
        <v>0</v>
      </c>
      <c r="T31" s="66">
        <f t="shared" si="45"/>
        <v>0</v>
      </c>
      <c r="U31" s="66">
        <f t="shared" si="45"/>
        <v>0</v>
      </c>
      <c r="V31" s="66">
        <f t="shared" si="45"/>
        <v>0</v>
      </c>
      <c r="W31" s="66">
        <f t="shared" si="45"/>
        <v>0</v>
      </c>
      <c r="X31" s="66">
        <f t="shared" si="45"/>
        <v>0</v>
      </c>
      <c r="Y31" s="66">
        <f t="shared" si="45"/>
        <v>0</v>
      </c>
      <c r="Z31" s="66">
        <f t="shared" si="45"/>
        <v>0</v>
      </c>
      <c r="AA31" s="66">
        <f t="shared" si="45"/>
        <v>0</v>
      </c>
      <c r="AB31" s="66">
        <f t="shared" si="45"/>
        <v>0</v>
      </c>
      <c r="AC31" s="66">
        <f t="shared" si="45"/>
        <v>0</v>
      </c>
      <c r="AD31" s="66">
        <f t="shared" si="45"/>
        <v>0</v>
      </c>
      <c r="AE31" s="66">
        <f t="shared" si="45"/>
        <v>0</v>
      </c>
      <c r="AF31" s="66">
        <f t="shared" si="45"/>
        <v>0</v>
      </c>
      <c r="AG31" s="66">
        <f t="shared" si="45"/>
        <v>0</v>
      </c>
      <c r="AH31" s="66">
        <f t="shared" si="45"/>
        <v>0</v>
      </c>
      <c r="AI31" s="66">
        <f t="shared" si="45"/>
        <v>0</v>
      </c>
      <c r="AJ31" s="66">
        <f t="shared" si="45"/>
        <v>0</v>
      </c>
      <c r="AK31" s="66">
        <f t="shared" si="45"/>
        <v>0</v>
      </c>
      <c r="AL31" s="66">
        <f t="shared" si="45"/>
        <v>0</v>
      </c>
      <c r="AM31" s="66">
        <f t="shared" si="45"/>
        <v>0</v>
      </c>
      <c r="AN31" s="66">
        <f t="shared" si="45"/>
        <v>0</v>
      </c>
      <c r="AO31" s="66">
        <f t="shared" si="45"/>
        <v>0</v>
      </c>
      <c r="AP31" s="66"/>
      <c r="AQ31" s="66">
        <f t="shared" si="44"/>
        <v>0</v>
      </c>
    </row>
    <row r="32" spans="1:43">
      <c r="A32" s="65"/>
      <c r="B32" s="65" t="s">
        <v>196</v>
      </c>
      <c r="C32" s="65">
        <f>SUM(C21:C31)</f>
        <v>1</v>
      </c>
      <c r="D32" s="65">
        <f t="shared" ref="D32:AO32" si="46">SUM(D21:D31)</f>
        <v>1</v>
      </c>
      <c r="E32" s="65">
        <f t="shared" si="46"/>
        <v>1</v>
      </c>
      <c r="F32" s="66">
        <f t="shared" si="46"/>
        <v>1</v>
      </c>
      <c r="G32" s="66">
        <f t="shared" si="46"/>
        <v>1</v>
      </c>
      <c r="H32" s="66">
        <f t="shared" si="46"/>
        <v>1</v>
      </c>
      <c r="I32" s="66">
        <f t="shared" si="46"/>
        <v>1</v>
      </c>
      <c r="J32" s="66">
        <f t="shared" si="46"/>
        <v>1</v>
      </c>
      <c r="K32" s="66">
        <f t="shared" si="46"/>
        <v>1</v>
      </c>
      <c r="L32" s="66">
        <f t="shared" si="46"/>
        <v>1</v>
      </c>
      <c r="M32" s="66">
        <f t="shared" si="46"/>
        <v>1</v>
      </c>
      <c r="N32" s="66">
        <f t="shared" si="46"/>
        <v>1</v>
      </c>
      <c r="O32" s="66">
        <f t="shared" si="46"/>
        <v>1</v>
      </c>
      <c r="P32" s="66">
        <f t="shared" si="46"/>
        <v>1</v>
      </c>
      <c r="Q32" s="66">
        <f t="shared" si="46"/>
        <v>1</v>
      </c>
      <c r="R32" s="66">
        <f t="shared" si="46"/>
        <v>1</v>
      </c>
      <c r="S32" s="66">
        <f t="shared" si="46"/>
        <v>1</v>
      </c>
      <c r="T32" s="66">
        <f t="shared" si="46"/>
        <v>1</v>
      </c>
      <c r="U32" s="66">
        <f t="shared" si="46"/>
        <v>1</v>
      </c>
      <c r="V32" s="66">
        <f t="shared" si="46"/>
        <v>1</v>
      </c>
      <c r="W32" s="66">
        <f t="shared" si="46"/>
        <v>1</v>
      </c>
      <c r="X32" s="66">
        <f t="shared" si="46"/>
        <v>1</v>
      </c>
      <c r="Y32" s="66">
        <f t="shared" si="46"/>
        <v>1</v>
      </c>
      <c r="Z32" s="66">
        <f t="shared" si="46"/>
        <v>1</v>
      </c>
      <c r="AA32" s="66">
        <f t="shared" si="46"/>
        <v>1</v>
      </c>
      <c r="AB32" s="66">
        <f t="shared" si="46"/>
        <v>1</v>
      </c>
      <c r="AC32" s="66">
        <f t="shared" si="46"/>
        <v>1</v>
      </c>
      <c r="AD32" s="66">
        <f t="shared" si="46"/>
        <v>1</v>
      </c>
      <c r="AE32" s="66">
        <f t="shared" si="46"/>
        <v>1</v>
      </c>
      <c r="AF32" s="66">
        <f t="shared" si="46"/>
        <v>1</v>
      </c>
      <c r="AG32" s="66">
        <f t="shared" si="46"/>
        <v>1</v>
      </c>
      <c r="AH32" s="66">
        <f t="shared" si="46"/>
        <v>1</v>
      </c>
      <c r="AI32" s="66">
        <f t="shared" si="46"/>
        <v>1</v>
      </c>
      <c r="AJ32" s="66">
        <f t="shared" si="46"/>
        <v>1</v>
      </c>
      <c r="AK32" s="66">
        <f t="shared" si="46"/>
        <v>1</v>
      </c>
      <c r="AL32" s="66">
        <f t="shared" si="46"/>
        <v>1</v>
      </c>
      <c r="AM32" s="66">
        <f t="shared" si="46"/>
        <v>1</v>
      </c>
      <c r="AN32" s="66">
        <f t="shared" si="46"/>
        <v>1</v>
      </c>
      <c r="AO32" s="66">
        <f t="shared" si="46"/>
        <v>1</v>
      </c>
      <c r="AP32" s="66"/>
      <c r="AQ32" s="66">
        <f>SUM(C32:AO32)</f>
        <v>39</v>
      </c>
    </row>
    <row r="33" spans="1:38">
      <c r="A33" s="72"/>
      <c r="B33" s="72"/>
      <c r="C33" s="72"/>
      <c r="D33" s="72"/>
      <c r="E33" s="72"/>
    </row>
    <row r="34" spans="1:38">
      <c r="A34" s="72"/>
      <c r="B34" s="72" t="s">
        <v>103</v>
      </c>
      <c r="C34" s="72"/>
      <c r="D34" s="72"/>
      <c r="E34" s="72"/>
    </row>
    <row r="35" spans="1:38">
      <c r="A35" s="72"/>
      <c r="B35" s="72" t="s">
        <v>1</v>
      </c>
      <c r="C35" s="72" t="s">
        <v>97</v>
      </c>
      <c r="D35" s="72" t="s">
        <v>97</v>
      </c>
      <c r="E35" s="72" t="s">
        <v>97</v>
      </c>
      <c r="F35" t="s">
        <v>97</v>
      </c>
      <c r="G35" t="s">
        <v>98</v>
      </c>
      <c r="H35" t="s">
        <v>98</v>
      </c>
      <c r="I35" t="s">
        <v>98</v>
      </c>
      <c r="J35" t="s">
        <v>98</v>
      </c>
      <c r="K35" t="s">
        <v>98</v>
      </c>
      <c r="L35" t="s">
        <v>98</v>
      </c>
      <c r="M35" t="s">
        <v>98</v>
      </c>
      <c r="N35" t="s">
        <v>98</v>
      </c>
      <c r="O35" t="s">
        <v>98</v>
      </c>
      <c r="P35" t="s">
        <v>98</v>
      </c>
      <c r="Q35" t="s">
        <v>98</v>
      </c>
      <c r="R35" t="s">
        <v>98</v>
      </c>
      <c r="S35" t="s">
        <v>98</v>
      </c>
      <c r="T35" t="s">
        <v>99</v>
      </c>
      <c r="U35" t="s">
        <v>98</v>
      </c>
      <c r="V35" t="s">
        <v>98</v>
      </c>
      <c r="W35" t="s">
        <v>100</v>
      </c>
      <c r="X35" t="s">
        <v>100</v>
      </c>
      <c r="Y35" t="s">
        <v>100</v>
      </c>
      <c r="Z35" t="s">
        <v>100</v>
      </c>
      <c r="AA35" t="s">
        <v>100</v>
      </c>
      <c r="AB35" t="s">
        <v>101</v>
      </c>
      <c r="AC35" t="s">
        <v>101</v>
      </c>
      <c r="AD35" t="s">
        <v>101</v>
      </c>
      <c r="AE35" t="s">
        <v>102</v>
      </c>
      <c r="AF35" t="s">
        <v>102</v>
      </c>
      <c r="AG35" t="s">
        <v>102</v>
      </c>
      <c r="AH35" t="s">
        <v>102</v>
      </c>
      <c r="AI35" t="s">
        <v>97</v>
      </c>
      <c r="AJ35" t="s">
        <v>98</v>
      </c>
    </row>
    <row r="36" spans="1:38">
      <c r="A36" s="72"/>
      <c r="B36" s="72" t="s">
        <v>104</v>
      </c>
      <c r="C36" s="72">
        <v>150.43667776999999</v>
      </c>
      <c r="D36" s="72">
        <v>69.980883630000008</v>
      </c>
      <c r="E36" s="72">
        <v>65.280013120000007</v>
      </c>
      <c r="F36">
        <v>187.92254740000001</v>
      </c>
      <c r="G36">
        <v>257.37141740000004</v>
      </c>
      <c r="H36">
        <v>198.3527091</v>
      </c>
      <c r="I36">
        <v>132.37211246000001</v>
      </c>
      <c r="J36">
        <v>130.73757797000002</v>
      </c>
      <c r="K36">
        <v>140.45817430999998</v>
      </c>
      <c r="L36">
        <v>26.887779599999998</v>
      </c>
      <c r="M36">
        <v>22.557249599999999</v>
      </c>
      <c r="N36">
        <v>559.26228709999998</v>
      </c>
      <c r="O36">
        <v>28.222545179999997</v>
      </c>
      <c r="P36">
        <v>373.9781552</v>
      </c>
      <c r="R36">
        <v>131.20415248</v>
      </c>
      <c r="S36">
        <v>203.80276129999999</v>
      </c>
      <c r="T36">
        <v>10.442527769</v>
      </c>
      <c r="U36">
        <v>17.204072959999998</v>
      </c>
      <c r="Y36">
        <v>5.8480279070000005</v>
      </c>
      <c r="Z36">
        <v>7.3588054729999994</v>
      </c>
      <c r="AB36">
        <v>53.504018930000001</v>
      </c>
      <c r="AF36">
        <v>371.79845510000001</v>
      </c>
      <c r="AI36">
        <v>14.851360166999999</v>
      </c>
      <c r="AL36" t="s">
        <v>196</v>
      </c>
    </row>
    <row r="37" spans="1:38">
      <c r="A37" s="65">
        <v>1</v>
      </c>
      <c r="B37" s="65">
        <v>-1</v>
      </c>
      <c r="C37" s="65">
        <f t="shared" ref="C37:P37" si="47">IF((AND(C$36&lt;$B38,C$36&gt;$B37)),1,0)</f>
        <v>0</v>
      </c>
      <c r="D37" s="65">
        <f t="shared" si="47"/>
        <v>1</v>
      </c>
      <c r="E37" s="65">
        <f t="shared" si="47"/>
        <v>1</v>
      </c>
      <c r="F37" s="66">
        <f t="shared" si="47"/>
        <v>0</v>
      </c>
      <c r="G37" s="66">
        <f t="shared" si="47"/>
        <v>0</v>
      </c>
      <c r="H37" s="66">
        <f t="shared" si="47"/>
        <v>0</v>
      </c>
      <c r="I37" s="66">
        <f t="shared" si="47"/>
        <v>0</v>
      </c>
      <c r="J37" s="66">
        <f t="shared" si="47"/>
        <v>0</v>
      </c>
      <c r="K37" s="66">
        <f t="shared" si="47"/>
        <v>0</v>
      </c>
      <c r="L37" s="66">
        <f t="shared" si="47"/>
        <v>1</v>
      </c>
      <c r="M37" s="66">
        <f t="shared" si="47"/>
        <v>1</v>
      </c>
      <c r="N37" s="66">
        <f t="shared" si="47"/>
        <v>0</v>
      </c>
      <c r="O37" s="66">
        <f t="shared" si="47"/>
        <v>1</v>
      </c>
      <c r="P37" s="66">
        <f t="shared" si="47"/>
        <v>0</v>
      </c>
      <c r="Q37" s="66"/>
      <c r="R37" s="66">
        <f t="shared" ref="R37:U44" si="48">IF((AND(R$36&lt;$B38,R$36&gt;$B37)),1,0)</f>
        <v>0</v>
      </c>
      <c r="S37" s="66">
        <f t="shared" si="48"/>
        <v>0</v>
      </c>
      <c r="T37" s="66">
        <f t="shared" si="48"/>
        <v>1</v>
      </c>
      <c r="U37" s="66">
        <f t="shared" si="48"/>
        <v>1</v>
      </c>
      <c r="V37" s="66"/>
      <c r="W37" s="66"/>
      <c r="X37" s="66"/>
      <c r="Y37" s="66">
        <f t="shared" ref="Y37:Z44" si="49">IF((AND(Y$36&lt;$B38,Y$36&gt;$B37)),1,0)</f>
        <v>1</v>
      </c>
      <c r="Z37" s="66">
        <f t="shared" si="49"/>
        <v>1</v>
      </c>
      <c r="AA37" s="66"/>
      <c r="AB37" s="66">
        <f t="shared" ref="AB37:AB43" si="50">IF((AND(AB$36&lt;$B38,AB$36&gt;$B37)),1,0)</f>
        <v>1</v>
      </c>
      <c r="AC37" s="66"/>
      <c r="AD37" s="66"/>
      <c r="AE37" s="66"/>
      <c r="AF37" s="66">
        <f t="shared" ref="AF37:AF43" si="51">IF((AND(AF$36&lt;$B38,AF$36&gt;$B37)),1,0)</f>
        <v>0</v>
      </c>
      <c r="AG37" s="66"/>
      <c r="AH37" s="66"/>
      <c r="AI37" s="66">
        <f t="shared" ref="AI37:AI43" si="52">IF((AND(AI$36&lt;$B38,AI$36&gt;$B37)),1,0)</f>
        <v>1</v>
      </c>
      <c r="AJ37" s="66"/>
      <c r="AK37" s="66"/>
      <c r="AL37" s="66">
        <f>SUM(C37:AJ37)</f>
        <v>11</v>
      </c>
    </row>
    <row r="38" spans="1:38">
      <c r="A38" s="65">
        <v>2</v>
      </c>
      <c r="B38" s="65">
        <v>100</v>
      </c>
      <c r="C38" s="65">
        <f t="shared" ref="C38:C46" si="53">IF((AND(C$36&lt;$B39,C$36&gt;$B38)),1,0)</f>
        <v>1</v>
      </c>
      <c r="D38" s="65">
        <f t="shared" ref="D38:P44" si="54">IF((AND(D$36&lt;$B39,D$36&gt;$B38)),1,0)</f>
        <v>0</v>
      </c>
      <c r="E38" s="65">
        <f t="shared" si="54"/>
        <v>0</v>
      </c>
      <c r="F38" s="66">
        <f t="shared" si="54"/>
        <v>1</v>
      </c>
      <c r="G38" s="66">
        <f t="shared" si="54"/>
        <v>0</v>
      </c>
      <c r="H38" s="66">
        <f t="shared" si="54"/>
        <v>1</v>
      </c>
      <c r="I38" s="66">
        <f t="shared" si="54"/>
        <v>1</v>
      </c>
      <c r="J38" s="66">
        <f t="shared" si="54"/>
        <v>1</v>
      </c>
      <c r="K38" s="66">
        <f t="shared" si="54"/>
        <v>1</v>
      </c>
      <c r="L38" s="66">
        <f t="shared" si="54"/>
        <v>0</v>
      </c>
      <c r="M38" s="66">
        <f t="shared" si="54"/>
        <v>0</v>
      </c>
      <c r="N38" s="66">
        <f t="shared" si="54"/>
        <v>0</v>
      </c>
      <c r="O38" s="66">
        <f t="shared" si="54"/>
        <v>0</v>
      </c>
      <c r="P38" s="66">
        <f t="shared" si="54"/>
        <v>0</v>
      </c>
      <c r="Q38" s="66"/>
      <c r="R38" s="66">
        <f t="shared" si="48"/>
        <v>1</v>
      </c>
      <c r="S38" s="66">
        <f t="shared" si="48"/>
        <v>0</v>
      </c>
      <c r="T38" s="66">
        <f t="shared" si="48"/>
        <v>0</v>
      </c>
      <c r="U38" s="66">
        <f t="shared" si="48"/>
        <v>0</v>
      </c>
      <c r="V38" s="66"/>
      <c r="W38" s="66"/>
      <c r="X38" s="66"/>
      <c r="Y38" s="66">
        <f t="shared" si="49"/>
        <v>0</v>
      </c>
      <c r="Z38" s="66">
        <f t="shared" si="49"/>
        <v>0</v>
      </c>
      <c r="AA38" s="66"/>
      <c r="AB38" s="66">
        <f t="shared" si="50"/>
        <v>0</v>
      </c>
      <c r="AC38" s="66"/>
      <c r="AD38" s="66"/>
      <c r="AE38" s="66"/>
      <c r="AF38" s="66">
        <f t="shared" si="51"/>
        <v>0</v>
      </c>
      <c r="AG38" s="66"/>
      <c r="AH38" s="66"/>
      <c r="AI38" s="66">
        <f t="shared" si="52"/>
        <v>0</v>
      </c>
      <c r="AJ38" s="66"/>
      <c r="AK38" s="66"/>
      <c r="AL38" s="66">
        <f t="shared" ref="AL38:AL48" si="55">SUM(C38:AJ38)</f>
        <v>7</v>
      </c>
    </row>
    <row r="39" spans="1:38">
      <c r="A39" s="65">
        <v>3</v>
      </c>
      <c r="B39" s="65">
        <v>200</v>
      </c>
      <c r="C39" s="65">
        <f t="shared" si="53"/>
        <v>0</v>
      </c>
      <c r="D39" s="65">
        <f t="shared" si="54"/>
        <v>0</v>
      </c>
      <c r="E39" s="65">
        <f t="shared" si="54"/>
        <v>0</v>
      </c>
      <c r="F39" s="66">
        <f t="shared" si="54"/>
        <v>0</v>
      </c>
      <c r="G39" s="66">
        <f t="shared" si="54"/>
        <v>1</v>
      </c>
      <c r="H39" s="66">
        <f t="shared" si="54"/>
        <v>0</v>
      </c>
      <c r="I39" s="66">
        <f t="shared" si="54"/>
        <v>0</v>
      </c>
      <c r="J39" s="66">
        <f t="shared" si="54"/>
        <v>0</v>
      </c>
      <c r="K39" s="66">
        <f t="shared" si="54"/>
        <v>0</v>
      </c>
      <c r="L39" s="66">
        <f t="shared" si="54"/>
        <v>0</v>
      </c>
      <c r="M39" s="66">
        <f t="shared" si="54"/>
        <v>0</v>
      </c>
      <c r="N39" s="66">
        <f t="shared" si="54"/>
        <v>0</v>
      </c>
      <c r="O39" s="66">
        <f t="shared" si="54"/>
        <v>0</v>
      </c>
      <c r="P39" s="66">
        <f t="shared" si="54"/>
        <v>0</v>
      </c>
      <c r="Q39" s="66"/>
      <c r="R39" s="66">
        <f t="shared" si="48"/>
        <v>0</v>
      </c>
      <c r="S39" s="66">
        <f t="shared" si="48"/>
        <v>1</v>
      </c>
      <c r="T39" s="66">
        <f t="shared" si="48"/>
        <v>0</v>
      </c>
      <c r="U39" s="66">
        <f t="shared" si="48"/>
        <v>0</v>
      </c>
      <c r="V39" s="66"/>
      <c r="W39" s="66"/>
      <c r="X39" s="66"/>
      <c r="Y39" s="66">
        <f t="shared" si="49"/>
        <v>0</v>
      </c>
      <c r="Z39" s="66">
        <f t="shared" si="49"/>
        <v>0</v>
      </c>
      <c r="AA39" s="66"/>
      <c r="AB39" s="66">
        <f t="shared" si="50"/>
        <v>0</v>
      </c>
      <c r="AC39" s="66"/>
      <c r="AD39" s="66"/>
      <c r="AE39" s="66"/>
      <c r="AF39" s="66">
        <f t="shared" si="51"/>
        <v>0</v>
      </c>
      <c r="AG39" s="66"/>
      <c r="AH39" s="66"/>
      <c r="AI39" s="66">
        <f t="shared" si="52"/>
        <v>0</v>
      </c>
      <c r="AJ39" s="66"/>
      <c r="AK39" s="66"/>
      <c r="AL39" s="66">
        <f t="shared" si="55"/>
        <v>2</v>
      </c>
    </row>
    <row r="40" spans="1:38">
      <c r="A40" s="65">
        <v>4</v>
      </c>
      <c r="B40" s="65">
        <v>300</v>
      </c>
      <c r="C40" s="65">
        <f t="shared" si="53"/>
        <v>0</v>
      </c>
      <c r="D40" s="65">
        <f t="shared" si="54"/>
        <v>0</v>
      </c>
      <c r="E40" s="65">
        <f t="shared" si="54"/>
        <v>0</v>
      </c>
      <c r="F40" s="66">
        <f t="shared" si="54"/>
        <v>0</v>
      </c>
      <c r="G40" s="66">
        <f t="shared" si="54"/>
        <v>0</v>
      </c>
      <c r="H40" s="66">
        <f t="shared" si="54"/>
        <v>0</v>
      </c>
      <c r="I40" s="66">
        <f t="shared" si="54"/>
        <v>0</v>
      </c>
      <c r="J40" s="66">
        <f t="shared" si="54"/>
        <v>0</v>
      </c>
      <c r="K40" s="66">
        <f t="shared" si="54"/>
        <v>0</v>
      </c>
      <c r="L40" s="66">
        <f t="shared" si="54"/>
        <v>0</v>
      </c>
      <c r="M40" s="66">
        <f t="shared" si="54"/>
        <v>0</v>
      </c>
      <c r="N40" s="66">
        <f t="shared" si="54"/>
        <v>0</v>
      </c>
      <c r="O40" s="66">
        <f t="shared" si="54"/>
        <v>0</v>
      </c>
      <c r="P40" s="66">
        <f t="shared" si="54"/>
        <v>1</v>
      </c>
      <c r="Q40" s="66"/>
      <c r="R40" s="66">
        <f t="shared" si="48"/>
        <v>0</v>
      </c>
      <c r="S40" s="66">
        <f t="shared" si="48"/>
        <v>0</v>
      </c>
      <c r="T40" s="66">
        <f t="shared" si="48"/>
        <v>0</v>
      </c>
      <c r="U40" s="66">
        <f t="shared" si="48"/>
        <v>0</v>
      </c>
      <c r="V40" s="66"/>
      <c r="W40" s="66"/>
      <c r="X40" s="66"/>
      <c r="Y40" s="66">
        <f t="shared" si="49"/>
        <v>0</v>
      </c>
      <c r="Z40" s="66">
        <f t="shared" si="49"/>
        <v>0</v>
      </c>
      <c r="AA40" s="66"/>
      <c r="AB40" s="66">
        <f t="shared" si="50"/>
        <v>0</v>
      </c>
      <c r="AC40" s="66"/>
      <c r="AD40" s="66"/>
      <c r="AE40" s="66"/>
      <c r="AF40" s="66">
        <f t="shared" si="51"/>
        <v>1</v>
      </c>
      <c r="AG40" s="66"/>
      <c r="AH40" s="66"/>
      <c r="AI40" s="66">
        <f t="shared" si="52"/>
        <v>0</v>
      </c>
      <c r="AJ40" s="66"/>
      <c r="AK40" s="66"/>
      <c r="AL40" s="66">
        <f t="shared" si="55"/>
        <v>2</v>
      </c>
    </row>
    <row r="41" spans="1:38">
      <c r="A41" s="65">
        <v>5</v>
      </c>
      <c r="B41" s="65">
        <v>400</v>
      </c>
      <c r="C41" s="65">
        <f t="shared" si="53"/>
        <v>0</v>
      </c>
      <c r="D41" s="65">
        <f t="shared" si="54"/>
        <v>0</v>
      </c>
      <c r="E41" s="65">
        <f t="shared" si="54"/>
        <v>0</v>
      </c>
      <c r="F41" s="66">
        <f t="shared" si="54"/>
        <v>0</v>
      </c>
      <c r="G41" s="66">
        <f t="shared" si="54"/>
        <v>0</v>
      </c>
      <c r="H41" s="66">
        <f t="shared" si="54"/>
        <v>0</v>
      </c>
      <c r="I41" s="66">
        <f t="shared" si="54"/>
        <v>0</v>
      </c>
      <c r="J41" s="66">
        <f t="shared" si="54"/>
        <v>0</v>
      </c>
      <c r="K41" s="66">
        <f t="shared" si="54"/>
        <v>0</v>
      </c>
      <c r="L41" s="66">
        <f t="shared" si="54"/>
        <v>0</v>
      </c>
      <c r="M41" s="66">
        <f t="shared" si="54"/>
        <v>0</v>
      </c>
      <c r="N41" s="66">
        <f t="shared" si="54"/>
        <v>0</v>
      </c>
      <c r="O41" s="66">
        <f t="shared" si="54"/>
        <v>0</v>
      </c>
      <c r="P41" s="66">
        <f t="shared" si="54"/>
        <v>0</v>
      </c>
      <c r="Q41" s="66"/>
      <c r="R41" s="66">
        <f t="shared" si="48"/>
        <v>0</v>
      </c>
      <c r="S41" s="66">
        <f t="shared" si="48"/>
        <v>0</v>
      </c>
      <c r="T41" s="66">
        <f t="shared" si="48"/>
        <v>0</v>
      </c>
      <c r="U41" s="66">
        <f t="shared" si="48"/>
        <v>0</v>
      </c>
      <c r="V41" s="66"/>
      <c r="W41" s="66"/>
      <c r="X41" s="66"/>
      <c r="Y41" s="66">
        <f t="shared" si="49"/>
        <v>0</v>
      </c>
      <c r="Z41" s="66">
        <f t="shared" si="49"/>
        <v>0</v>
      </c>
      <c r="AA41" s="66"/>
      <c r="AB41" s="66">
        <f t="shared" si="50"/>
        <v>0</v>
      </c>
      <c r="AC41" s="66"/>
      <c r="AD41" s="66"/>
      <c r="AE41" s="66"/>
      <c r="AF41" s="66">
        <f t="shared" si="51"/>
        <v>0</v>
      </c>
      <c r="AG41" s="66"/>
      <c r="AH41" s="66"/>
      <c r="AI41" s="66">
        <f t="shared" si="52"/>
        <v>0</v>
      </c>
      <c r="AJ41" s="66"/>
      <c r="AK41" s="66"/>
      <c r="AL41" s="66">
        <f t="shared" si="55"/>
        <v>0</v>
      </c>
    </row>
    <row r="42" spans="1:38">
      <c r="A42" s="65">
        <v>6</v>
      </c>
      <c r="B42" s="65">
        <v>500</v>
      </c>
      <c r="C42" s="65">
        <f t="shared" si="53"/>
        <v>0</v>
      </c>
      <c r="D42" s="65">
        <f t="shared" si="54"/>
        <v>0</v>
      </c>
      <c r="E42" s="65">
        <f t="shared" si="54"/>
        <v>0</v>
      </c>
      <c r="F42" s="66">
        <f t="shared" si="54"/>
        <v>0</v>
      </c>
      <c r="G42" s="66">
        <f t="shared" si="54"/>
        <v>0</v>
      </c>
      <c r="H42" s="66">
        <f t="shared" si="54"/>
        <v>0</v>
      </c>
      <c r="I42" s="66">
        <f t="shared" si="54"/>
        <v>0</v>
      </c>
      <c r="J42" s="66">
        <f t="shared" si="54"/>
        <v>0</v>
      </c>
      <c r="K42" s="66">
        <f t="shared" si="54"/>
        <v>0</v>
      </c>
      <c r="L42" s="66">
        <f t="shared" si="54"/>
        <v>0</v>
      </c>
      <c r="M42" s="66">
        <f t="shared" si="54"/>
        <v>0</v>
      </c>
      <c r="N42" s="66">
        <f t="shared" si="54"/>
        <v>1</v>
      </c>
      <c r="O42" s="66">
        <f t="shared" si="54"/>
        <v>0</v>
      </c>
      <c r="P42" s="66">
        <f t="shared" si="54"/>
        <v>0</v>
      </c>
      <c r="Q42" s="66"/>
      <c r="R42" s="66">
        <f t="shared" si="48"/>
        <v>0</v>
      </c>
      <c r="S42" s="66">
        <f t="shared" si="48"/>
        <v>0</v>
      </c>
      <c r="T42" s="66">
        <f t="shared" si="48"/>
        <v>0</v>
      </c>
      <c r="U42" s="66">
        <f t="shared" si="48"/>
        <v>0</v>
      </c>
      <c r="V42" s="66"/>
      <c r="W42" s="66"/>
      <c r="X42" s="66"/>
      <c r="Y42" s="66">
        <f t="shared" si="49"/>
        <v>0</v>
      </c>
      <c r="Z42" s="66">
        <f t="shared" si="49"/>
        <v>0</v>
      </c>
      <c r="AA42" s="66"/>
      <c r="AB42" s="66">
        <f t="shared" si="50"/>
        <v>0</v>
      </c>
      <c r="AC42" s="66"/>
      <c r="AD42" s="66"/>
      <c r="AE42" s="66"/>
      <c r="AF42" s="66">
        <f t="shared" si="51"/>
        <v>0</v>
      </c>
      <c r="AG42" s="66"/>
      <c r="AH42" s="66"/>
      <c r="AI42" s="66">
        <f t="shared" si="52"/>
        <v>0</v>
      </c>
      <c r="AJ42" s="66"/>
      <c r="AK42" s="66"/>
      <c r="AL42" s="66">
        <f t="shared" si="55"/>
        <v>1</v>
      </c>
    </row>
    <row r="43" spans="1:38">
      <c r="A43" s="65">
        <v>7</v>
      </c>
      <c r="B43" s="65">
        <v>600</v>
      </c>
      <c r="C43" s="65">
        <f t="shared" si="53"/>
        <v>0</v>
      </c>
      <c r="D43" s="65">
        <f t="shared" si="54"/>
        <v>0</v>
      </c>
      <c r="E43" s="65">
        <f t="shared" si="54"/>
        <v>0</v>
      </c>
      <c r="F43" s="66">
        <f t="shared" si="54"/>
        <v>0</v>
      </c>
      <c r="G43" s="66">
        <f t="shared" si="54"/>
        <v>0</v>
      </c>
      <c r="H43" s="66">
        <f t="shared" si="54"/>
        <v>0</v>
      </c>
      <c r="I43" s="66">
        <f t="shared" si="54"/>
        <v>0</v>
      </c>
      <c r="J43" s="66">
        <f t="shared" si="54"/>
        <v>0</v>
      </c>
      <c r="K43" s="66">
        <f t="shared" si="54"/>
        <v>0</v>
      </c>
      <c r="L43" s="66">
        <f t="shared" si="54"/>
        <v>0</v>
      </c>
      <c r="M43" s="66">
        <f t="shared" si="54"/>
        <v>0</v>
      </c>
      <c r="N43" s="66">
        <f t="shared" si="54"/>
        <v>0</v>
      </c>
      <c r="O43" s="66">
        <f t="shared" si="54"/>
        <v>0</v>
      </c>
      <c r="P43" s="66">
        <f t="shared" si="54"/>
        <v>0</v>
      </c>
      <c r="Q43" s="66"/>
      <c r="R43" s="66">
        <f t="shared" si="48"/>
        <v>0</v>
      </c>
      <c r="S43" s="66">
        <f t="shared" si="48"/>
        <v>0</v>
      </c>
      <c r="T43" s="66">
        <f t="shared" si="48"/>
        <v>0</v>
      </c>
      <c r="U43" s="66">
        <f t="shared" si="48"/>
        <v>0</v>
      </c>
      <c r="V43" s="66"/>
      <c r="W43" s="66"/>
      <c r="X43" s="66"/>
      <c r="Y43" s="66">
        <f t="shared" si="49"/>
        <v>0</v>
      </c>
      <c r="Z43" s="66">
        <f t="shared" si="49"/>
        <v>0</v>
      </c>
      <c r="AA43" s="66"/>
      <c r="AB43" s="66">
        <f t="shared" si="50"/>
        <v>0</v>
      </c>
      <c r="AC43" s="66"/>
      <c r="AD43" s="66"/>
      <c r="AE43" s="66"/>
      <c r="AF43" s="66">
        <f t="shared" si="51"/>
        <v>0</v>
      </c>
      <c r="AG43" s="66"/>
      <c r="AH43" s="66"/>
      <c r="AI43" s="66">
        <f t="shared" si="52"/>
        <v>0</v>
      </c>
      <c r="AJ43" s="66"/>
      <c r="AK43" s="66"/>
      <c r="AL43" s="66">
        <f t="shared" si="55"/>
        <v>0</v>
      </c>
    </row>
    <row r="44" spans="1:38">
      <c r="A44" s="65">
        <v>8</v>
      </c>
      <c r="B44" s="65">
        <v>700</v>
      </c>
      <c r="C44" s="65">
        <f t="shared" si="53"/>
        <v>0</v>
      </c>
      <c r="D44" s="65">
        <f t="shared" si="54"/>
        <v>0</v>
      </c>
      <c r="E44" s="65">
        <f t="shared" si="54"/>
        <v>0</v>
      </c>
      <c r="F44" s="66">
        <f t="shared" si="54"/>
        <v>0</v>
      </c>
      <c r="G44" s="66">
        <f t="shared" si="54"/>
        <v>0</v>
      </c>
      <c r="H44" s="66">
        <f t="shared" si="54"/>
        <v>0</v>
      </c>
      <c r="I44" s="66">
        <f t="shared" si="54"/>
        <v>0</v>
      </c>
      <c r="J44" s="66">
        <f t="shared" si="54"/>
        <v>0</v>
      </c>
      <c r="K44" s="66">
        <f t="shared" si="54"/>
        <v>0</v>
      </c>
      <c r="L44" s="66">
        <f t="shared" si="54"/>
        <v>0</v>
      </c>
      <c r="M44" s="66">
        <f t="shared" si="54"/>
        <v>0</v>
      </c>
      <c r="N44" s="66">
        <f t="shared" si="54"/>
        <v>0</v>
      </c>
      <c r="O44" s="66">
        <f t="shared" si="54"/>
        <v>0</v>
      </c>
      <c r="P44" s="66">
        <f t="shared" si="54"/>
        <v>0</v>
      </c>
      <c r="Q44" s="66"/>
      <c r="R44" s="66">
        <f t="shared" si="48"/>
        <v>0</v>
      </c>
      <c r="S44" s="66">
        <f t="shared" si="48"/>
        <v>0</v>
      </c>
      <c r="T44" s="66">
        <f t="shared" si="48"/>
        <v>0</v>
      </c>
      <c r="U44" s="66">
        <f t="shared" si="48"/>
        <v>0</v>
      </c>
      <c r="V44" s="66"/>
      <c r="W44" s="66"/>
      <c r="X44" s="66"/>
      <c r="Y44" s="66">
        <f t="shared" si="49"/>
        <v>0</v>
      </c>
      <c r="Z44" s="66">
        <f t="shared" si="49"/>
        <v>0</v>
      </c>
      <c r="AA44" s="66"/>
      <c r="AB44" s="66">
        <f t="shared" ref="AB44:AB46" si="56">IF((AND(AB$36&lt;$B45,AB$36&gt;$B44)),1,0)</f>
        <v>0</v>
      </c>
      <c r="AC44" s="66"/>
      <c r="AD44" s="66"/>
      <c r="AE44" s="66"/>
      <c r="AF44" s="66">
        <f t="shared" ref="AF44:AF46" si="57">IF((AND(AF$36&lt;$B45,AF$36&gt;$B44)),1,0)</f>
        <v>0</v>
      </c>
      <c r="AG44" s="66"/>
      <c r="AH44" s="66"/>
      <c r="AI44" s="66">
        <f t="shared" ref="AI44:AI46" si="58">IF((AND(AI$36&lt;$B45,AI$36&gt;$B44)),1,0)</f>
        <v>0</v>
      </c>
      <c r="AJ44" s="66"/>
      <c r="AK44" s="66"/>
      <c r="AL44" s="66">
        <f t="shared" si="55"/>
        <v>0</v>
      </c>
    </row>
    <row r="45" spans="1:38">
      <c r="A45" s="65">
        <v>9</v>
      </c>
      <c r="B45" s="65">
        <v>800</v>
      </c>
      <c r="C45" s="65">
        <f t="shared" si="53"/>
        <v>0</v>
      </c>
      <c r="D45" s="65">
        <f t="shared" ref="D45:D46" si="59">IF((AND(D$36&lt;$B46,D$36&gt;$B45)),1,0)</f>
        <v>0</v>
      </c>
      <c r="E45" s="65">
        <f t="shared" ref="E45:E46" si="60">IF((AND(E$36&lt;$B46,E$36&gt;$B45)),1,0)</f>
        <v>0</v>
      </c>
      <c r="F45" s="66">
        <f t="shared" ref="F45:F46" si="61">IF((AND(F$36&lt;$B46,F$36&gt;$B45)),1,0)</f>
        <v>0</v>
      </c>
      <c r="G45" s="66">
        <f t="shared" ref="G45:G46" si="62">IF((AND(G$36&lt;$B46,G$36&gt;$B45)),1,0)</f>
        <v>0</v>
      </c>
      <c r="H45" s="66">
        <f t="shared" ref="H45:H46" si="63">IF((AND(H$36&lt;$B46,H$36&gt;$B45)),1,0)</f>
        <v>0</v>
      </c>
      <c r="I45" s="66">
        <f t="shared" ref="I45:I46" si="64">IF((AND(I$36&lt;$B46,I$36&gt;$B45)),1,0)</f>
        <v>0</v>
      </c>
      <c r="J45" s="66">
        <f t="shared" ref="J45:J46" si="65">IF((AND(J$36&lt;$B46,J$36&gt;$B45)),1,0)</f>
        <v>0</v>
      </c>
      <c r="K45" s="66">
        <f t="shared" ref="K45:K46" si="66">IF((AND(K$36&lt;$B46,K$36&gt;$B45)),1,0)</f>
        <v>0</v>
      </c>
      <c r="L45" s="66">
        <f t="shared" ref="L45:L46" si="67">IF((AND(L$36&lt;$B46,L$36&gt;$B45)),1,0)</f>
        <v>0</v>
      </c>
      <c r="M45" s="66">
        <f t="shared" ref="M45:M46" si="68">IF((AND(M$36&lt;$B46,M$36&gt;$B45)),1,0)</f>
        <v>0</v>
      </c>
      <c r="N45" s="66">
        <f t="shared" ref="N45:N46" si="69">IF((AND(N$36&lt;$B46,N$36&gt;$B45)),1,0)</f>
        <v>0</v>
      </c>
      <c r="O45" s="66">
        <f t="shared" ref="O45:O46" si="70">IF((AND(O$36&lt;$B46,O$36&gt;$B45)),1,0)</f>
        <v>0</v>
      </c>
      <c r="P45" s="66">
        <f t="shared" ref="P45:P46" si="71">IF((AND(P$36&lt;$B46,P$36&gt;$B45)),1,0)</f>
        <v>0</v>
      </c>
      <c r="Q45" s="66"/>
      <c r="R45" s="66">
        <f t="shared" ref="R45:R46" si="72">IF((AND(R$36&lt;$B46,R$36&gt;$B45)),1,0)</f>
        <v>0</v>
      </c>
      <c r="S45" s="66">
        <f t="shared" ref="S45:S46" si="73">IF((AND(S$36&lt;$B46,S$36&gt;$B45)),1,0)</f>
        <v>0</v>
      </c>
      <c r="T45" s="66">
        <f t="shared" ref="T45:T46" si="74">IF((AND(T$36&lt;$B46,T$36&gt;$B45)),1,0)</f>
        <v>0</v>
      </c>
      <c r="U45" s="66">
        <f t="shared" ref="U45:U46" si="75">IF((AND(U$36&lt;$B46,U$36&gt;$B45)),1,0)</f>
        <v>0</v>
      </c>
      <c r="V45" s="66"/>
      <c r="W45" s="66"/>
      <c r="X45" s="66"/>
      <c r="Y45" s="66">
        <f t="shared" ref="Y45:Y46" si="76">IF((AND(Y$36&lt;$B46,Y$36&gt;$B45)),1,0)</f>
        <v>0</v>
      </c>
      <c r="Z45" s="66">
        <f t="shared" ref="Z45:Z46" si="77">IF((AND(Z$36&lt;$B46,Z$36&gt;$B45)),1,0)</f>
        <v>0</v>
      </c>
      <c r="AA45" s="66"/>
      <c r="AB45" s="66">
        <f t="shared" si="56"/>
        <v>0</v>
      </c>
      <c r="AC45" s="66"/>
      <c r="AD45" s="66"/>
      <c r="AE45" s="66"/>
      <c r="AF45" s="66">
        <f t="shared" si="57"/>
        <v>0</v>
      </c>
      <c r="AG45" s="66"/>
      <c r="AH45" s="66"/>
      <c r="AI45" s="66">
        <f t="shared" si="58"/>
        <v>0</v>
      </c>
      <c r="AJ45" s="66"/>
      <c r="AK45" s="66"/>
      <c r="AL45" s="66">
        <f t="shared" si="55"/>
        <v>0</v>
      </c>
    </row>
    <row r="46" spans="1:38">
      <c r="A46" s="65">
        <v>10</v>
      </c>
      <c r="B46" s="65">
        <v>900</v>
      </c>
      <c r="C46" s="65">
        <f t="shared" si="53"/>
        <v>0</v>
      </c>
      <c r="D46" s="65">
        <f t="shared" si="59"/>
        <v>0</v>
      </c>
      <c r="E46" s="65">
        <f t="shared" si="60"/>
        <v>0</v>
      </c>
      <c r="F46" s="66">
        <f t="shared" si="61"/>
        <v>0</v>
      </c>
      <c r="G46" s="66">
        <f t="shared" si="62"/>
        <v>0</v>
      </c>
      <c r="H46" s="66">
        <f t="shared" si="63"/>
        <v>0</v>
      </c>
      <c r="I46" s="66">
        <f t="shared" si="64"/>
        <v>0</v>
      </c>
      <c r="J46" s="66">
        <f t="shared" si="65"/>
        <v>0</v>
      </c>
      <c r="K46" s="66">
        <f t="shared" si="66"/>
        <v>0</v>
      </c>
      <c r="L46" s="66">
        <f t="shared" si="67"/>
        <v>0</v>
      </c>
      <c r="M46" s="66">
        <f t="shared" si="68"/>
        <v>0</v>
      </c>
      <c r="N46" s="66">
        <f t="shared" si="69"/>
        <v>0</v>
      </c>
      <c r="O46" s="66">
        <f t="shared" si="70"/>
        <v>0</v>
      </c>
      <c r="P46" s="66">
        <f t="shared" si="71"/>
        <v>0</v>
      </c>
      <c r="Q46" s="66"/>
      <c r="R46" s="66">
        <f t="shared" si="72"/>
        <v>0</v>
      </c>
      <c r="S46" s="66">
        <f t="shared" si="73"/>
        <v>0</v>
      </c>
      <c r="T46" s="66">
        <f t="shared" si="74"/>
        <v>0</v>
      </c>
      <c r="U46" s="66">
        <f t="shared" si="75"/>
        <v>0</v>
      </c>
      <c r="V46" s="66"/>
      <c r="W46" s="66"/>
      <c r="X46" s="66"/>
      <c r="Y46" s="66">
        <f t="shared" si="76"/>
        <v>0</v>
      </c>
      <c r="Z46" s="66">
        <f t="shared" si="77"/>
        <v>0</v>
      </c>
      <c r="AA46" s="66"/>
      <c r="AB46" s="66">
        <f t="shared" si="56"/>
        <v>0</v>
      </c>
      <c r="AC46" s="66"/>
      <c r="AD46" s="66"/>
      <c r="AE46" s="66"/>
      <c r="AF46" s="66">
        <f t="shared" si="57"/>
        <v>0</v>
      </c>
      <c r="AG46" s="66"/>
      <c r="AH46" s="66"/>
      <c r="AI46" s="66">
        <f t="shared" si="58"/>
        <v>0</v>
      </c>
      <c r="AJ46" s="66"/>
      <c r="AK46" s="66"/>
      <c r="AL46" s="66">
        <f t="shared" si="55"/>
        <v>0</v>
      </c>
    </row>
    <row r="47" spans="1:38">
      <c r="A47" s="65">
        <v>11</v>
      </c>
      <c r="B47" s="65">
        <v>1000</v>
      </c>
      <c r="C47" s="65">
        <f t="shared" ref="C47:P47" si="78">IF((AND(C$36&gt;$B47)),1,0)</f>
        <v>0</v>
      </c>
      <c r="D47" s="65">
        <f t="shared" si="78"/>
        <v>0</v>
      </c>
      <c r="E47" s="65">
        <f t="shared" si="78"/>
        <v>0</v>
      </c>
      <c r="F47" s="66">
        <f t="shared" si="78"/>
        <v>0</v>
      </c>
      <c r="G47" s="66">
        <f t="shared" si="78"/>
        <v>0</v>
      </c>
      <c r="H47" s="66">
        <f t="shared" si="78"/>
        <v>0</v>
      </c>
      <c r="I47" s="66">
        <f t="shared" si="78"/>
        <v>0</v>
      </c>
      <c r="J47" s="66">
        <f t="shared" si="78"/>
        <v>0</v>
      </c>
      <c r="K47" s="66">
        <f t="shared" si="78"/>
        <v>0</v>
      </c>
      <c r="L47" s="66">
        <f t="shared" si="78"/>
        <v>0</v>
      </c>
      <c r="M47" s="66">
        <f t="shared" si="78"/>
        <v>0</v>
      </c>
      <c r="N47" s="66">
        <f t="shared" si="78"/>
        <v>0</v>
      </c>
      <c r="O47" s="66">
        <f t="shared" si="78"/>
        <v>0</v>
      </c>
      <c r="P47" s="66">
        <f t="shared" si="78"/>
        <v>0</v>
      </c>
      <c r="Q47" s="66"/>
      <c r="R47" s="66">
        <f>IF((AND(R$36&gt;$B47)),1,0)</f>
        <v>0</v>
      </c>
      <c r="S47" s="66">
        <f>IF((AND(S$36&gt;$B47)),1,0)</f>
        <v>0</v>
      </c>
      <c r="T47" s="66">
        <f>IF((AND(T$36&gt;$B47)),1,0)</f>
        <v>0</v>
      </c>
      <c r="U47" s="66">
        <f>IF((AND(U$36&gt;$B47)),1,0)</f>
        <v>0</v>
      </c>
      <c r="V47" s="66"/>
      <c r="W47" s="66"/>
      <c r="X47" s="66"/>
      <c r="Y47" s="66">
        <f>IF((AND(Y$36&gt;$B47)),1,0)</f>
        <v>0</v>
      </c>
      <c r="Z47" s="66">
        <f>IF((AND(Z$36&gt;$B47)),1,0)</f>
        <v>0</v>
      </c>
      <c r="AA47" s="66"/>
      <c r="AB47" s="66">
        <f>IF((AND(AB$36&gt;$B47)),1,0)</f>
        <v>0</v>
      </c>
      <c r="AC47" s="66"/>
      <c r="AD47" s="66"/>
      <c r="AE47" s="66"/>
      <c r="AF47" s="66">
        <f>IF((AND(AF$36&gt;$B47)),1,0)</f>
        <v>0</v>
      </c>
      <c r="AG47" s="66"/>
      <c r="AH47" s="66"/>
      <c r="AI47" s="66">
        <f>IF((AND(AI$36&gt;$B47)),1,0)</f>
        <v>0</v>
      </c>
      <c r="AJ47" s="66"/>
      <c r="AK47" s="66"/>
      <c r="AL47" s="66">
        <f t="shared" si="55"/>
        <v>0</v>
      </c>
    </row>
    <row r="48" spans="1:38">
      <c r="A48" s="65"/>
      <c r="B48" s="65" t="s">
        <v>196</v>
      </c>
      <c r="C48" s="65">
        <f>SUM(C37:C47)</f>
        <v>1</v>
      </c>
      <c r="D48" s="65">
        <f t="shared" ref="D48:AI48" si="79">SUM(D37:D47)</f>
        <v>1</v>
      </c>
      <c r="E48" s="65">
        <f t="shared" si="79"/>
        <v>1</v>
      </c>
      <c r="F48" s="66">
        <f t="shared" si="79"/>
        <v>1</v>
      </c>
      <c r="G48" s="66">
        <f t="shared" si="79"/>
        <v>1</v>
      </c>
      <c r="H48" s="66">
        <f t="shared" si="79"/>
        <v>1</v>
      </c>
      <c r="I48" s="66">
        <f t="shared" si="79"/>
        <v>1</v>
      </c>
      <c r="J48" s="66">
        <f t="shared" si="79"/>
        <v>1</v>
      </c>
      <c r="K48" s="66">
        <f t="shared" si="79"/>
        <v>1</v>
      </c>
      <c r="L48" s="66">
        <f t="shared" si="79"/>
        <v>1</v>
      </c>
      <c r="M48" s="66">
        <f t="shared" si="79"/>
        <v>1</v>
      </c>
      <c r="N48" s="66">
        <f t="shared" si="79"/>
        <v>1</v>
      </c>
      <c r="O48" s="66">
        <f t="shared" si="79"/>
        <v>1</v>
      </c>
      <c r="P48" s="66">
        <f t="shared" si="79"/>
        <v>1</v>
      </c>
      <c r="Q48" s="66"/>
      <c r="R48" s="66">
        <f t="shared" si="79"/>
        <v>1</v>
      </c>
      <c r="S48" s="66">
        <f t="shared" si="79"/>
        <v>1</v>
      </c>
      <c r="T48" s="66">
        <f t="shared" si="79"/>
        <v>1</v>
      </c>
      <c r="U48" s="66">
        <f t="shared" si="79"/>
        <v>1</v>
      </c>
      <c r="V48" s="66"/>
      <c r="W48" s="66"/>
      <c r="X48" s="66"/>
      <c r="Y48" s="66">
        <f t="shared" si="79"/>
        <v>1</v>
      </c>
      <c r="Z48" s="66">
        <f t="shared" si="79"/>
        <v>1</v>
      </c>
      <c r="AA48" s="66"/>
      <c r="AB48" s="66">
        <f t="shared" si="79"/>
        <v>1</v>
      </c>
      <c r="AC48" s="66"/>
      <c r="AD48" s="66"/>
      <c r="AE48" s="66"/>
      <c r="AF48" s="66">
        <f t="shared" si="79"/>
        <v>1</v>
      </c>
      <c r="AG48" s="66"/>
      <c r="AH48" s="66"/>
      <c r="AI48" s="66">
        <f t="shared" si="79"/>
        <v>1</v>
      </c>
      <c r="AJ48" s="66"/>
      <c r="AK48" s="66"/>
      <c r="AL48" s="66">
        <f t="shared" si="55"/>
        <v>23</v>
      </c>
    </row>
    <row r="49" spans="1:5">
      <c r="A49" s="72"/>
      <c r="B49" s="72"/>
      <c r="C49" s="72"/>
      <c r="D49" s="72"/>
      <c r="E49" s="72"/>
    </row>
    <row r="50" spans="1:5">
      <c r="A50" s="72"/>
      <c r="B50" s="72"/>
      <c r="C50" s="72"/>
      <c r="D50" s="72"/>
      <c r="E50" s="72"/>
    </row>
    <row r="51" spans="1:5">
      <c r="A51" s="72"/>
      <c r="B51" s="96" t="s">
        <v>242</v>
      </c>
      <c r="C51" s="72"/>
      <c r="D51" s="72"/>
      <c r="E51" s="72"/>
    </row>
    <row r="52" spans="1:5">
      <c r="A52" s="72"/>
      <c r="B52" s="96" t="s">
        <v>243</v>
      </c>
      <c r="C52" s="72"/>
      <c r="D52" s="72"/>
      <c r="E52" s="72"/>
    </row>
    <row r="53" spans="1:5">
      <c r="A53" s="72"/>
      <c r="B53" s="72"/>
      <c r="C53" s="72"/>
      <c r="D53" s="72"/>
      <c r="E53" s="72"/>
    </row>
    <row r="54" spans="1:5">
      <c r="A54" s="72"/>
      <c r="B54" s="72"/>
      <c r="C54" s="72"/>
      <c r="D54" s="72"/>
      <c r="E54" s="72"/>
    </row>
    <row r="55" spans="1:5">
      <c r="A55" s="72"/>
      <c r="B55" s="72"/>
      <c r="C55" s="72"/>
      <c r="D55" s="72"/>
      <c r="E55" s="72"/>
    </row>
    <row r="56" spans="1:5">
      <c r="A56" s="72"/>
      <c r="B56" s="72"/>
      <c r="C56" s="72"/>
      <c r="D56" s="72"/>
      <c r="E56" s="72"/>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I100"/>
  <sheetViews>
    <sheetView topLeftCell="A28" workbookViewId="0">
      <selection activeCell="C28" sqref="C28"/>
    </sheetView>
  </sheetViews>
  <sheetFormatPr defaultColWidth="12.453125" defaultRowHeight="13.5"/>
  <cols>
    <col min="1" max="1" width="23.453125" style="36" bestFit="1" customWidth="1"/>
    <col min="2" max="2" width="12.453125" style="35" customWidth="1"/>
    <col min="3" max="3" width="12.453125" style="33" customWidth="1"/>
    <col min="4" max="4" width="12.453125" style="30" customWidth="1"/>
    <col min="5" max="5" width="12.453125" style="33" customWidth="1"/>
    <col min="6" max="6" width="12.453125" style="32" customWidth="1"/>
    <col min="7" max="7" width="2.6328125" style="31" customWidth="1"/>
    <col min="8" max="8" width="15.08984375" style="33" customWidth="1"/>
    <col min="9" max="9" width="13.81640625" style="58" customWidth="1"/>
    <col min="10" max="10" width="2.36328125" style="34" customWidth="1"/>
    <col min="11" max="14" width="12.453125" style="30" customWidth="1"/>
    <col min="15" max="15" width="14.453125" style="50" customWidth="1"/>
    <col min="16" max="16" width="13.81640625" style="31" customWidth="1"/>
    <col min="17" max="17" width="19.453125" style="31" customWidth="1"/>
    <col min="18" max="18" width="25.08984375" style="98" customWidth="1"/>
    <col min="19" max="19" width="15.81640625" style="31" customWidth="1"/>
    <col min="20" max="21" width="16.81640625" style="31" customWidth="1"/>
    <col min="22" max="22" width="21.36328125" style="98" customWidth="1"/>
    <col min="23" max="23" width="2.36328125" style="31" customWidth="1"/>
    <col min="24" max="24" width="10.6328125" style="33" customWidth="1"/>
    <col min="25" max="25" width="16.453125" style="32" customWidth="1"/>
    <col min="26" max="28" width="12.453125" style="31" customWidth="1"/>
    <col min="29" max="29" width="12.453125" style="31"/>
    <col min="30" max="30" width="13.36328125" style="31" bestFit="1" customWidth="1"/>
    <col min="31" max="35" width="12.453125" style="31"/>
    <col min="36" max="16384" width="12.453125" style="30"/>
  </cols>
  <sheetData>
    <row r="1" spans="1:35" s="89" customFormat="1" ht="58.5" customHeight="1">
      <c r="A1" s="80" t="s">
        <v>214</v>
      </c>
      <c r="B1" s="81" t="s">
        <v>215</v>
      </c>
      <c r="C1" s="82" t="s">
        <v>216</v>
      </c>
      <c r="D1" s="81" t="s">
        <v>222</v>
      </c>
      <c r="E1" s="82" t="s">
        <v>221</v>
      </c>
      <c r="F1" s="85" t="s">
        <v>220</v>
      </c>
      <c r="G1" s="86"/>
      <c r="H1" s="90" t="s">
        <v>224</v>
      </c>
      <c r="I1" s="83" t="s">
        <v>225</v>
      </c>
      <c r="J1" s="87"/>
      <c r="K1" s="83" t="s">
        <v>218</v>
      </c>
      <c r="L1" s="83" t="s">
        <v>217</v>
      </c>
      <c r="M1" s="83" t="s">
        <v>223</v>
      </c>
      <c r="N1" s="83" t="s">
        <v>219</v>
      </c>
      <c r="O1" s="85" t="s">
        <v>226</v>
      </c>
      <c r="P1" s="93" t="s">
        <v>227</v>
      </c>
      <c r="Q1" s="83" t="s">
        <v>228</v>
      </c>
      <c r="R1" s="97" t="s">
        <v>229</v>
      </c>
      <c r="S1" s="83" t="s">
        <v>230</v>
      </c>
      <c r="T1" s="83" t="s">
        <v>231</v>
      </c>
      <c r="U1" s="83" t="s">
        <v>232</v>
      </c>
      <c r="V1" s="97" t="s">
        <v>233</v>
      </c>
      <c r="W1" s="86"/>
      <c r="X1" s="94" t="s">
        <v>234</v>
      </c>
      <c r="Y1" s="84" t="s">
        <v>235</v>
      </c>
      <c r="Z1" s="95" t="s">
        <v>236</v>
      </c>
      <c r="AA1" s="83" t="s">
        <v>237</v>
      </c>
      <c r="AB1" s="83" t="s">
        <v>238</v>
      </c>
      <c r="AC1" s="86" t="s">
        <v>244</v>
      </c>
      <c r="AD1" s="88" t="s">
        <v>245</v>
      </c>
      <c r="AE1" s="88" t="s">
        <v>246</v>
      </c>
      <c r="AF1" s="88" t="s">
        <v>247</v>
      </c>
      <c r="AG1" s="88"/>
      <c r="AH1" s="88"/>
      <c r="AI1" s="88"/>
    </row>
    <row r="2" spans="1:35">
      <c r="A2" s="58" t="s">
        <v>40</v>
      </c>
      <c r="B2" s="58">
        <v>5.3</v>
      </c>
      <c r="C2" s="57">
        <v>189.64937585000001</v>
      </c>
      <c r="D2" s="56">
        <v>6.718669029</v>
      </c>
      <c r="E2" s="54">
        <v>4.0558199359999998</v>
      </c>
      <c r="F2" s="55">
        <v>1.9726566439999999E-2</v>
      </c>
      <c r="H2" s="54">
        <v>3.5285346595628653E-2</v>
      </c>
      <c r="I2" s="91">
        <f>0.19*H2</f>
        <v>6.7042158531694443E-3</v>
      </c>
      <c r="J2" s="53"/>
      <c r="K2" s="51">
        <v>56</v>
      </c>
      <c r="L2" s="51">
        <v>47.3</v>
      </c>
      <c r="M2" s="51">
        <v>14.5</v>
      </c>
      <c r="N2" s="51">
        <v>14.6</v>
      </c>
      <c r="O2" s="92">
        <v>0.5</v>
      </c>
      <c r="Q2" s="31">
        <f>(4/3)*3.14*(((M2+N2)/4)^3)/((10^4)^3)</f>
        <v>1.6120086862499999E-9</v>
      </c>
      <c r="R2" s="98">
        <f>Q2*H2</f>
        <v>5.688028520949525E-11</v>
      </c>
      <c r="S2" s="31">
        <f>(4/3)*3.14*((K2/2)*(L2/2)*(L2/2))/((10^4)^3)</f>
        <v>6.5567512266666656E-8</v>
      </c>
      <c r="T2" s="31">
        <f>S2-Q2</f>
        <v>6.3955503580416652E-8</v>
      </c>
      <c r="U2" s="31">
        <f>T2*2.75</f>
        <v>1.7587763484614579E-7</v>
      </c>
      <c r="V2" s="98">
        <f>U2*C2*(10^-6)</f>
        <v>3.3355083674545763E-11</v>
      </c>
      <c r="X2" s="42">
        <f>R2/(R2+V2)</f>
        <v>0.63035465929762569</v>
      </c>
      <c r="Y2" s="38">
        <f>C2*(1/(1-X2))</f>
        <v>513.05766627449293</v>
      </c>
      <c r="AA2" s="41">
        <f>Y4-Y2</f>
        <v>45.504426903689364</v>
      </c>
      <c r="AB2" s="41">
        <f>Y2-Y3</f>
        <v>163.71720417892271</v>
      </c>
      <c r="AC2" s="31">
        <f>Q2/S2</f>
        <v>2.4585478852604207E-2</v>
      </c>
      <c r="AD2" s="31">
        <f>(10^6*Q2*H2)/(2.75*(S2-Q2))</f>
        <v>323.40829042449298</v>
      </c>
      <c r="AE2" s="41">
        <f>C2+AD2</f>
        <v>513.05766627449293</v>
      </c>
      <c r="AF2" s="31">
        <f>AD2/(AD2+C2)</f>
        <v>0.6303546592976258</v>
      </c>
    </row>
    <row r="3" spans="1:35" ht="14.5">
      <c r="A3" s="58"/>
      <c r="B3" s="58"/>
      <c r="C3" s="57"/>
      <c r="D3" s="56"/>
      <c r="E3" s="54"/>
      <c r="F3" s="55"/>
      <c r="H3" s="54"/>
      <c r="I3" s="91"/>
      <c r="J3" s="53"/>
      <c r="K3" s="51"/>
      <c r="L3" s="51"/>
      <c r="M3" s="51"/>
      <c r="N3" s="51"/>
      <c r="P3" s="40" t="s">
        <v>37</v>
      </c>
      <c r="Q3" s="31">
        <f>(4/3)*3.14*((((M2-O2)+(N2-O2))/4)^3)/((10^4)^3)</f>
        <v>1.4514676820833335E-9</v>
      </c>
      <c r="R3" s="98">
        <f>Q3*(H2-I2)</f>
        <v>4.1484587590077975E-11</v>
      </c>
      <c r="S3" s="31">
        <f>(4/3)*3.14*(((K2+O2)/2)*((K2+O2)/2)*((L2+O2)/2))/((10^4)^3)</f>
        <v>7.9855197833333324E-8</v>
      </c>
      <c r="T3" s="31">
        <f>S3-Q3</f>
        <v>7.8403730151249993E-8</v>
      </c>
      <c r="U3" s="31">
        <f>T3*3.2</f>
        <v>2.50891936484E-7</v>
      </c>
      <c r="V3" s="98">
        <f>U3*(C2+D2)*(10^-6)</f>
        <v>4.926715904326933E-11</v>
      </c>
      <c r="X3" s="39">
        <f>R3/(R3+V3)</f>
        <v>0.45712164370436698</v>
      </c>
      <c r="Y3" s="38">
        <f>C2*(1/(1-X3))</f>
        <v>349.34046209557022</v>
      </c>
      <c r="AD3" s="31">
        <f t="shared" ref="AD3:AD4" si="0">(10^6*Q3*AC3)/(2.75*(S3-R3))</f>
        <v>0</v>
      </c>
    </row>
    <row r="4" spans="1:35" ht="14.5">
      <c r="A4" s="58"/>
      <c r="B4" s="58"/>
      <c r="C4" s="57"/>
      <c r="D4" s="56"/>
      <c r="E4" s="54"/>
      <c r="F4" s="55"/>
      <c r="H4" s="54"/>
      <c r="I4" s="91"/>
      <c r="J4" s="53"/>
      <c r="K4" s="51"/>
      <c r="L4" s="51"/>
      <c r="M4" s="51"/>
      <c r="N4" s="51"/>
      <c r="P4" s="40" t="s">
        <v>36</v>
      </c>
      <c r="Q4" s="31">
        <f>(4/3)*3.14*((((M2+O2)+(N2+O2))/4)^3)/((10^4)^3)</f>
        <v>1.783971440416667E-9</v>
      </c>
      <c r="R4" s="98">
        <f>Q3*(H2+I2)</f>
        <v>6.094649287925035E-11</v>
      </c>
      <c r="S4" s="31">
        <f>(4/3)*3.14*(((K2-O2)/2)*((L2-O2)/2)*((L2-O2)/2))/((10^4)^3)</f>
        <v>6.3615520799999985E-8</v>
      </c>
      <c r="T4" s="31">
        <f>S4-Q4</f>
        <v>6.1831549359583313E-8</v>
      </c>
      <c r="U4" s="31">
        <f>T4*2.77</f>
        <v>1.7127339172604577E-7</v>
      </c>
      <c r="V4" s="98">
        <f>U4*(C2-D2)*(10^-6)</f>
        <v>3.1331162608075566E-11</v>
      </c>
      <c r="X4" s="39">
        <f>R4/(R4+V4)</f>
        <v>0.6604685886023749</v>
      </c>
      <c r="Y4" s="38">
        <f>C2*(1/(1-X4))</f>
        <v>558.56209317818229</v>
      </c>
      <c r="Z4" s="37">
        <f>(Y4-Y3)/Y2</f>
        <v>0.40779359677412091</v>
      </c>
      <c r="AD4" s="31">
        <f t="shared" si="0"/>
        <v>0</v>
      </c>
    </row>
    <row r="5" spans="1:35" ht="14.5">
      <c r="A5" s="58"/>
      <c r="B5" s="58"/>
      <c r="C5" s="57"/>
      <c r="D5" s="56"/>
      <c r="E5" s="54"/>
      <c r="F5" s="55"/>
      <c r="H5" s="54"/>
      <c r="I5" s="91"/>
      <c r="J5" s="53"/>
      <c r="K5" s="51"/>
      <c r="L5" s="51"/>
      <c r="M5" s="51"/>
      <c r="N5" s="51"/>
      <c r="P5" s="40"/>
      <c r="X5" s="39"/>
      <c r="Y5" s="38"/>
    </row>
    <row r="6" spans="1:35">
      <c r="A6" s="58" t="s">
        <v>40</v>
      </c>
      <c r="B6" s="58">
        <v>9.1999999999999993</v>
      </c>
      <c r="C6" s="57">
        <v>504.15231849999998</v>
      </c>
      <c r="D6" s="56">
        <v>11.549215591999999</v>
      </c>
      <c r="E6" s="54">
        <v>4.3940218</v>
      </c>
      <c r="F6" s="55">
        <v>2.2599352440000001E-2</v>
      </c>
      <c r="H6" s="54">
        <v>0.12193329139699927</v>
      </c>
      <c r="I6" s="91">
        <f>0.19*H6</f>
        <v>2.3167325365429862E-2</v>
      </c>
      <c r="J6" s="53"/>
      <c r="K6" s="51">
        <v>98</v>
      </c>
      <c r="L6" s="51">
        <v>82</v>
      </c>
      <c r="M6" s="51">
        <v>25.1</v>
      </c>
      <c r="N6" s="51">
        <v>26.4</v>
      </c>
      <c r="O6" s="92">
        <v>0.5</v>
      </c>
      <c r="Q6" s="31">
        <f>(4/3)*3.14*(((M6+N6)/4)^3)/((10^4)^3)</f>
        <v>8.9353197395833315E-9</v>
      </c>
      <c r="R6" s="98">
        <f>Q6*H6</f>
        <v>1.089512945531974E-9</v>
      </c>
      <c r="S6" s="31">
        <f>(4/3)*3.14*((K6/2)*(L6/2)*(L6/2))/((10^4)^3)</f>
        <v>3.4485154666666662E-7</v>
      </c>
      <c r="T6" s="31">
        <f>S6-Q6</f>
        <v>3.3591622692708331E-7</v>
      </c>
      <c r="U6" s="31">
        <f>T6*2.75</f>
        <v>9.2376962404947909E-7</v>
      </c>
      <c r="V6" s="98">
        <f>U6*C6*(10^-6)</f>
        <v>4.6572059772441818E-10</v>
      </c>
      <c r="X6" s="42">
        <f>R6/(R6+V6)</f>
        <v>0.70054619787245642</v>
      </c>
      <c r="Y6" s="38">
        <f>C6*(1/(1-X6))</f>
        <v>1683.5729415292951</v>
      </c>
      <c r="AA6" s="41">
        <f>Y8-Y6</f>
        <v>191.52682440790181</v>
      </c>
      <c r="AB6" s="41">
        <f>Y6-Y7</f>
        <v>560.11926476463941</v>
      </c>
    </row>
    <row r="7" spans="1:35" ht="14.5">
      <c r="A7" s="58"/>
      <c r="B7" s="58"/>
      <c r="C7" s="57"/>
      <c r="D7" s="56"/>
      <c r="E7" s="54"/>
      <c r="F7" s="55"/>
      <c r="H7" s="54"/>
      <c r="I7" s="91"/>
      <c r="J7" s="53"/>
      <c r="K7" s="51"/>
      <c r="L7" s="51"/>
      <c r="M7" s="51"/>
      <c r="N7" s="51"/>
      <c r="O7" s="92"/>
      <c r="P7" s="40" t="s">
        <v>37</v>
      </c>
      <c r="Q7" s="31">
        <f>(4/3)*3.14*((((M6-O6)+(N6-O6))/4)^3)/((10^4)^3)</f>
        <v>8.4248571354166678E-9</v>
      </c>
      <c r="R7" s="98">
        <f>Q7*(H6-I6)</f>
        <v>8.3208915365738767E-10</v>
      </c>
      <c r="S7" s="31">
        <f>(4/3)*3.14*(((K6+O6)/2)*((K6+O6)/2)*((L6+O6)/2))/((10^4)^3)</f>
        <v>4.1889464375E-7</v>
      </c>
      <c r="T7" s="31">
        <f>S7-Q7</f>
        <v>4.1046978661458335E-7</v>
      </c>
      <c r="U7" s="31">
        <f>T7*3.2</f>
        <v>1.3135033171666667E-6</v>
      </c>
      <c r="V7" s="98">
        <f>U7*(C6+D6)*(10^-6)</f>
        <v>6.7737567569778078E-10</v>
      </c>
      <c r="X7" s="39">
        <f>R7/(R7+V7)</f>
        <v>0.55124779158508086</v>
      </c>
      <c r="Y7" s="38">
        <f>C6*(1/(1-X7))</f>
        <v>1123.4536767646557</v>
      </c>
    </row>
    <row r="8" spans="1:35" ht="14.5">
      <c r="A8" s="58"/>
      <c r="B8" s="58"/>
      <c r="C8" s="57"/>
      <c r="D8" s="56"/>
      <c r="E8" s="54"/>
      <c r="F8" s="55"/>
      <c r="H8" s="54"/>
      <c r="I8" s="91"/>
      <c r="J8" s="53"/>
      <c r="K8" s="51"/>
      <c r="L8" s="51"/>
      <c r="M8" s="51"/>
      <c r="N8" s="51"/>
      <c r="O8" s="92"/>
      <c r="P8" s="40" t="s">
        <v>36</v>
      </c>
      <c r="Q8" s="31">
        <f>(4/3)*3.14*((((M6+O6)+(N6+O6))/4)^3)/((10^4)^3)</f>
        <v>9.4659960937499993E-9</v>
      </c>
      <c r="R8" s="98">
        <f>Q7*(H6+I6)</f>
        <v>1.2224519664843105E-9</v>
      </c>
      <c r="S8" s="31">
        <f>(4/3)*3.14*(((K6-O6)/2)*((L6-O6)/2)*((L6-O6)/2))/((10^4)^3)</f>
        <v>3.3892080624999995E-7</v>
      </c>
      <c r="T8" s="31">
        <f>S8-Q8</f>
        <v>3.2945481015624995E-7</v>
      </c>
      <c r="U8" s="31">
        <f>T8*2.77</f>
        <v>9.1258982413281232E-7</v>
      </c>
      <c r="V8" s="98">
        <f>U8*(C6-D6)*(10^-6)</f>
        <v>4.4954457905008932E-10</v>
      </c>
      <c r="X8" s="39">
        <f>R8/(R8+V8)</f>
        <v>0.73113306947269618</v>
      </c>
      <c r="Y8" s="38">
        <f>C6*(1/(1-X8))</f>
        <v>1875.0997659371969</v>
      </c>
      <c r="Z8" s="37">
        <f>(Y8-Y7)/Y6</f>
        <v>0.4464588795836632</v>
      </c>
    </row>
    <row r="9" spans="1:35" ht="14.5">
      <c r="A9" s="58"/>
      <c r="B9" s="58"/>
      <c r="C9" s="57"/>
      <c r="D9" s="56"/>
      <c r="E9" s="54"/>
      <c r="F9" s="55"/>
      <c r="H9" s="54"/>
      <c r="I9" s="91"/>
      <c r="J9" s="53"/>
      <c r="K9" s="51"/>
      <c r="L9" s="51"/>
      <c r="M9" s="51"/>
      <c r="N9" s="51"/>
      <c r="O9" s="92"/>
      <c r="P9" s="40"/>
      <c r="X9" s="39"/>
      <c r="Y9" s="38"/>
      <c r="Z9" s="37"/>
    </row>
    <row r="10" spans="1:35">
      <c r="A10" s="58" t="s">
        <v>40</v>
      </c>
      <c r="B10" s="58">
        <v>11.1</v>
      </c>
      <c r="C10" s="57">
        <v>513.97129319999999</v>
      </c>
      <c r="D10" s="56">
        <v>6.9514811899999991</v>
      </c>
      <c r="E10" s="54">
        <v>4.3119352920000003</v>
      </c>
      <c r="F10" s="55">
        <v>4.0657988560000004E-2</v>
      </c>
      <c r="H10" s="54">
        <v>0.15110304026893573</v>
      </c>
      <c r="I10" s="91">
        <f>0.19*H10</f>
        <v>2.870957765109779E-2</v>
      </c>
      <c r="J10" s="53"/>
      <c r="K10" s="51">
        <v>104.7</v>
      </c>
      <c r="L10" s="51">
        <v>85.69</v>
      </c>
      <c r="M10" s="51">
        <v>32</v>
      </c>
      <c r="N10" s="51">
        <v>26.2</v>
      </c>
      <c r="O10" s="50">
        <v>0.5</v>
      </c>
      <c r="Q10" s="31">
        <f>(4/3)*3.14*(((M10+N10)/4)^3)/((10^4)^3)</f>
        <v>1.2896069489999999E-8</v>
      </c>
      <c r="R10" s="98">
        <f>Q10*H10</f>
        <v>1.9486353074584632E-9</v>
      </c>
      <c r="S10" s="31">
        <f>(4/3)*3.14*((K10/2)*(L10/2)*(L10/2))/((10^4)^3)</f>
        <v>4.0233273084729995E-7</v>
      </c>
      <c r="T10" s="31">
        <f>S10-Q10</f>
        <v>3.8943666135729997E-7</v>
      </c>
      <c r="U10" s="31">
        <f>T10*2.75</f>
        <v>1.070950818732575E-6</v>
      </c>
      <c r="V10" s="98">
        <f>U10*C10*(10^-6)</f>
        <v>5.504379772575803E-10</v>
      </c>
      <c r="X10" s="42">
        <f>R10/(R10+V10)</f>
        <v>0.77974316294605028</v>
      </c>
      <c r="Y10" s="38">
        <f>C10*(1/(1-X10))</f>
        <v>2333.5089165659265</v>
      </c>
      <c r="AA10" s="41">
        <f>Y12-Y10</f>
        <v>288.42530894875017</v>
      </c>
      <c r="AB10" s="41">
        <f>Y10-Y11</f>
        <v>870.75357364362162</v>
      </c>
    </row>
    <row r="11" spans="1:35" ht="14.5">
      <c r="A11" s="58"/>
      <c r="B11" s="58"/>
      <c r="C11" s="57"/>
      <c r="D11" s="56"/>
      <c r="E11" s="54"/>
      <c r="F11" s="55"/>
      <c r="H11" s="54"/>
      <c r="I11" s="91"/>
      <c r="J11" s="53"/>
      <c r="K11" s="51"/>
      <c r="L11" s="51"/>
      <c r="M11" s="51"/>
      <c r="N11" s="51"/>
      <c r="P11" s="40" t="s">
        <v>37</v>
      </c>
      <c r="Q11" s="31">
        <f>(4/3)*3.14*((((M10-O10)+(N10-O10))/4)^3)/((10^4)^3)</f>
        <v>1.2242679973333333E-8</v>
      </c>
      <c r="R11" s="98">
        <f>Q11*(H10-I10)</f>
        <v>1.4984239936583265E-9</v>
      </c>
      <c r="S11" s="31">
        <f>(4/3)*3.14*(((K10+O10)/2)*((K10+O10)/2)*((L10+O10)/2))/((10^4)^3)</f>
        <v>4.9919101294400004E-7</v>
      </c>
      <c r="T11" s="31">
        <f>S11-Q11</f>
        <v>4.8694833297066666E-7</v>
      </c>
      <c r="U11" s="31">
        <f>T11*3.2</f>
        <v>1.5582346655061333E-6</v>
      </c>
      <c r="V11" s="98">
        <f>U11*(C10+D10)*(10^-6)</f>
        <v>8.1171992510612856E-10</v>
      </c>
      <c r="X11" s="39">
        <f>R11/(R11+V11)</f>
        <v>0.64862798438104907</v>
      </c>
      <c r="Y11" s="38">
        <f>C10*(1/(1-X11))</f>
        <v>1462.7553429223049</v>
      </c>
    </row>
    <row r="12" spans="1:35" ht="14.5">
      <c r="A12" s="58"/>
      <c r="B12" s="58"/>
      <c r="C12" s="57"/>
      <c r="D12" s="56"/>
      <c r="E12" s="54"/>
      <c r="F12" s="55"/>
      <c r="H12" s="54"/>
      <c r="I12" s="91"/>
      <c r="J12" s="53"/>
      <c r="K12" s="51"/>
      <c r="L12" s="51"/>
      <c r="M12" s="51"/>
      <c r="N12" s="51"/>
      <c r="P12" s="40" t="s">
        <v>36</v>
      </c>
      <c r="Q12" s="31">
        <f>(4/3)*3.14*((((M10+O10)+(N10+O10))/4)^3)/((10^4)^3)</f>
        <v>1.3572302506666668E-8</v>
      </c>
      <c r="R12" s="98">
        <f>Q11*(H10+I10)</f>
        <v>2.201388336362233E-9</v>
      </c>
      <c r="S12" s="31">
        <f>(4/3)*3.14*(((K10-O10)/2)*((L10-O10)/2)*((L10-O10)/2))/((10^4)^3)</f>
        <v>3.9575221398113336E-7</v>
      </c>
      <c r="T12" s="31">
        <f>S12-Q12</f>
        <v>3.8217991147446672E-7</v>
      </c>
      <c r="U12" s="31">
        <f>T12*2.77</f>
        <v>1.0586383547842728E-6</v>
      </c>
      <c r="V12" s="98">
        <f>U12*(C10-D10)*(10^-6)</f>
        <v>5.3675061962929767E-10</v>
      </c>
      <c r="X12" s="39">
        <f>R12/(R12+V12)</f>
        <v>0.80397246879863693</v>
      </c>
      <c r="Y12" s="38">
        <f>C10*(1/(1-X12))</f>
        <v>2621.9342255146767</v>
      </c>
      <c r="Z12" s="37">
        <f>(Y12-Y11)/Y10</f>
        <v>0.49675356899782497</v>
      </c>
    </row>
    <row r="13" spans="1:35" ht="14.5">
      <c r="A13" s="58"/>
      <c r="B13" s="58"/>
      <c r="C13" s="57"/>
      <c r="D13" s="56"/>
      <c r="E13" s="54"/>
      <c r="F13" s="55"/>
      <c r="H13" s="54"/>
      <c r="I13" s="91"/>
      <c r="J13" s="53"/>
      <c r="K13" s="51"/>
      <c r="L13" s="51"/>
      <c r="M13" s="51"/>
      <c r="N13" s="51"/>
      <c r="P13" s="40"/>
      <c r="X13" s="39"/>
      <c r="Y13" s="38"/>
      <c r="Z13" s="37"/>
    </row>
    <row r="14" spans="1:35">
      <c r="A14" s="58" t="s">
        <v>40</v>
      </c>
      <c r="B14" s="58">
        <v>19.100000000000001</v>
      </c>
      <c r="C14" s="57">
        <v>494.52783850000003</v>
      </c>
      <c r="D14" s="56">
        <v>7.5696134180000003</v>
      </c>
      <c r="E14" s="54">
        <v>4.1670167559999998</v>
      </c>
      <c r="F14" s="55">
        <v>2.9732521839999998E-2</v>
      </c>
      <c r="H14" s="54">
        <v>0.17007860627927585</v>
      </c>
      <c r="I14" s="91">
        <f>0.19*H14</f>
        <v>3.2314935193062409E-2</v>
      </c>
      <c r="J14" s="53"/>
      <c r="K14" s="51">
        <v>63.4</v>
      </c>
      <c r="L14" s="51">
        <v>52</v>
      </c>
      <c r="M14" s="51">
        <v>18.399999999999999</v>
      </c>
      <c r="N14" s="51">
        <v>17.2</v>
      </c>
      <c r="O14" s="50">
        <v>0.5</v>
      </c>
      <c r="Q14" s="31">
        <f>(4/3)*3.14*(((M14+N14)/4)^3)/((10^4)^3)</f>
        <v>2.9514702133333322E-9</v>
      </c>
      <c r="R14" s="98">
        <f>Q14*H14</f>
        <v>5.0198194035853008E-10</v>
      </c>
      <c r="S14" s="31">
        <f>(4/3)*3.14*((K14/2)*(L14/2)*(L14/2))/((10^4)^3)</f>
        <v>8.9716917333333311E-8</v>
      </c>
      <c r="T14" s="31">
        <f t="shared" ref="T14:T19" si="1">S14-Q14</f>
        <v>8.6765447119999981E-8</v>
      </c>
      <c r="U14" s="31">
        <f>T14*2.75</f>
        <v>2.3860497957999998E-7</v>
      </c>
      <c r="V14" s="98">
        <f>U14*C14*(10^-6)</f>
        <v>1.1799680480703403E-10</v>
      </c>
      <c r="X14" s="42">
        <f t="shared" ref="X14:X19" si="2">R14/(R14+V14)</f>
        <v>0.80967604820787331</v>
      </c>
      <c r="Y14" s="38">
        <f>C14*(1/(1-X14))</f>
        <v>2598.3478897082127</v>
      </c>
      <c r="AA14" s="41">
        <f>Y16-Y14</f>
        <v>286.98218996121432</v>
      </c>
      <c r="AB14" s="41">
        <f>Y14-Y15</f>
        <v>1054.3182992383399</v>
      </c>
    </row>
    <row r="15" spans="1:35" ht="14.5">
      <c r="A15" s="58"/>
      <c r="B15" s="58"/>
      <c r="C15" s="57"/>
      <c r="D15" s="56"/>
      <c r="E15" s="54"/>
      <c r="F15" s="55"/>
      <c r="H15" s="54"/>
      <c r="I15" s="91"/>
      <c r="J15" s="53"/>
      <c r="K15" s="51"/>
      <c r="L15" s="51"/>
      <c r="M15" s="51"/>
      <c r="N15" s="51"/>
      <c r="P15" s="40" t="s">
        <v>37</v>
      </c>
      <c r="Q15" s="31">
        <f>(4/3)*3.14*((((M14-O14)+(N14-O14))/4)^3)/((10^4)^3)</f>
        <v>2.7096718966666652E-9</v>
      </c>
      <c r="R15" s="98">
        <f>Q15*(H14-I14)</f>
        <v>3.7329434792394257E-10</v>
      </c>
      <c r="S15" s="31">
        <f>(4/3)*3.14*(((K14+O14)/2)*((K14+O14)/2)*((L14+O14)/2))/((10^4)^3)</f>
        <v>1.1218619475E-7</v>
      </c>
      <c r="T15" s="31">
        <f t="shared" si="1"/>
        <v>1.0947652285333333E-7</v>
      </c>
      <c r="U15" s="31">
        <f>T15*3.2</f>
        <v>3.5032487313066666E-7</v>
      </c>
      <c r="V15" s="98">
        <f>U15*(C14+D14)*(10^-6)</f>
        <v>1.7589722614240436E-10</v>
      </c>
      <c r="X15" s="39">
        <f t="shared" si="2"/>
        <v>0.67971608733903388</v>
      </c>
      <c r="Y15" s="38">
        <f>C14*(1/(1-X15))</f>
        <v>1544.0295904698728</v>
      </c>
    </row>
    <row r="16" spans="1:35" ht="14.5">
      <c r="A16" s="58"/>
      <c r="B16" s="58"/>
      <c r="C16" s="57"/>
      <c r="D16" s="56"/>
      <c r="E16" s="54"/>
      <c r="F16" s="55"/>
      <c r="H16" s="54"/>
      <c r="I16" s="91"/>
      <c r="J16" s="53"/>
      <c r="K16" s="51"/>
      <c r="L16" s="51"/>
      <c r="M16" s="51"/>
      <c r="N16" s="51"/>
      <c r="P16" s="40" t="s">
        <v>36</v>
      </c>
      <c r="Q16" s="31">
        <f>(4/3)*3.14*((((M14+O14)+(N14+O14))/4)^3)/((10^4)^3)</f>
        <v>3.2072415299999981E-9</v>
      </c>
      <c r="R16" s="98">
        <f>Q15*(H14+I14)</f>
        <v>5.4842009139443413E-10</v>
      </c>
      <c r="S16" s="31">
        <f>(4/3)*3.14*(((K14-O14)/2)*((L14-O14)/2)*((L14-O14)/2))/((10^4)^3)</f>
        <v>8.7305881416666657E-8</v>
      </c>
      <c r="T16" s="31">
        <f t="shared" si="1"/>
        <v>8.4098639886666656E-8</v>
      </c>
      <c r="U16" s="31">
        <f>T16*2.77</f>
        <v>2.3295323248606663E-7</v>
      </c>
      <c r="V16" s="98">
        <f>U16*(C14-D14)*(10^-6)</f>
        <v>1.1343849261852951E-10</v>
      </c>
      <c r="X16" s="39">
        <f t="shared" si="2"/>
        <v>0.82860614735744265</v>
      </c>
      <c r="Y16" s="38">
        <f>C14*(1/(1-X16))</f>
        <v>2885.3300796694271</v>
      </c>
      <c r="Z16" s="37">
        <f>(Y16-Y15)/Y14</f>
        <v>0.51621281911952854</v>
      </c>
    </row>
    <row r="17" spans="1:28" ht="14.5">
      <c r="A17" s="58" t="s">
        <v>39</v>
      </c>
      <c r="B17" s="58">
        <v>2.1</v>
      </c>
      <c r="C17" s="57">
        <v>103.36992285000001</v>
      </c>
      <c r="D17" s="56">
        <v>3.08264074</v>
      </c>
      <c r="E17" s="54">
        <v>4.0663395639999997</v>
      </c>
      <c r="F17" s="55">
        <v>4.6949280000000003E-2</v>
      </c>
      <c r="H17" s="54">
        <v>6.6796991814044304E-3</v>
      </c>
      <c r="I17" s="91">
        <f>0.19*H17</f>
        <v>1.2691428444668417E-3</v>
      </c>
      <c r="J17" s="53"/>
      <c r="K17" s="51">
        <v>105.8</v>
      </c>
      <c r="L17" s="52">
        <v>92.8</v>
      </c>
      <c r="M17" s="51">
        <v>27.6</v>
      </c>
      <c r="N17" s="51">
        <v>27</v>
      </c>
      <c r="O17" s="50">
        <v>0.5</v>
      </c>
      <c r="Q17" s="31">
        <f>(4/3)*3.14*(((M17+N17)/4)^3)/((10^4)^3)</f>
        <v>1.064795823E-8</v>
      </c>
      <c r="R17" s="98">
        <f>Q17*H17</f>
        <v>7.1125157872559567E-11</v>
      </c>
      <c r="S17" s="31">
        <f>(4/3)*3.14*((K17/2)*(L17/2)*(L17/2))/((10^4)^3)</f>
        <v>4.768260983466666E-7</v>
      </c>
      <c r="T17" s="31">
        <f t="shared" si="1"/>
        <v>4.661781401166666E-7</v>
      </c>
      <c r="U17" s="31">
        <f>T17*2.75</f>
        <v>1.2819898853208332E-6</v>
      </c>
      <c r="V17" s="98">
        <f>U17*C17*(10^-6)</f>
        <v>1.3251919554009487E-10</v>
      </c>
      <c r="X17" s="42">
        <f t="shared" si="2"/>
        <v>0.34926162538096606</v>
      </c>
      <c r="Y17" s="38">
        <f>C17*(1/(1-X17))</f>
        <v>158.85020291068057</v>
      </c>
      <c r="AA17" s="41">
        <f>Y19-Y17</f>
        <v>9.5436027494531004</v>
      </c>
      <c r="AB17" s="41">
        <f>Y17-Y18</f>
        <v>24.945914063727741</v>
      </c>
    </row>
    <row r="18" spans="1:28" ht="14.5">
      <c r="A18" s="58"/>
      <c r="B18" s="58"/>
      <c r="C18" s="57"/>
      <c r="D18" s="56"/>
      <c r="E18" s="54"/>
      <c r="F18" s="55"/>
      <c r="H18" s="54"/>
      <c r="I18" s="91"/>
      <c r="J18" s="53"/>
      <c r="K18" s="51"/>
      <c r="L18" s="52"/>
      <c r="M18" s="51"/>
      <c r="N18" s="51"/>
      <c r="P18" s="40" t="s">
        <v>37</v>
      </c>
      <c r="Q18" s="31">
        <f>(4/3)*3.14*((((M17-O17)+(N17-O17))/4)^3)/((10^4)^3)</f>
        <v>1.0073555413333333E-8</v>
      </c>
      <c r="R18" s="98">
        <f>Q18*(H17-I17)</f>
        <v>5.450353907710261E-11</v>
      </c>
      <c r="S18" s="31">
        <f>(4/3)*3.14*(((K17+O17)/2)*((K17+O17)/2)*((L17+O17)/2))/((10^4)^3)</f>
        <v>5.5172996362999992E-7</v>
      </c>
      <c r="T18" s="31">
        <f t="shared" si="1"/>
        <v>5.4165640821666657E-7</v>
      </c>
      <c r="U18" s="31">
        <f>T18*3.2</f>
        <v>1.7333005062933331E-6</v>
      </c>
      <c r="V18" s="98">
        <f>U18*(C17+D17)*(10^-6)</f>
        <v>1.8451428236677025E-10</v>
      </c>
      <c r="X18" s="39">
        <f t="shared" si="2"/>
        <v>0.22803127711504709</v>
      </c>
      <c r="Y18" s="38">
        <f>C17*(1/(1-X18))</f>
        <v>133.90428884695282</v>
      </c>
    </row>
    <row r="19" spans="1:28" ht="14.5">
      <c r="A19" s="58"/>
      <c r="B19" s="58"/>
      <c r="C19" s="57"/>
      <c r="D19" s="56"/>
      <c r="E19" s="54"/>
      <c r="F19" s="55"/>
      <c r="H19" s="54"/>
      <c r="I19" s="91"/>
      <c r="J19" s="53"/>
      <c r="K19" s="51"/>
      <c r="L19" s="52"/>
      <c r="M19" s="51"/>
      <c r="N19" s="51"/>
      <c r="P19" s="40" t="s">
        <v>36</v>
      </c>
      <c r="Q19" s="31">
        <f>(4/3)*3.14*((((M17+O17)+(N17+O17))/4)^3)/((10^4)^3)</f>
        <v>1.1243791546666667E-8</v>
      </c>
      <c r="R19" s="98">
        <f>Q18*(H17+I17)</f>
        <v>8.0073100619447043E-11</v>
      </c>
      <c r="S19" s="31">
        <f>(4/3)*3.14*(((K17-O17)/2)*((L17-O17)/2)*((L17-O17)/2))/((10^4)^3)</f>
        <v>4.6947251402999989E-7</v>
      </c>
      <c r="T19" s="31">
        <f t="shared" si="1"/>
        <v>4.5822872248333322E-7</v>
      </c>
      <c r="U19" s="31">
        <f>T19*2.77</f>
        <v>1.269293561278833E-6</v>
      </c>
      <c r="V19" s="98">
        <f>U19*(C17-D17)*(10^-6)</f>
        <v>1.2729400146037689E-10</v>
      </c>
      <c r="X19" s="39">
        <f t="shared" si="2"/>
        <v>0.38614177377385389</v>
      </c>
      <c r="Y19" s="38">
        <f>C17*(1/(1-X19))</f>
        <v>168.39380566013367</v>
      </c>
      <c r="Z19" s="37">
        <f>(Y19-Y18)/Y17</f>
        <v>0.21711975295728048</v>
      </c>
    </row>
    <row r="20" spans="1:28" ht="14.5">
      <c r="A20" s="58"/>
      <c r="B20" s="58"/>
      <c r="C20" s="57"/>
      <c r="D20" s="56"/>
      <c r="E20" s="54"/>
      <c r="F20" s="55"/>
      <c r="H20" s="54"/>
      <c r="I20" s="91"/>
      <c r="J20" s="53"/>
      <c r="K20" s="51"/>
      <c r="L20" s="52"/>
      <c r="M20" s="51"/>
      <c r="N20" s="51"/>
      <c r="X20" s="39"/>
      <c r="Y20" s="38"/>
    </row>
    <row r="21" spans="1:28" ht="14.5">
      <c r="A21" s="58" t="s">
        <v>39</v>
      </c>
      <c r="B21" s="58">
        <v>5.2</v>
      </c>
      <c r="C21" s="57">
        <v>197.57573665999999</v>
      </c>
      <c r="D21" s="56">
        <v>5.6078436290000004</v>
      </c>
      <c r="E21" s="54">
        <v>3.9149237399999999</v>
      </c>
      <c r="F21" s="55">
        <v>2.8285622399999998E-2</v>
      </c>
      <c r="H21" s="54">
        <v>2.8385073987010401E-2</v>
      </c>
      <c r="I21" s="91">
        <f>0.19*H21</f>
        <v>5.3931640575319763E-3</v>
      </c>
      <c r="J21" s="53"/>
      <c r="K21" s="52">
        <v>121</v>
      </c>
      <c r="L21" s="51">
        <v>115</v>
      </c>
      <c r="M21" s="51">
        <v>37</v>
      </c>
      <c r="N21" s="51">
        <v>35</v>
      </c>
      <c r="O21" s="50">
        <v>0.5</v>
      </c>
      <c r="Q21" s="31">
        <f>(4/3)*3.14*(((M21+N21)/4)^3)/((10^4)^3)</f>
        <v>2.4416640000000001E-8</v>
      </c>
      <c r="R21" s="98">
        <f>Q21*H21</f>
        <v>6.9306813291419763E-10</v>
      </c>
      <c r="S21" s="31">
        <f>(4/3)*3.14*((K21/2)*(L21/2)*(L21/2))/((10^4)^3)</f>
        <v>8.3745108333333323E-7</v>
      </c>
      <c r="T21" s="31">
        <f>S21-Q21</f>
        <v>8.1303444333333319E-7</v>
      </c>
      <c r="U21" s="31">
        <f>T21*2.75</f>
        <v>2.2358447191666664E-6</v>
      </c>
      <c r="V21" s="98">
        <f>U21*C21*(10^-6)</f>
        <v>4.4174866744672487E-10</v>
      </c>
      <c r="X21" s="42">
        <f>R21/(R21+V21)</f>
        <v>0.61073129397958414</v>
      </c>
      <c r="Y21" s="38">
        <f>C21*(1/(1-X21))</f>
        <v>507.55617804437071</v>
      </c>
      <c r="AA21" s="41">
        <f>Y23-Y21</f>
        <v>56.733386015924054</v>
      </c>
      <c r="AB21" s="41">
        <f>Y21-Y22</f>
        <v>121.71599915295189</v>
      </c>
    </row>
    <row r="22" spans="1:28" ht="14.5">
      <c r="A22" s="58"/>
      <c r="B22" s="58"/>
      <c r="C22" s="57"/>
      <c r="D22" s="56"/>
      <c r="E22" s="54"/>
      <c r="F22" s="55"/>
      <c r="H22" s="54"/>
      <c r="I22" s="91"/>
      <c r="J22" s="53"/>
      <c r="K22" s="52"/>
      <c r="L22" s="51"/>
      <c r="M22" s="51"/>
      <c r="N22" s="51"/>
      <c r="P22" s="40" t="s">
        <v>37</v>
      </c>
      <c r="Q22" s="31">
        <f>(4/3)*3.14*((((M21-O21)+(N21-O21))/4)^3)/((10^4)^3)</f>
        <v>2.3413344583333333E-8</v>
      </c>
      <c r="R22" s="98">
        <f>Q22*(H21-I21)</f>
        <v>5.3831750980784153E-10</v>
      </c>
      <c r="S22" s="31">
        <f>(4/3)*3.14*(((K21+O21)/2)*((K21+O21)/2)*((L21+O21)/2))/((10^4)^3)</f>
        <v>8.9230420124999988E-7</v>
      </c>
      <c r="T22" s="31">
        <f>S22-Q22</f>
        <v>8.6889085666666652E-7</v>
      </c>
      <c r="U22" s="31">
        <f>T22*3.2</f>
        <v>2.7804507413333331E-6</v>
      </c>
      <c r="V22" s="98">
        <f>U22*(C21+D21)*(10^-6)</f>
        <v>5.6494193644131078E-10</v>
      </c>
      <c r="X22" s="39">
        <f>R22/(R22+V22)</f>
        <v>0.48793374182111615</v>
      </c>
      <c r="Y22" s="38">
        <f>C21*(1/(1-X22))</f>
        <v>385.84017889141882</v>
      </c>
    </row>
    <row r="23" spans="1:28" ht="14.5">
      <c r="A23" s="58"/>
      <c r="B23" s="58"/>
      <c r="C23" s="57"/>
      <c r="D23" s="56"/>
      <c r="E23" s="54"/>
      <c r="F23" s="55"/>
      <c r="H23" s="54"/>
      <c r="I23" s="91"/>
      <c r="J23" s="53"/>
      <c r="K23" s="52"/>
      <c r="L23" s="51"/>
      <c r="M23" s="51"/>
      <c r="N23" s="51"/>
      <c r="P23" s="40" t="s">
        <v>36</v>
      </c>
      <c r="Q23" s="31">
        <f>(4/3)*3.14*((((M21+O21)+(N21+O21))/4)^3)/((10^4)^3)</f>
        <v>2.5448195416666667E-8</v>
      </c>
      <c r="R23" s="98">
        <f>Q22*(H21+I21)</f>
        <v>7.9086152675473025E-10</v>
      </c>
      <c r="S23" s="31">
        <f>(4/3)*3.14*(((K21-O21)/2)*((L21-O21)/2)*((L21-O21)/2))/((10^4)^3)</f>
        <v>8.2675421541666663E-7</v>
      </c>
      <c r="T23" s="31">
        <f>S23-Q23</f>
        <v>8.0130601999999998E-7</v>
      </c>
      <c r="U23" s="31">
        <f>T23*2.77</f>
        <v>2.2196176754E-6</v>
      </c>
      <c r="V23" s="98">
        <f>U23*(C21-D21)*(10^-6)</f>
        <v>4.2609532848090404E-10</v>
      </c>
      <c r="X23" s="39">
        <f>R23/(R23+V23)</f>
        <v>0.64986817186842594</v>
      </c>
      <c r="Y23" s="38">
        <f>C21*(1/(1-X23))</f>
        <v>564.28956406029477</v>
      </c>
      <c r="Z23" s="37">
        <f>(Y23-Y22)/Y21</f>
        <v>0.35158548528844003</v>
      </c>
    </row>
    <row r="24" spans="1:28" ht="14.5">
      <c r="A24" s="58"/>
      <c r="B24" s="58"/>
      <c r="C24" s="57"/>
      <c r="D24" s="56"/>
      <c r="E24" s="54"/>
      <c r="F24" s="55"/>
      <c r="H24" s="54"/>
      <c r="I24" s="91"/>
      <c r="J24" s="53"/>
      <c r="K24" s="52"/>
      <c r="L24" s="51"/>
      <c r="M24" s="51"/>
      <c r="N24" s="51"/>
      <c r="X24" s="39"/>
      <c r="Y24" s="38"/>
    </row>
    <row r="25" spans="1:28" ht="14.5">
      <c r="A25" s="58" t="s">
        <v>39</v>
      </c>
      <c r="B25" s="58">
        <v>6.1</v>
      </c>
      <c r="C25" s="57">
        <v>114.01860793</v>
      </c>
      <c r="D25" s="56">
        <v>1.8419450129999999</v>
      </c>
      <c r="E25" s="54">
        <v>3.8971067519999996</v>
      </c>
      <c r="F25" s="55">
        <v>1.2646149039999999E-2</v>
      </c>
      <c r="H25" s="54">
        <v>4.3355177804187406E-2</v>
      </c>
      <c r="I25" s="91">
        <f>0.19*H25</f>
        <v>8.2374837827956064E-3</v>
      </c>
      <c r="J25" s="53"/>
      <c r="K25" s="51">
        <v>166</v>
      </c>
      <c r="L25" s="52">
        <v>159</v>
      </c>
      <c r="M25" s="51">
        <v>36</v>
      </c>
      <c r="N25" s="51">
        <v>37</v>
      </c>
      <c r="O25" s="50">
        <v>0.5</v>
      </c>
      <c r="Q25" s="31">
        <f>(4/3)*3.14*(((M25+N25)/4)^3)/((10^4)^3)</f>
        <v>2.5448195416666667E-8</v>
      </c>
      <c r="R25" s="98">
        <f>Q25*H25</f>
        <v>1.1033110370852904E-9</v>
      </c>
      <c r="S25" s="31">
        <f>(4/3)*3.14*((K25/2)*(L25/2)*(L25/2))/((10^4)^3)</f>
        <v>2.1962447399999999E-6</v>
      </c>
      <c r="T25" s="31">
        <f>S25-Q25</f>
        <v>2.1707965445833332E-6</v>
      </c>
      <c r="U25" s="31">
        <f>T25*2.75</f>
        <v>5.9696904976041661E-6</v>
      </c>
      <c r="V25" s="98">
        <f>U25*C25*(10^-6)</f>
        <v>6.8065580030977594E-10</v>
      </c>
      <c r="X25" s="42">
        <f>R25/(R25+V25)</f>
        <v>0.61845938722512139</v>
      </c>
      <c r="Y25" s="38">
        <f>C25*(1/(1-X25))</f>
        <v>298.83740842360783</v>
      </c>
      <c r="AA25" s="41">
        <f>Y27-Y25</f>
        <v>30.2392913332734</v>
      </c>
      <c r="AB25" s="41">
        <f>Y25-Y26</f>
        <v>69.648277605687639</v>
      </c>
    </row>
    <row r="26" spans="1:28" ht="14.5">
      <c r="A26" s="58"/>
      <c r="B26" s="58"/>
      <c r="C26" s="57"/>
      <c r="D26" s="56"/>
      <c r="E26" s="54"/>
      <c r="F26" s="55"/>
      <c r="H26" s="54"/>
      <c r="I26" s="91"/>
      <c r="J26" s="53"/>
      <c r="K26" s="51"/>
      <c r="L26" s="52"/>
      <c r="M26" s="51"/>
      <c r="N26" s="51"/>
      <c r="P26" s="40" t="s">
        <v>37</v>
      </c>
      <c r="Q26" s="31">
        <f>(4/3)*3.14*((((M25-O25)+(N25-O25))/4)^3)/((10^4)^3)</f>
        <v>2.4416640000000001E-8</v>
      </c>
      <c r="R26" s="98">
        <f>Q26*(H25-I25)</f>
        <v>8.5745609255047577E-10</v>
      </c>
      <c r="S26" s="31">
        <f>(4/3)*3.14*(((K25+O25)/2)*((K25+O25)/2)*((L25+O25)/2))/((10^4)^3)</f>
        <v>2.3140224112499999E-6</v>
      </c>
      <c r="T26" s="31">
        <f>S26-Q26</f>
        <v>2.28960577125E-6</v>
      </c>
      <c r="U26" s="31">
        <f>T26*3.2</f>
        <v>7.3267384680000007E-6</v>
      </c>
      <c r="V26" s="98">
        <f>U26*(C25+D25)*(10^-6)</f>
        <v>8.4887997017122881E-10</v>
      </c>
      <c r="X26" s="39">
        <f>R26/(R26+V26)</f>
        <v>0.50251302265907916</v>
      </c>
      <c r="Y26" s="38">
        <f>C25*(1/(1-X26))</f>
        <v>229.18913081792019</v>
      </c>
    </row>
    <row r="27" spans="1:28" ht="14.5">
      <c r="A27" s="58"/>
      <c r="B27" s="58"/>
      <c r="C27" s="57"/>
      <c r="D27" s="56"/>
      <c r="E27" s="54"/>
      <c r="F27" s="55"/>
      <c r="H27" s="54"/>
      <c r="I27" s="91"/>
      <c r="J27" s="53"/>
      <c r="K27" s="51"/>
      <c r="L27" s="52"/>
      <c r="M27" s="51"/>
      <c r="N27" s="51"/>
      <c r="P27" s="40" t="s">
        <v>36</v>
      </c>
      <c r="Q27" s="31">
        <f>(4/3)*3.14*((((M25+O25)+(N25+O25))/4)^3)/((10^4)^3)</f>
        <v>2.6508403333333333E-8</v>
      </c>
      <c r="R27" s="98">
        <f>Q26*(H25+I25)</f>
        <v>1.259719444611193E-9</v>
      </c>
      <c r="S27" s="31">
        <f>(4/3)*3.14*(((K25-O25)/2)*((L25-O25)/2)*((L25-O25)/2))/((10^4)^3)</f>
        <v>2.1758799429166668E-6</v>
      </c>
      <c r="T27" s="31">
        <f>S27-Q27</f>
        <v>2.1493715395833333E-6</v>
      </c>
      <c r="U27" s="31">
        <f>T27*2.77</f>
        <v>5.9537591646458331E-6</v>
      </c>
      <c r="V27" s="98">
        <f>U27*(C25-D25)*(10^-6)</f>
        <v>6.6787283490147514E-10</v>
      </c>
      <c r="X27" s="39">
        <f>R27/(R27+V27)</f>
        <v>0.65351965662036882</v>
      </c>
      <c r="Y27" s="38">
        <f>C25*(1/(1-X27))</f>
        <v>329.07669975688123</v>
      </c>
      <c r="Z27" s="37">
        <f>(Y27-Y26)/Y25</f>
        <v>0.33425389902113084</v>
      </c>
    </row>
    <row r="28" spans="1:28" ht="14.5">
      <c r="A28" s="58"/>
      <c r="B28" s="58"/>
      <c r="C28" s="57"/>
      <c r="D28" s="56"/>
      <c r="E28" s="54"/>
      <c r="F28" s="55"/>
      <c r="H28" s="54"/>
      <c r="I28" s="91"/>
      <c r="J28" s="53"/>
      <c r="K28" s="51"/>
      <c r="L28" s="52"/>
      <c r="M28" s="51"/>
      <c r="N28" s="51"/>
      <c r="X28" s="39"/>
      <c r="Y28" s="38"/>
    </row>
    <row r="29" spans="1:28" ht="14.5">
      <c r="A29" s="58" t="s">
        <v>39</v>
      </c>
      <c r="B29" s="58">
        <v>7.5</v>
      </c>
      <c r="C29" s="57">
        <v>184.12251821000001</v>
      </c>
      <c r="D29" s="56">
        <v>2.5912308320000004</v>
      </c>
      <c r="E29" s="54">
        <v>3.7908422440000002</v>
      </c>
      <c r="F29" s="55">
        <v>2.7795336519999998E-2</v>
      </c>
      <c r="H29" s="54">
        <v>1.5846115165913943E-2</v>
      </c>
      <c r="I29" s="91">
        <f>0.19*H29</f>
        <v>3.010761881523649E-3</v>
      </c>
      <c r="J29" s="53"/>
      <c r="K29" s="51">
        <v>114</v>
      </c>
      <c r="L29" s="52">
        <v>84.2</v>
      </c>
      <c r="M29" s="51">
        <v>31.4</v>
      </c>
      <c r="N29" s="51">
        <v>30.8</v>
      </c>
      <c r="O29" s="50">
        <v>0.5</v>
      </c>
      <c r="Q29" s="31">
        <f>(4/3)*3.14*(((M29+N29)/4)^3)/((10^4)^3)</f>
        <v>1.574198755666667E-8</v>
      </c>
      <c r="R29" s="98">
        <f>Q29*H29</f>
        <v>2.494493477633243E-10</v>
      </c>
      <c r="S29" s="31">
        <f>(4/3)*3.14*((K29/2)*(L29/2)*(L29/2))/((10^4)^3)</f>
        <v>4.2296792240000005E-7</v>
      </c>
      <c r="T29" s="31">
        <f>S29-Q29</f>
        <v>4.0722593484333337E-7</v>
      </c>
      <c r="U29" s="31">
        <f>T29*2.75</f>
        <v>1.1198713208191668E-6</v>
      </c>
      <c r="V29" s="98">
        <f>U29*C29*(10^-6)</f>
        <v>2.0619352766038379E-10</v>
      </c>
      <c r="X29" s="42">
        <f>R29/(R29+V29)</f>
        <v>0.54746680178277385</v>
      </c>
      <c r="Y29" s="38">
        <f>C29*(1/(1-X29))</f>
        <v>406.87074215849469</v>
      </c>
      <c r="AA29" s="41">
        <f>Y31-Y29</f>
        <v>36.34062153491675</v>
      </c>
      <c r="AB29" s="41">
        <f>Y29-Y30</f>
        <v>117.98434862165408</v>
      </c>
    </row>
    <row r="30" spans="1:28" ht="14.5">
      <c r="A30" s="58"/>
      <c r="B30" s="58"/>
      <c r="C30" s="57"/>
      <c r="D30" s="56"/>
      <c r="E30" s="54"/>
      <c r="F30" s="55"/>
      <c r="H30" s="54"/>
      <c r="I30" s="91"/>
      <c r="J30" s="53"/>
      <c r="K30" s="51"/>
      <c r="L30" s="52"/>
      <c r="M30" s="51"/>
      <c r="N30" s="51"/>
      <c r="P30" s="40" t="s">
        <v>37</v>
      </c>
      <c r="Q30" s="31">
        <f>(4/3)*3.14*((((M29-O29)+(N29-O29))/4)^3)/((10^4)^3)</f>
        <v>1.4994869040000004E-8</v>
      </c>
      <c r="R30" s="98">
        <f>Q30*(H29-I29)</f>
        <v>1.9246444158156636E-10</v>
      </c>
      <c r="S30" s="31">
        <f>(4/3)*3.14*(((K29+O29)/2)*((K29+O29)/2)*((L29+O29)/2))/((10^4)^3)</f>
        <v>5.8112931158333333E-7</v>
      </c>
      <c r="T30" s="31">
        <f>S30-Q30</f>
        <v>5.6613444254333328E-7</v>
      </c>
      <c r="U30" s="31">
        <f>T30*3.2</f>
        <v>1.8116302161386666E-6</v>
      </c>
      <c r="V30" s="98">
        <f>U30*(C29+D29)*(10^-6)</f>
        <v>3.3825626953301923E-10</v>
      </c>
      <c r="X30" s="39">
        <f>R30/(R30+V30)</f>
        <v>0.36264731628310659</v>
      </c>
      <c r="Y30" s="38">
        <f>C29*(1/(1-X30))</f>
        <v>288.88639353684061</v>
      </c>
    </row>
    <row r="31" spans="1:28" ht="14.5">
      <c r="A31" s="58"/>
      <c r="B31" s="58"/>
      <c r="C31" s="57"/>
      <c r="D31" s="56"/>
      <c r="E31" s="54"/>
      <c r="F31" s="55"/>
      <c r="H31" s="54"/>
      <c r="I31" s="91"/>
      <c r="J31" s="53"/>
      <c r="K31" s="51"/>
      <c r="L31" s="52"/>
      <c r="M31" s="51"/>
      <c r="N31" s="51"/>
      <c r="P31" s="40" t="s">
        <v>36</v>
      </c>
      <c r="Q31" s="31">
        <f>(4/3)*3.14*((((M29+O29)+(N29+O29))/4)^3)/((10^4)^3)</f>
        <v>1.6513519573333335E-8</v>
      </c>
      <c r="R31" s="98">
        <f>Q30*(H29+I29)</f>
        <v>2.8275640182970863E-10</v>
      </c>
      <c r="S31" s="31">
        <f>(4/3)*3.14*(((K29-O29)/2)*((L29-O29)/2)*((L29-O29)/2))/((10^4)^3)</f>
        <v>4.1612630985000001E-7</v>
      </c>
      <c r="T31" s="31">
        <f>S31-Q31</f>
        <v>3.9961279027666666E-7</v>
      </c>
      <c r="U31" s="31">
        <f>T31*2.77</f>
        <v>1.1069274290663667E-6</v>
      </c>
      <c r="V31" s="98">
        <f>U31*(C29-D29)*(10^-6)</f>
        <v>2.0094196123243733E-10</v>
      </c>
      <c r="X31" s="39">
        <f>R31/(R31+V31)</f>
        <v>0.58457175674456407</v>
      </c>
      <c r="Y31" s="38">
        <f>C29*(1/(1-X31))</f>
        <v>443.21136369341144</v>
      </c>
      <c r="Z31" s="37">
        <f>(Y31-Y30)/Y29</f>
        <v>0.37929729067727908</v>
      </c>
    </row>
    <row r="32" spans="1:28" ht="14.5">
      <c r="A32" s="58"/>
      <c r="B32" s="58"/>
      <c r="C32" s="57"/>
      <c r="D32" s="56"/>
      <c r="E32" s="54"/>
      <c r="F32" s="55"/>
      <c r="H32" s="54"/>
      <c r="I32" s="91"/>
      <c r="J32" s="53"/>
      <c r="K32" s="51"/>
      <c r="L32" s="52"/>
      <c r="M32" s="51"/>
      <c r="N32" s="51"/>
      <c r="X32" s="39"/>
      <c r="Y32" s="38"/>
    </row>
    <row r="33" spans="1:28" ht="14.5">
      <c r="A33" s="58" t="s">
        <v>39</v>
      </c>
      <c r="B33" s="58">
        <v>8.3000000000000007</v>
      </c>
      <c r="C33" s="57">
        <v>186.56252440000003</v>
      </c>
      <c r="D33" s="56">
        <v>3.7315111510000003</v>
      </c>
      <c r="E33" s="54">
        <v>4.1157550000000001</v>
      </c>
      <c r="F33" s="55">
        <v>2.0181684319999997E-2</v>
      </c>
      <c r="H33" s="54">
        <v>1.4073401478526648E-2</v>
      </c>
      <c r="I33" s="91">
        <f>0.19*H33</f>
        <v>2.6739462809200632E-3</v>
      </c>
      <c r="J33" s="53"/>
      <c r="K33" s="51">
        <v>140</v>
      </c>
      <c r="L33" s="52">
        <v>126</v>
      </c>
      <c r="M33" s="51">
        <v>40</v>
      </c>
      <c r="N33" s="51">
        <v>41</v>
      </c>
      <c r="O33" s="50">
        <v>0.5</v>
      </c>
      <c r="Q33" s="31">
        <f>(4/3)*3.14*(((M33+N33)/4)^3)/((10^4)^3)</f>
        <v>3.4765098749999995E-8</v>
      </c>
      <c r="R33" s="98">
        <f>Q33*H33</f>
        <v>4.8926319214937481E-10</v>
      </c>
      <c r="S33" s="31">
        <f>(4/3)*3.14*((K33/2)*(L33/2)*(L33/2))/((10^4)^3)</f>
        <v>1.1631815999999999E-6</v>
      </c>
      <c r="T33" s="31">
        <f>S33-Q33</f>
        <v>1.12841650125E-6</v>
      </c>
      <c r="U33" s="31">
        <f>T33*2.75</f>
        <v>3.1031453784374998E-6</v>
      </c>
      <c r="V33" s="98">
        <f>U33*C33*(10^-6)</f>
        <v>5.7893063538149334E-10</v>
      </c>
      <c r="X33" s="42">
        <f>R33/(R33+V33)</f>
        <v>0.45802847717282502</v>
      </c>
      <c r="Y33" s="38">
        <f>C33*(1/(1-X33))</f>
        <v>344.2293857559219</v>
      </c>
      <c r="AA33" s="41">
        <f>Y35-Y33</f>
        <v>27.85727351894684</v>
      </c>
      <c r="AB33" s="41">
        <f>Y33-Y34</f>
        <v>65.80273766729016</v>
      </c>
    </row>
    <row r="34" spans="1:28" ht="14.5">
      <c r="A34" s="58"/>
      <c r="B34" s="58"/>
      <c r="C34" s="57"/>
      <c r="D34" s="56"/>
      <c r="E34" s="54"/>
      <c r="F34" s="55"/>
      <c r="H34" s="54"/>
      <c r="I34" s="91"/>
      <c r="J34" s="53"/>
      <c r="K34" s="51"/>
      <c r="L34" s="52"/>
      <c r="M34" s="51"/>
      <c r="N34" s="51"/>
      <c r="P34" s="40" t="s">
        <v>37</v>
      </c>
      <c r="Q34" s="31">
        <f>(4/3)*3.14*((((M33-O33)+(N33-O33))/4)^3)/((10^4)^3)</f>
        <v>3.3493333333333337E-8</v>
      </c>
      <c r="R34" s="98">
        <f>Q34*(H33-I33)</f>
        <v>3.8180575275183658E-10</v>
      </c>
      <c r="S34" s="31">
        <f>(4/3)*3.14*(((K33+O33)/2)*((K33+O33)/2)*((L33+O33)/2))/((10^4)^3)</f>
        <v>1.3068374504166668E-6</v>
      </c>
      <c r="T34" s="31">
        <f>S34-Q34</f>
        <v>1.2733441170833334E-6</v>
      </c>
      <c r="U34" s="31">
        <f>T34*3.2</f>
        <v>4.074701174666667E-6</v>
      </c>
      <c r="V34" s="98">
        <f>U34*(C33+D33)*(10^-6)</f>
        <v>7.7539133019172038E-10</v>
      </c>
      <c r="X34" s="39">
        <f>R34/(R34+V34)</f>
        <v>0.32994012720861604</v>
      </c>
      <c r="Y34" s="38">
        <f>C33*(1/(1-X34))</f>
        <v>278.42664808863174</v>
      </c>
    </row>
    <row r="35" spans="1:28" ht="14.5">
      <c r="A35" s="58"/>
      <c r="B35" s="58"/>
      <c r="C35" s="57"/>
      <c r="D35" s="56"/>
      <c r="E35" s="54"/>
      <c r="F35" s="55"/>
      <c r="H35" s="54"/>
      <c r="I35" s="91"/>
      <c r="J35" s="53"/>
      <c r="K35" s="51"/>
      <c r="L35" s="52"/>
      <c r="M35" s="51"/>
      <c r="N35" s="51"/>
      <c r="P35" s="40" t="s">
        <v>36</v>
      </c>
      <c r="Q35" s="31">
        <f>(4/3)*3.14*((((M33+O33)+(N33+O33))/4)^3)/((10^4)^3)</f>
        <v>3.6068656666666664E-8</v>
      </c>
      <c r="R35" s="98">
        <f>Q34*(H33+I33)</f>
        <v>5.6092450095640189E-10</v>
      </c>
      <c r="S35" s="31">
        <f>(4/3)*3.14*(((K33-O33)/2)*((L33-O33)/2)*((L33-O33)/2))/((10^4)^3)</f>
        <v>1.14984700125E-6</v>
      </c>
      <c r="T35" s="31">
        <f>S35-Q35</f>
        <v>1.1137783445833334E-6</v>
      </c>
      <c r="U35" s="31">
        <f>T35*2.77</f>
        <v>3.0851660144958335E-6</v>
      </c>
      <c r="V35" s="98">
        <f>U35*(C33-D33)*(10^-6)</f>
        <v>5.6406402847165227E-10</v>
      </c>
      <c r="X35" s="39">
        <f>R35/(R35+V35)</f>
        <v>0.49860464021048884</v>
      </c>
      <c r="Y35" s="38">
        <f>C33*(1/(1-X35))</f>
        <v>372.08665927486874</v>
      </c>
      <c r="Z35" s="37">
        <f>(Y35-Y34)/Y33</f>
        <v>0.27208604222025151</v>
      </c>
    </row>
    <row r="36" spans="1:28" ht="14.5">
      <c r="A36" s="58"/>
      <c r="B36" s="58"/>
      <c r="C36" s="57"/>
      <c r="D36" s="56"/>
      <c r="E36" s="54"/>
      <c r="F36" s="55"/>
      <c r="H36" s="54"/>
      <c r="I36" s="91"/>
      <c r="J36" s="53"/>
      <c r="K36" s="51"/>
      <c r="L36" s="52"/>
      <c r="M36" s="51"/>
      <c r="N36" s="51"/>
      <c r="X36" s="39"/>
      <c r="Y36" s="38"/>
    </row>
    <row r="37" spans="1:28" ht="14.5">
      <c r="A37" s="58" t="s">
        <v>39</v>
      </c>
      <c r="B37" s="58">
        <v>10.1</v>
      </c>
      <c r="C37" s="57">
        <v>500.74565359999997</v>
      </c>
      <c r="D37" s="56">
        <v>46.384379319999994</v>
      </c>
      <c r="E37" s="54">
        <v>3.8559733799999996</v>
      </c>
      <c r="F37" s="55">
        <v>4.2901399239999999E-2</v>
      </c>
      <c r="H37" s="54">
        <v>1.9048795795242768E-2</v>
      </c>
      <c r="I37" s="91">
        <f>0.19*H37</f>
        <v>3.6192712010961257E-3</v>
      </c>
      <c r="J37" s="53"/>
      <c r="K37" s="51">
        <v>77.8</v>
      </c>
      <c r="L37" s="52">
        <v>66</v>
      </c>
      <c r="M37" s="51">
        <v>19.2</v>
      </c>
      <c r="N37" s="51">
        <v>19.8</v>
      </c>
      <c r="O37" s="50">
        <v>0.5</v>
      </c>
      <c r="Q37" s="31">
        <f>(4/3)*3.14*(((M37+N37)/4)^3)/((10^4)^3)</f>
        <v>3.8804512499999998E-9</v>
      </c>
      <c r="R37" s="98">
        <f>Q37*H37</f>
        <v>7.3917923454644532E-11</v>
      </c>
      <c r="S37" s="31">
        <f>(4/3)*3.14*((K37/2)*(L37/2)*(L37/2))/((10^4)^3)</f>
        <v>1.7735599199999999E-7</v>
      </c>
      <c r="T37" s="31">
        <f>S37-Q37</f>
        <v>1.7347554074999999E-7</v>
      </c>
      <c r="U37" s="31">
        <f>T37*2.75</f>
        <v>4.7705773706249998E-7</v>
      </c>
      <c r="V37" s="98">
        <f>U37*C37*(10^-6)</f>
        <v>2.3888458835029847E-10</v>
      </c>
      <c r="X37" s="42">
        <f>R37/(R37+V37)</f>
        <v>0.23630859940388899</v>
      </c>
      <c r="Y37" s="38">
        <f>C37*(1/(1-X37))</f>
        <v>655.69109879872315</v>
      </c>
      <c r="AA37" s="41">
        <f>Y39-Y37</f>
        <v>36.195680706109556</v>
      </c>
      <c r="AB37" s="41">
        <f>Y37-Y38</f>
        <v>79.433904382002311</v>
      </c>
    </row>
    <row r="38" spans="1:28" ht="14.5">
      <c r="A38" s="58"/>
      <c r="B38" s="58"/>
      <c r="C38" s="57"/>
      <c r="D38" s="56"/>
      <c r="E38" s="54"/>
      <c r="F38" s="55"/>
      <c r="H38" s="54"/>
      <c r="I38" s="91"/>
      <c r="J38" s="53"/>
      <c r="K38" s="51"/>
      <c r="L38" s="52"/>
      <c r="M38" s="51"/>
      <c r="N38" s="51"/>
      <c r="P38" s="40" t="s">
        <v>37</v>
      </c>
      <c r="Q38" s="31">
        <f>(4/3)*3.14*((((M37-O37)+(N37-O37))/4)^3)/((10^4)^3)</f>
        <v>3.5895433333333329E-9</v>
      </c>
      <c r="R38" s="98">
        <f>Q38*(H37-I37)</f>
        <v>5.5384947143421776E-11</v>
      </c>
      <c r="S38" s="31">
        <f>(4/3)*3.14*(((K37+O37)/2)*((K37+O37)/2)*((L37+O37)/2))/((10^4)^3)</f>
        <v>2.1336519014999996E-7</v>
      </c>
      <c r="T38" s="31">
        <f>S38-Q38</f>
        <v>2.0977564681666663E-7</v>
      </c>
      <c r="U38" s="31">
        <f>T38*3.2</f>
        <v>6.7128206981333321E-7</v>
      </c>
      <c r="V38" s="98">
        <f>U38*(C37+D37)*(10^-6)</f>
        <v>3.6727858095557474E-10</v>
      </c>
      <c r="X38" s="39">
        <f>R38/(R38+V38)</f>
        <v>0.13103791423055902</v>
      </c>
      <c r="Y38" s="38">
        <f>C37*(1/(1-X38))</f>
        <v>576.25719441672084</v>
      </c>
    </row>
    <row r="39" spans="1:28" ht="14.5">
      <c r="A39" s="58"/>
      <c r="B39" s="58"/>
      <c r="C39" s="57"/>
      <c r="D39" s="56"/>
      <c r="E39" s="54"/>
      <c r="F39" s="55"/>
      <c r="H39" s="54"/>
      <c r="I39" s="91"/>
      <c r="J39" s="53"/>
      <c r="K39" s="51"/>
      <c r="L39" s="52"/>
      <c r="M39" s="51"/>
      <c r="N39" s="51"/>
      <c r="P39" s="40" t="s">
        <v>36</v>
      </c>
      <c r="Q39" s="31">
        <f>(4/3)*3.14*((((M37+O37)+(N37+O37))/4)^3)/((10^4)^3)</f>
        <v>4.1866666666666671E-9</v>
      </c>
      <c r="R39" s="98">
        <f>Q38*(H37+I37)</f>
        <v>8.1368008766261629E-11</v>
      </c>
      <c r="S39" s="31">
        <f>(4/3)*3.14*(((K37-O37)/2)*((L37-O37)/2)*((L37-O37)/2))/((10^4)^3)</f>
        <v>1.7355634341666665E-7</v>
      </c>
      <c r="T39" s="31">
        <f>S39-Q39</f>
        <v>1.6936967674999998E-7</v>
      </c>
      <c r="U39" s="31">
        <f>T39*2.77</f>
        <v>4.6915400459749996E-7</v>
      </c>
      <c r="V39" s="98">
        <f>U39*(C37-D37)*(10^-6)</f>
        <v>2.1316541136248504E-10</v>
      </c>
      <c r="X39" s="39">
        <f>R39/(R39+V39)</f>
        <v>0.27626069982378904</v>
      </c>
      <c r="Y39" s="38">
        <f>C37*(1/(1-X39))</f>
        <v>691.8867795048327</v>
      </c>
      <c r="Z39" s="37">
        <f>(Y39-Y38)/Y37</f>
        <v>0.17634765105085951</v>
      </c>
    </row>
    <row r="40" spans="1:28" ht="14.5">
      <c r="A40" s="58"/>
      <c r="B40" s="58"/>
      <c r="C40" s="57"/>
      <c r="D40" s="56"/>
      <c r="E40" s="54"/>
      <c r="F40" s="55"/>
      <c r="H40" s="54"/>
      <c r="I40" s="91"/>
      <c r="J40" s="53"/>
      <c r="K40" s="51"/>
      <c r="L40" s="52"/>
      <c r="M40" s="51"/>
      <c r="N40" s="51"/>
      <c r="X40" s="39"/>
      <c r="Y40" s="38"/>
    </row>
    <row r="41" spans="1:28" ht="14.5">
      <c r="A41" s="58" t="s">
        <v>39</v>
      </c>
      <c r="B41" s="58">
        <v>13.1</v>
      </c>
      <c r="C41" s="57">
        <v>172.27879353</v>
      </c>
      <c r="D41" s="56">
        <v>0.82791180529999997</v>
      </c>
      <c r="E41" s="54">
        <v>3.8690866480000001</v>
      </c>
      <c r="F41" s="55">
        <v>3.0596819399999999E-2</v>
      </c>
      <c r="H41" s="54">
        <v>4.2618054540071171E-2</v>
      </c>
      <c r="I41" s="91">
        <f>0.19*H41</f>
        <v>8.0974303626135218E-3</v>
      </c>
      <c r="J41" s="53"/>
      <c r="K41" s="52">
        <v>93.2</v>
      </c>
      <c r="L41" s="51">
        <v>80.2</v>
      </c>
      <c r="M41" s="51">
        <v>28</v>
      </c>
      <c r="N41" s="51">
        <v>29.2</v>
      </c>
      <c r="O41" s="50">
        <v>0.5</v>
      </c>
      <c r="Q41" s="31">
        <f>(4/3)*3.14*(((M41+N41)/4)^3)/((10^4)^3)</f>
        <v>1.2242679973333333E-8</v>
      </c>
      <c r="R41" s="98">
        <f>Q41*H41</f>
        <v>5.2175920282015703E-10</v>
      </c>
      <c r="S41" s="31">
        <f>(4/3)*3.14*((K41/2)*(L41/2)*(L41/2))/((10^4)^3)</f>
        <v>3.1372060698666671E-7</v>
      </c>
      <c r="T41" s="31">
        <f>S41-Q41</f>
        <v>3.0147792701333338E-7</v>
      </c>
      <c r="U41" s="31">
        <f>T41*2.75</f>
        <v>8.2906429928666678E-7</v>
      </c>
      <c r="V41" s="98">
        <f>U41*C41*(10^-6)</f>
        <v>1.4283019723990181E-10</v>
      </c>
      <c r="X41" s="42">
        <f>R41/(R41+V41)</f>
        <v>0.7850850506688879</v>
      </c>
      <c r="Y41" s="38">
        <f>C41*(1/(1-X41))</f>
        <v>801.61382010041541</v>
      </c>
      <c r="AA41" s="41">
        <f>Y43-Y41</f>
        <v>94.169793201230277</v>
      </c>
      <c r="AB41" s="41">
        <f>Y41-Y42</f>
        <v>282.25413222220152</v>
      </c>
    </row>
    <row r="42" spans="1:28" ht="14.5">
      <c r="A42" s="58"/>
      <c r="B42" s="58"/>
      <c r="C42" s="57"/>
      <c r="D42" s="56"/>
      <c r="E42" s="54"/>
      <c r="F42" s="55"/>
      <c r="H42" s="54"/>
      <c r="I42" s="91"/>
      <c r="J42" s="53"/>
      <c r="K42" s="52"/>
      <c r="L42" s="51"/>
      <c r="M42" s="51"/>
      <c r="N42" s="51"/>
      <c r="P42" s="40" t="s">
        <v>37</v>
      </c>
      <c r="Q42" s="31">
        <f>(4/3)*3.14*((((M41-O41)+(N41-O41))/4)^3)/((10^4)^3)</f>
        <v>1.1611741456666668E-8</v>
      </c>
      <c r="R42" s="98">
        <f>Q42*(H41-I41)</f>
        <v>4.0084456287139462E-10</v>
      </c>
      <c r="S42" s="31">
        <f>(4/3)*3.14*(((K41+O41)/2)*((K41+O41)/2)*((L41+O41)/2))/((10^4)^3)</f>
        <v>3.7079264777000003E-7</v>
      </c>
      <c r="T42" s="31">
        <f>S42-Q42</f>
        <v>3.5918090631333334E-7</v>
      </c>
      <c r="U42" s="31">
        <f>T42*3.2</f>
        <v>1.1493789002026667E-6</v>
      </c>
      <c r="V42" s="98">
        <f>U42*(C41+D41)*(10^-6)</f>
        <v>1.9896519459599419E-10</v>
      </c>
      <c r="X42" s="39">
        <f>R42/(R42+V42)</f>
        <v>0.66828616554005993</v>
      </c>
      <c r="Y42" s="38">
        <f>C41*(1/(1-X42))</f>
        <v>519.35968787821389</v>
      </c>
    </row>
    <row r="43" spans="1:28" ht="14.5">
      <c r="A43" s="58"/>
      <c r="B43" s="58"/>
      <c r="C43" s="57"/>
      <c r="D43" s="56"/>
      <c r="E43" s="54"/>
      <c r="F43" s="55"/>
      <c r="H43" s="54"/>
      <c r="I43" s="91"/>
      <c r="J43" s="53"/>
      <c r="K43" s="52"/>
      <c r="L43" s="51"/>
      <c r="M43" s="51"/>
      <c r="N43" s="51"/>
      <c r="P43" s="40" t="s">
        <v>36</v>
      </c>
      <c r="Q43" s="31">
        <f>(4/3)*3.14*((((M41+O41)+(N41+O41))/4)^3)/((10^4)^3)</f>
        <v>1.2896069489999999E-8</v>
      </c>
      <c r="R43" s="98">
        <f>Q42*(H41+I41)</f>
        <v>5.8889509853945639E-10</v>
      </c>
      <c r="S43" s="31">
        <f>(4/3)*3.14*(((K41-O41)/2)*((L41-O41)/2)*((L41-O41)/2))/((10^4)^3)</f>
        <v>3.0815894216999999E-7</v>
      </c>
      <c r="T43" s="31">
        <f>S43-Q43</f>
        <v>2.9526287268000001E-7</v>
      </c>
      <c r="U43" s="31">
        <f>T43*2.77</f>
        <v>8.1787815732360004E-7</v>
      </c>
      <c r="V43" s="98">
        <f>U43*(C41-D41)*(10^-6)</f>
        <v>1.4022593121650411E-10</v>
      </c>
      <c r="X43" s="39">
        <f>R43/(R43+V43)</f>
        <v>0.80767811447786897</v>
      </c>
      <c r="Y43" s="38">
        <f>C41*(1/(1-X43))</f>
        <v>895.78361330164569</v>
      </c>
      <c r="Z43" s="37">
        <f>(Y43-Y42)/Y41</f>
        <v>0.46958262942158163</v>
      </c>
    </row>
    <row r="44" spans="1:28" ht="14.5">
      <c r="A44" s="58"/>
      <c r="B44" s="58"/>
      <c r="C44" s="57"/>
      <c r="D44" s="56"/>
      <c r="E44" s="54"/>
      <c r="F44" s="55"/>
      <c r="H44" s="54"/>
      <c r="I44" s="91"/>
      <c r="J44" s="53"/>
      <c r="K44" s="52"/>
      <c r="L44" s="51"/>
      <c r="M44" s="51"/>
      <c r="N44" s="51"/>
      <c r="X44" s="39"/>
      <c r="Y44" s="38"/>
    </row>
    <row r="45" spans="1:28" ht="14.5">
      <c r="A45" s="58" t="s">
        <v>39</v>
      </c>
      <c r="B45" s="58">
        <v>15.1</v>
      </c>
      <c r="C45" s="57">
        <v>49.174876989999994</v>
      </c>
      <c r="D45" s="56">
        <v>1.1840777183</v>
      </c>
      <c r="E45" s="54">
        <v>3.8867277959999997</v>
      </c>
      <c r="F45" s="55">
        <v>1.2875532320000001E-2</v>
      </c>
      <c r="H45" s="54">
        <v>6.6922550286108162E-2</v>
      </c>
      <c r="I45" s="91">
        <f>0.19*H45</f>
        <v>1.2715284554360551E-2</v>
      </c>
      <c r="J45" s="53"/>
      <c r="K45" s="51">
        <v>82</v>
      </c>
      <c r="L45" s="52">
        <v>58.8</v>
      </c>
      <c r="M45" s="51">
        <v>20</v>
      </c>
      <c r="N45" s="51">
        <v>20</v>
      </c>
      <c r="O45" s="50">
        <v>0.5</v>
      </c>
      <c r="Q45" s="31">
        <f>(4/3)*3.14*(((M45+N45)/4)^3)/((10^4)^3)</f>
        <v>4.1866666666666671E-9</v>
      </c>
      <c r="R45" s="98">
        <f>Q45*H45</f>
        <v>2.8018241053117288E-10</v>
      </c>
      <c r="S45" s="31">
        <f>(4/3)*3.14*((K45/2)*(L45/2)*(L45/2))/((10^4)^3)</f>
        <v>1.4837027519999998E-7</v>
      </c>
      <c r="T45" s="31">
        <f>S45-Q45</f>
        <v>1.4418360853333331E-7</v>
      </c>
      <c r="U45" s="31">
        <f>T45*2.75</f>
        <v>3.9650492346666661E-7</v>
      </c>
      <c r="V45" s="98">
        <f>U45*C45*(10^-6)</f>
        <v>1.9498080837402691E-11</v>
      </c>
      <c r="X45" s="42">
        <f>R45/(R45+V45)</f>
        <v>0.93493710335177582</v>
      </c>
      <c r="Y45" s="38">
        <f>C45*(1/(1-X45))</f>
        <v>755.80522115198778</v>
      </c>
      <c r="AA45" s="41">
        <f>Y47-Y45</f>
        <v>107.24022128131367</v>
      </c>
      <c r="AB45" s="41">
        <f>Y45-Y46</f>
        <v>397.05374852216158</v>
      </c>
    </row>
    <row r="46" spans="1:28" ht="14.5">
      <c r="A46" s="58"/>
      <c r="B46" s="58"/>
      <c r="C46" s="57"/>
      <c r="D46" s="56"/>
      <c r="E46" s="54"/>
      <c r="F46" s="55"/>
      <c r="H46" s="54"/>
      <c r="I46" s="91"/>
      <c r="J46" s="53"/>
      <c r="K46" s="51"/>
      <c r="L46" s="52"/>
      <c r="M46" s="51"/>
      <c r="N46" s="51"/>
      <c r="P46" s="40" t="s">
        <v>37</v>
      </c>
      <c r="Q46" s="31">
        <f>(4/3)*3.14*((((M45-O45)+(N45-O45))/4)^3)/((10^4)^3)</f>
        <v>3.8804512499999998E-9</v>
      </c>
      <c r="R46" s="98">
        <f>Q46*(H45-I45)</f>
        <v>2.1034865206784217E-10</v>
      </c>
      <c r="S46" s="31">
        <f>(4/3)*3.14*(((K45+O45)/2)*((K45+O45)/2)*((L45+O45)/2))/((10^4)^3)</f>
        <v>2.1122289375E-7</v>
      </c>
      <c r="T46" s="31">
        <f>S46-Q46</f>
        <v>2.073424425E-7</v>
      </c>
      <c r="U46" s="31">
        <f>T46*3.2</f>
        <v>6.6349581600000005E-7</v>
      </c>
      <c r="V46" s="98">
        <f>U46*(C45+D45)*(10^-6)</f>
        <v>3.3412955747090547E-11</v>
      </c>
      <c r="X46" s="39">
        <f>R46/(R46+V46)</f>
        <v>0.86292773482008656</v>
      </c>
      <c r="Y46" s="38">
        <f>C45*(1/(1-X46))</f>
        <v>358.7514726298262</v>
      </c>
    </row>
    <row r="47" spans="1:28" ht="14.5">
      <c r="A47" s="58"/>
      <c r="B47" s="58"/>
      <c r="C47" s="57"/>
      <c r="D47" s="56"/>
      <c r="E47" s="54"/>
      <c r="F47" s="55"/>
      <c r="H47" s="54"/>
      <c r="I47" s="91"/>
      <c r="J47" s="53"/>
      <c r="K47" s="51"/>
      <c r="L47" s="52"/>
      <c r="M47" s="51"/>
      <c r="N47" s="51"/>
      <c r="P47" s="40" t="s">
        <v>36</v>
      </c>
      <c r="Q47" s="31">
        <f>(4/3)*3.14*((((M45+O45)+(N45+O45))/4)^3)/((10^4)^3)</f>
        <v>4.5085820833333331E-9</v>
      </c>
      <c r="R47" s="98">
        <f>Q46*(H45+I45)</f>
        <v>3.0903073575399036E-10</v>
      </c>
      <c r="S47" s="31">
        <f>(4/3)*3.14*(((K45-O45)/2)*((L45-O45)/2)*((L45-O45)/2))/((10^4)^3)</f>
        <v>1.4496832331666664E-7</v>
      </c>
      <c r="T47" s="31">
        <f>S47-Q47</f>
        <v>1.4045974123333332E-7</v>
      </c>
      <c r="U47" s="31">
        <f>T47*2.77</f>
        <v>3.8907348321633328E-7</v>
      </c>
      <c r="V47" s="98">
        <f>U47*(C45-D45)*(10^-6)</f>
        <v>1.8671947434976187E-11</v>
      </c>
      <c r="X47" s="39">
        <f>R47/(R47+V47)</f>
        <v>0.94302168278491272</v>
      </c>
      <c r="Y47" s="38">
        <f>C45*(1/(1-X47))</f>
        <v>863.04544243330145</v>
      </c>
      <c r="Z47" s="37">
        <f>(Y47-Y46)/Y45</f>
        <v>0.66722742274105673</v>
      </c>
    </row>
    <row r="48" spans="1:28" ht="14.5">
      <c r="A48" s="58"/>
      <c r="B48" s="58"/>
      <c r="C48" s="57"/>
      <c r="D48" s="56"/>
      <c r="E48" s="54"/>
      <c r="F48" s="55"/>
      <c r="H48" s="54"/>
      <c r="I48" s="91"/>
      <c r="J48" s="53"/>
      <c r="K48" s="51"/>
      <c r="L48" s="52"/>
      <c r="M48" s="51"/>
      <c r="N48" s="51"/>
      <c r="X48" s="39"/>
      <c r="Y48" s="38"/>
    </row>
    <row r="49" spans="1:28" ht="14.5">
      <c r="A49" s="58" t="s">
        <v>39</v>
      </c>
      <c r="B49" s="58">
        <v>16.100000000000001</v>
      </c>
      <c r="C49" s="57">
        <v>207.84866600000001</v>
      </c>
      <c r="D49" s="56">
        <v>3.3937320049999999</v>
      </c>
      <c r="E49" s="54">
        <v>4.128718804</v>
      </c>
      <c r="F49" s="55">
        <v>1.68019516E-2</v>
      </c>
      <c r="H49" s="54">
        <v>1.4073401478526648E-2</v>
      </c>
      <c r="I49" s="91">
        <f>0.19*H49</f>
        <v>2.6739462809200632E-3</v>
      </c>
      <c r="J49" s="53"/>
      <c r="K49" s="51">
        <v>128</v>
      </c>
      <c r="L49" s="52">
        <v>103.8</v>
      </c>
      <c r="M49" s="51">
        <v>28.4</v>
      </c>
      <c r="N49" s="51">
        <v>28.2</v>
      </c>
      <c r="O49" s="50">
        <v>0.5</v>
      </c>
      <c r="Q49" s="31">
        <f>(4/3)*3.14*(((M49+N49)/4)^3)/((10^4)^3)</f>
        <v>1.186144786333333E-8</v>
      </c>
      <c r="R49" s="98">
        <f>Q49*H49</f>
        <v>1.6693091789730205E-10</v>
      </c>
      <c r="S49" s="31">
        <f>(4/3)*3.14*((K49/2)*(L49/2)*(L49/2))/((10^4)^3)</f>
        <v>7.217438207999999E-7</v>
      </c>
      <c r="T49" s="31">
        <f>S49-Q49</f>
        <v>7.0988237293666659E-7</v>
      </c>
      <c r="U49" s="31">
        <f>T49*2.75</f>
        <v>1.9521765255758333E-6</v>
      </c>
      <c r="V49" s="98">
        <f>U49*C49*(10^-6)</f>
        <v>4.0575728663745185E-10</v>
      </c>
      <c r="X49" s="42">
        <f>R49/(R49+V49)</f>
        <v>0.29148656559622182</v>
      </c>
      <c r="Y49" s="38">
        <f>C49*(1/(1-X49))</f>
        <v>293.35882131142216</v>
      </c>
      <c r="AA49" s="41">
        <f>Y51-Y49</f>
        <v>13.284262088015566</v>
      </c>
      <c r="AB49" s="41">
        <f>Y49-Y50</f>
        <v>41.231335522569395</v>
      </c>
    </row>
    <row r="50" spans="1:28" ht="14.5">
      <c r="A50" s="58"/>
      <c r="B50" s="58"/>
      <c r="C50" s="57"/>
      <c r="D50" s="56"/>
      <c r="E50" s="54"/>
      <c r="F50" s="55"/>
      <c r="H50" s="54"/>
      <c r="I50" s="91"/>
      <c r="J50" s="53"/>
      <c r="K50" s="51"/>
      <c r="L50" s="52"/>
      <c r="M50" s="51"/>
      <c r="N50" s="51"/>
      <c r="P50" s="40" t="s">
        <v>37</v>
      </c>
      <c r="Q50" s="31">
        <f>(4/3)*3.14*((((M49-O49)+(N49-O49))/4)^3)/((10^4)^3)</f>
        <v>1.1243791546666664E-8</v>
      </c>
      <c r="R50" s="98">
        <f>Q50*(H49-I49)</f>
        <v>1.2817309798745428E-10</v>
      </c>
      <c r="S50" s="31">
        <f>(4/3)*3.14*(((K49+O49)/2)*((K49+O49)/2)*((L49+O49)/2))/((10^4)^3)</f>
        <v>9.0129914991666672E-7</v>
      </c>
      <c r="T50" s="31">
        <f>S50-Q50</f>
        <v>8.900553583700001E-7</v>
      </c>
      <c r="U50" s="31">
        <f>T50*3.2</f>
        <v>2.8481771467840006E-6</v>
      </c>
      <c r="V50" s="98">
        <f>U50*(C49+D49)*(10^-6)</f>
        <v>6.0165577042969111E-10</v>
      </c>
      <c r="X50" s="39">
        <f>R50/(R50+V50)</f>
        <v>0.17562075650067996</v>
      </c>
      <c r="Y50" s="38">
        <f>C49*(1/(1-X50))</f>
        <v>252.12748578885277</v>
      </c>
    </row>
    <row r="51" spans="1:28" ht="14.5">
      <c r="A51" s="58"/>
      <c r="B51" s="58"/>
      <c r="C51" s="57"/>
      <c r="D51" s="56"/>
      <c r="E51" s="54"/>
      <c r="F51" s="55"/>
      <c r="H51" s="54"/>
      <c r="I51" s="91"/>
      <c r="J51" s="53"/>
      <c r="K51" s="51"/>
      <c r="L51" s="52"/>
      <c r="M51" s="51"/>
      <c r="N51" s="51"/>
      <c r="P51" s="40" t="s">
        <v>36</v>
      </c>
      <c r="Q51" s="31">
        <f>(4/3)*3.14*((((M49+O49)+(N49+O49))/4)^3)/((10^4)^3)</f>
        <v>1.2501319679999995E-8</v>
      </c>
      <c r="R51" s="98">
        <f>Q50*(H49+I49)</f>
        <v>1.8830368716675382E-10</v>
      </c>
      <c r="S51" s="31">
        <f>(4/3)*3.14*(((K49-O49)/2)*((L49-O49)/2)*((L49-O49)/2))/((10^4)^3)</f>
        <v>7.1201513524999995E-7</v>
      </c>
      <c r="T51" s="31">
        <f>S51-Q51</f>
        <v>6.9951381556999999E-7</v>
      </c>
      <c r="U51" s="31">
        <f>T51*2.77</f>
        <v>1.9376532691289001E-6</v>
      </c>
      <c r="V51" s="98">
        <f>U51*(C49-D49)*(10^-6)</f>
        <v>3.9616277124494527E-10</v>
      </c>
      <c r="X51" s="39">
        <f>R51/(R51+V51)</f>
        <v>0.32218048522146742</v>
      </c>
      <c r="Y51" s="38">
        <f>C49*(1/(1-X51))</f>
        <v>306.64308339943773</v>
      </c>
      <c r="Z51" s="37">
        <f>(Y51-Y50)/Y49</f>
        <v>0.1858324810785649</v>
      </c>
    </row>
    <row r="52" spans="1:28" ht="14.5">
      <c r="A52" s="58"/>
      <c r="B52" s="58"/>
      <c r="C52" s="57"/>
      <c r="D52" s="56"/>
      <c r="E52" s="54"/>
      <c r="F52" s="55"/>
      <c r="H52" s="54"/>
      <c r="I52" s="91"/>
      <c r="J52" s="53"/>
      <c r="K52" s="51"/>
      <c r="L52" s="52"/>
      <c r="M52" s="51"/>
      <c r="N52" s="51"/>
      <c r="X52" s="39"/>
      <c r="Y52" s="38"/>
    </row>
    <row r="53" spans="1:28" ht="14.5">
      <c r="A53" s="58" t="s">
        <v>39</v>
      </c>
      <c r="B53" s="58">
        <v>22.1</v>
      </c>
      <c r="C53" s="57">
        <v>224.00175160000001</v>
      </c>
      <c r="D53" s="56">
        <v>4.754934242</v>
      </c>
      <c r="E53" s="54">
        <v>4.1890758839999993</v>
      </c>
      <c r="F53" s="55">
        <v>2.5782847719999998E-2</v>
      </c>
      <c r="H53" s="54">
        <v>5.4120787935971748E-2</v>
      </c>
      <c r="I53" s="91">
        <f>0.19*H53</f>
        <v>1.0282949707834632E-2</v>
      </c>
      <c r="J53" s="53"/>
      <c r="K53" s="51">
        <v>69.2</v>
      </c>
      <c r="L53" s="52">
        <v>61.4</v>
      </c>
      <c r="M53" s="51">
        <v>20.399999999999999</v>
      </c>
      <c r="N53" s="51">
        <v>20.6</v>
      </c>
      <c r="O53" s="50">
        <v>0.5</v>
      </c>
      <c r="Q53" s="31">
        <f>(4/3)*3.14*(((M53+N53)/4)^3)/((10^4)^3)</f>
        <v>4.5085820833333331E-9</v>
      </c>
      <c r="R53" s="98">
        <f>Q53*H53</f>
        <v>2.4400801482400504E-10</v>
      </c>
      <c r="S53" s="31">
        <f>(4/3)*3.14*((K53/2)*(L53/2)*(L53/2))/((10^4)^3)</f>
        <v>1.3652784474666667E-7</v>
      </c>
      <c r="T53" s="31">
        <f>S53-Q53</f>
        <v>1.3201926266333335E-7</v>
      </c>
      <c r="U53" s="31">
        <f>T53*2.75</f>
        <v>3.630529723241667E-7</v>
      </c>
      <c r="V53" s="98">
        <f>U53*C53*(10^-6)</f>
        <v>8.1324501724199667E-11</v>
      </c>
      <c r="X53" s="42">
        <f>R53/(R53+V53)</f>
        <v>0.75002651875362192</v>
      </c>
      <c r="Y53" s="38">
        <f>C53*(1/(1-X53))</f>
        <v>896.10206043904361</v>
      </c>
      <c r="AA53" s="41">
        <f>Y55-Y53</f>
        <v>101.87540041958516</v>
      </c>
      <c r="AB53" s="41">
        <f>Y53-Y54</f>
        <v>305.47652560892266</v>
      </c>
    </row>
    <row r="54" spans="1:28" ht="14.5">
      <c r="A54" s="58"/>
      <c r="B54" s="58"/>
      <c r="C54" s="57"/>
      <c r="D54" s="56"/>
      <c r="E54" s="54"/>
      <c r="F54" s="55"/>
      <c r="H54" s="54"/>
      <c r="I54" s="91"/>
      <c r="J54" s="53"/>
      <c r="K54" s="51"/>
      <c r="L54" s="52"/>
      <c r="M54" s="51"/>
      <c r="N54" s="51"/>
      <c r="P54" s="40" t="s">
        <v>37</v>
      </c>
      <c r="Q54" s="31">
        <f>(4/3)*3.14*((((M53-O53)+(N53-O53))/4)^3)/((10^4)^3)</f>
        <v>4.1866666666666671E-9</v>
      </c>
      <c r="R54" s="98">
        <f>Q54*(H53-I53)</f>
        <v>1.8353441604846741E-10</v>
      </c>
      <c r="S54" s="31">
        <f>(4/3)*3.14*(((K53+O53)/2)*((K53+O53)/2)*((L53+O53)/2))/((10^4)^3)</f>
        <v>1.5737458682333333E-7</v>
      </c>
      <c r="T54" s="31">
        <f>S54-Q54</f>
        <v>1.5318792015666667E-7</v>
      </c>
      <c r="U54" s="31">
        <f>T54*3.2</f>
        <v>4.9020134450133338E-7</v>
      </c>
      <c r="V54" s="98">
        <f>U54*(C53+D53)*(10^-6)</f>
        <v>1.1213683496341754E-10</v>
      </c>
      <c r="X54" s="39">
        <f>R54/(R54+V54)</f>
        <v>0.62073811850273519</v>
      </c>
      <c r="Y54" s="38">
        <f>C53*(1/(1-X54))</f>
        <v>590.62553483012096</v>
      </c>
    </row>
    <row r="55" spans="1:28" ht="14.5">
      <c r="A55" s="58"/>
      <c r="B55" s="58"/>
      <c r="C55" s="57"/>
      <c r="D55" s="56"/>
      <c r="E55" s="54"/>
      <c r="F55" s="55"/>
      <c r="H55" s="54"/>
      <c r="I55" s="91"/>
      <c r="J55" s="53"/>
      <c r="K55" s="51"/>
      <c r="L55" s="52"/>
      <c r="M55" s="51"/>
      <c r="N55" s="51"/>
      <c r="P55" s="40" t="s">
        <v>36</v>
      </c>
      <c r="Q55" s="31">
        <f>(4/3)*3.14*((((M53+O53)+(N53+O53))/4)^3)/((10^4)^3)</f>
        <v>4.8465900000000003E-9</v>
      </c>
      <c r="R55" s="98">
        <f>Q54*(H53+I53)</f>
        <v>2.6963698160206945E-10</v>
      </c>
      <c r="S55" s="31">
        <f>(4/3)*3.14*(((K53-O53)/2)*((L53-O53)/2)*((L53-O53)/2))/((10^4)^3)</f>
        <v>1.3334284593000001E-7</v>
      </c>
      <c r="T55" s="31">
        <f>S55-Q55</f>
        <v>1.2849625593E-7</v>
      </c>
      <c r="U55" s="31">
        <f>T55*2.77</f>
        <v>3.5593462892609997E-7</v>
      </c>
      <c r="V55" s="98">
        <f>U55*(C53-D53)*(10^-6)</f>
        <v>7.8037534579548142E-11</v>
      </c>
      <c r="X55" s="39">
        <f>R55/(R55+V55)</f>
        <v>0.77554427791658154</v>
      </c>
      <c r="Y55" s="38">
        <f>C53*(1/(1-X55))</f>
        <v>997.97746085862877</v>
      </c>
      <c r="Z55" s="37">
        <f>(Y55-Y54)/Y53</f>
        <v>0.45458206605275125</v>
      </c>
    </row>
    <row r="56" spans="1:28" ht="14.5">
      <c r="A56" s="58"/>
      <c r="B56" s="58"/>
      <c r="C56" s="57"/>
      <c r="D56" s="56"/>
      <c r="E56" s="54"/>
      <c r="F56" s="55"/>
      <c r="H56" s="54"/>
      <c r="I56" s="91"/>
      <c r="J56" s="53"/>
      <c r="K56" s="51"/>
      <c r="L56" s="52"/>
      <c r="M56" s="51"/>
      <c r="N56" s="51"/>
      <c r="X56" s="39"/>
      <c r="Y56" s="38"/>
    </row>
    <row r="57" spans="1:28" ht="14.5">
      <c r="A57" s="58" t="s">
        <v>39</v>
      </c>
      <c r="B57" s="58">
        <v>23.1</v>
      </c>
      <c r="C57" s="57">
        <v>200.84485169999999</v>
      </c>
      <c r="D57" s="56">
        <v>4.7514052659999999</v>
      </c>
      <c r="E57" s="54">
        <v>3.9737114479999995</v>
      </c>
      <c r="F57" s="55">
        <v>3.053140692E-2</v>
      </c>
      <c r="H57" s="54">
        <v>1.4427568174141925E-2</v>
      </c>
      <c r="I57" s="91">
        <f>0.19*H57</f>
        <v>2.7412379530869658E-3</v>
      </c>
      <c r="J57" s="53"/>
      <c r="K57" s="51">
        <v>117</v>
      </c>
      <c r="L57" s="52">
        <v>92.8</v>
      </c>
      <c r="M57" s="51">
        <v>28.6</v>
      </c>
      <c r="N57" s="51">
        <v>28</v>
      </c>
      <c r="O57" s="50">
        <v>0.5</v>
      </c>
      <c r="Q57" s="31">
        <f>(4/3)*3.14*(((M57+N57)/4)^3)/((10^4)^3)</f>
        <v>1.1861447863333335E-8</v>
      </c>
      <c r="R57" s="98">
        <f>Q57*H57</f>
        <v>1.7113184769227177E-10</v>
      </c>
      <c r="S57" s="31">
        <f>(4/3)*3.14*((K57/2)*(L57/2)*(L57/2))/((10^4)^3)</f>
        <v>5.2730296320000001E-7</v>
      </c>
      <c r="T57" s="31">
        <f>S57-Q57</f>
        <v>5.154415153366667E-7</v>
      </c>
      <c r="U57" s="31">
        <f>T57*2.75</f>
        <v>1.4174641671758334E-6</v>
      </c>
      <c r="V57" s="98">
        <f>U57*C57*(10^-6)</f>
        <v>2.8469038044649422E-10</v>
      </c>
      <c r="X57" s="42">
        <f>R57/(R57+V57)</f>
        <v>0.37543550342212378</v>
      </c>
      <c r="Y57" s="38">
        <f>C57*(1/(1-X57))</f>
        <v>321.5758385250399</v>
      </c>
      <c r="AA57" s="41">
        <f>Y59-Y57</f>
        <v>20.082306009959268</v>
      </c>
      <c r="AB57" s="41">
        <f>Y57-Y58</f>
        <v>60.217038337499446</v>
      </c>
    </row>
    <row r="58" spans="1:28" ht="14.5">
      <c r="A58" s="58"/>
      <c r="B58" s="58"/>
      <c r="C58" s="57"/>
      <c r="D58" s="56"/>
      <c r="E58" s="54"/>
      <c r="F58" s="55"/>
      <c r="H58" s="54"/>
      <c r="I58" s="91"/>
      <c r="J58" s="53"/>
      <c r="K58" s="51"/>
      <c r="L58" s="52"/>
      <c r="M58" s="51"/>
      <c r="N58" s="51"/>
      <c r="P58" s="40" t="s">
        <v>37</v>
      </c>
      <c r="Q58" s="31">
        <f>(4/3)*3.14*((((M57-O57)+(N57-O57))/4)^3)/((10^4)^3)</f>
        <v>1.1243791546666667E-8</v>
      </c>
      <c r="R58" s="98">
        <f>Q58*(H57-I57)</f>
        <v>1.3139866095105296E-10</v>
      </c>
      <c r="S58" s="31">
        <f>(4/3)*3.14*(((K57+O57)/2)*((K57+O57)/2)*((L57+O57)/2))/((10^4)^3)</f>
        <v>6.7411776874999993E-7</v>
      </c>
      <c r="T58" s="31">
        <f>S58-Q58</f>
        <v>6.6287397720333331E-7</v>
      </c>
      <c r="U58" s="31">
        <f>T58*3.2</f>
        <v>2.1211967270506668E-6</v>
      </c>
      <c r="V58" s="98">
        <f>U58*(C57+D57)*(10^-6)</f>
        <v>4.3611010737014704E-10</v>
      </c>
      <c r="X58" s="39">
        <f>R58/(R58+V58)</f>
        <v>0.2315359132507423</v>
      </c>
      <c r="Y58" s="38">
        <f>C57*(1/(1-X58))</f>
        <v>261.35880018754045</v>
      </c>
    </row>
    <row r="59" spans="1:28" ht="14.5">
      <c r="A59" s="58"/>
      <c r="B59" s="58"/>
      <c r="C59" s="57"/>
      <c r="D59" s="56"/>
      <c r="E59" s="54"/>
      <c r="F59" s="55"/>
      <c r="H59" s="54"/>
      <c r="I59" s="91"/>
      <c r="J59" s="53"/>
      <c r="K59" s="51"/>
      <c r="L59" s="52"/>
      <c r="M59" s="51"/>
      <c r="N59" s="51"/>
      <c r="P59" s="40" t="s">
        <v>36</v>
      </c>
      <c r="Q59" s="31">
        <f>(4/3)*3.14*((((M57+O57)+(N57+O57))/4)^3)/((10^4)^3)</f>
        <v>1.250131968E-8</v>
      </c>
      <c r="R59" s="98">
        <f>Q58*(H57+I57)</f>
        <v>1.9304247719969506E-10</v>
      </c>
      <c r="S59" s="31">
        <f>(4/3)*3.14*(((K57-O57)/2)*((L57-O57)/2)*((L57-O57)/2))/((10^4)^3)</f>
        <v>5.1940691248333324E-7</v>
      </c>
      <c r="T59" s="31">
        <f>S59-Q59</f>
        <v>5.0690559280333328E-7</v>
      </c>
      <c r="U59" s="31">
        <f>T59*2.77</f>
        <v>1.4041284920652332E-6</v>
      </c>
      <c r="V59" s="98">
        <f>U59*(C57-D57)*(10^-6)</f>
        <v>2.7534039524524696E-10</v>
      </c>
      <c r="X59" s="39">
        <f>R59/(R59+V59)</f>
        <v>0.41214674693807685</v>
      </c>
      <c r="Y59" s="38">
        <f>C57*(1/(1-X59))</f>
        <v>341.65814453499917</v>
      </c>
      <c r="Z59" s="37">
        <f>(Y59-Y58)/Y57</f>
        <v>0.24970577614215286</v>
      </c>
    </row>
    <row r="60" spans="1:28" ht="14.5">
      <c r="A60" s="58"/>
      <c r="B60" s="58"/>
      <c r="C60" s="57"/>
      <c r="D60" s="56"/>
      <c r="E60" s="54"/>
      <c r="F60" s="55"/>
      <c r="H60" s="54"/>
      <c r="I60" s="91"/>
      <c r="J60" s="53"/>
      <c r="K60" s="51"/>
      <c r="L60" s="52"/>
      <c r="M60" s="51"/>
      <c r="N60" s="51"/>
      <c r="X60" s="39"/>
      <c r="Y60" s="38"/>
    </row>
    <row r="61" spans="1:28" ht="14.5">
      <c r="A61" s="58" t="s">
        <v>39</v>
      </c>
      <c r="B61" s="58">
        <v>24.9</v>
      </c>
      <c r="C61" s="57">
        <v>63.060194489999994</v>
      </c>
      <c r="D61" s="56">
        <v>2.8697592729999997</v>
      </c>
      <c r="E61" s="54">
        <v>3.3262465880000001</v>
      </c>
      <c r="F61" s="55">
        <v>1.3373599119999999E-2</v>
      </c>
      <c r="H61" s="54">
        <v>1.6201221085793804E-2</v>
      </c>
      <c r="I61" s="91">
        <f>0.19*H61</f>
        <v>3.0782320063008229E-3</v>
      </c>
      <c r="J61" s="53"/>
      <c r="K61" s="52">
        <v>79.8</v>
      </c>
      <c r="L61" s="51">
        <v>48.6</v>
      </c>
      <c r="M61" s="51">
        <v>7.5</v>
      </c>
      <c r="N61" s="51">
        <v>7.7</v>
      </c>
      <c r="O61" s="50">
        <v>0.5</v>
      </c>
      <c r="Q61" s="31">
        <f>(4/3)*3.14*(((M61+N61)/4)^3)/((10^4)^3)</f>
        <v>2.2973077333333331E-10</v>
      </c>
      <c r="R61" s="98">
        <f>Q61*H61</f>
        <v>3.7219190489837163E-12</v>
      </c>
      <c r="S61" s="31">
        <f>(4/3)*3.14*((K61/2)*(L61/2)*(L61/2))/((10^4)^3)</f>
        <v>9.8640173520000006E-8</v>
      </c>
      <c r="T61" s="31">
        <f t="shared" ref="T61:T66" si="3">S61-Q61</f>
        <v>9.8410442746666671E-8</v>
      </c>
      <c r="U61" s="31">
        <f>T61*2.75</f>
        <v>2.7062871755333337E-7</v>
      </c>
      <c r="V61" s="98">
        <f>U61*C61*(10^-6)</f>
        <v>1.7065899563492475E-11</v>
      </c>
      <c r="X61" s="42">
        <f t="shared" ref="X61:X66" si="4">R61/(R61+V61)</f>
        <v>0.17904327136806641</v>
      </c>
      <c r="Y61" s="38">
        <f>C61*(1/(1-X61))</f>
        <v>76.81305517172062</v>
      </c>
      <c r="AA61" s="41">
        <f>Y63-Y61</f>
        <v>0.5135355342696073</v>
      </c>
      <c r="AB61" s="41">
        <f>Y61-Y62</f>
        <v>9.3136165860022828</v>
      </c>
    </row>
    <row r="62" spans="1:28" ht="14.5">
      <c r="C62" s="49"/>
      <c r="D62" s="48"/>
      <c r="E62" s="76"/>
      <c r="F62" s="47"/>
      <c r="H62" s="54"/>
      <c r="I62" s="91"/>
      <c r="K62" s="46"/>
      <c r="P62" s="40" t="s">
        <v>37</v>
      </c>
      <c r="Q62" s="31">
        <f>(4/3)*3.14*((((M61-O61)+(N61-O61))/4)^3)/((10^4)^3)</f>
        <v>1.8730675666666664E-10</v>
      </c>
      <c r="R62" s="98">
        <f>Q62*(H61-I61)</f>
        <v>2.4580245222519156E-12</v>
      </c>
      <c r="S62" s="31">
        <f>(4/3)*3.14*(((K61+O61)/2)*((K61+O61)/2)*((L61+O61)/2))/((10^4)^3)</f>
        <v>1.6568797127666666E-7</v>
      </c>
      <c r="T62" s="31">
        <f t="shared" si="3"/>
        <v>1.6550066452E-7</v>
      </c>
      <c r="U62" s="31">
        <f>T62*3.2</f>
        <v>5.2960212646400006E-7</v>
      </c>
      <c r="V62" s="98">
        <f>U62*(C61+D61)*(10^-6)</f>
        <v>3.4916643710557996E-11</v>
      </c>
      <c r="X62" s="39">
        <f t="shared" si="4"/>
        <v>6.5767126197366535E-2</v>
      </c>
      <c r="Y62" s="38">
        <f>C61*(1/(1-X62))</f>
        <v>67.499438585718337</v>
      </c>
    </row>
    <row r="63" spans="1:28" ht="14.5">
      <c r="C63" s="49"/>
      <c r="D63" s="48"/>
      <c r="E63" s="54"/>
      <c r="F63" s="55"/>
      <c r="H63" s="54"/>
      <c r="I63" s="91"/>
      <c r="K63" s="46"/>
      <c r="P63" s="40" t="s">
        <v>36</v>
      </c>
      <c r="Q63" s="31">
        <f>(4/3)*3.14*((((M61+O61)+(N61+O61))/4)^3)/((10^4)^3)</f>
        <v>2.7812078999999992E-10</v>
      </c>
      <c r="R63" s="98">
        <f>Q62*(H61+I61)</f>
        <v>3.6111718289873818E-12</v>
      </c>
      <c r="S63" s="31">
        <f>(4/3)*3.14*(((K61-O61)/2)*((L61-O61)/2)*((L61-O61)/2))/((10^4)^3)</f>
        <v>9.6015586203333341E-8</v>
      </c>
      <c r="T63" s="31">
        <f t="shared" si="3"/>
        <v>9.5737465413333336E-8</v>
      </c>
      <c r="U63" s="31">
        <f>T63*2.77</f>
        <v>2.6519277919493333E-7</v>
      </c>
      <c r="V63" s="98">
        <f>U63*(C61-D61)*(10^-6)</f>
        <v>1.5962068796148819E-11</v>
      </c>
      <c r="X63" s="39">
        <f t="shared" si="4"/>
        <v>0.18449534740557316</v>
      </c>
      <c r="Y63" s="38">
        <f>C61*(1/(1-X63))</f>
        <v>77.326590705990228</v>
      </c>
      <c r="Z63" s="37">
        <f>(Y63-Y62)/Y61</f>
        <v>0.12793596216558042</v>
      </c>
    </row>
    <row r="64" spans="1:28">
      <c r="A64" s="36" t="s">
        <v>38</v>
      </c>
      <c r="B64" s="35">
        <v>3</v>
      </c>
      <c r="C64" s="57">
        <v>78.301839885089422</v>
      </c>
      <c r="D64" s="56">
        <v>17.310638699999998</v>
      </c>
      <c r="E64" s="54">
        <v>0.3</v>
      </c>
      <c r="F64" s="55">
        <v>0.5896226</v>
      </c>
      <c r="H64" s="54">
        <v>9.134931540756952E-3</v>
      </c>
      <c r="I64" s="91">
        <f>0.19*H64</f>
        <v>1.735636992743821E-3</v>
      </c>
      <c r="K64" s="30">
        <v>167.7</v>
      </c>
      <c r="L64" s="30">
        <v>164.6</v>
      </c>
      <c r="M64" s="30">
        <v>47.4</v>
      </c>
      <c r="N64" s="30">
        <v>44.6</v>
      </c>
      <c r="O64" s="50">
        <v>0.5</v>
      </c>
      <c r="Q64" s="31">
        <f>(4/3)*3.14*(((M64+N64)/4)^3)/((10^4)^3)</f>
        <v>5.0939173333333335E-8</v>
      </c>
      <c r="R64" s="98">
        <f>Q64*H64</f>
        <v>4.6532586114275213E-10</v>
      </c>
      <c r="S64" s="31">
        <f>(4/3)*3.14*((K64/2)*(L64/2)*(L64/2))/((10^4)^3)</f>
        <v>2.3777770010799995E-6</v>
      </c>
      <c r="T64" s="31">
        <f t="shared" si="3"/>
        <v>2.3268378277466663E-6</v>
      </c>
      <c r="U64" s="31">
        <f>T64*2.75</f>
        <v>6.3988040263033323E-6</v>
      </c>
      <c r="V64" s="98">
        <f>U64*C64*(10^-6)</f>
        <v>5.0103812832366907E-10</v>
      </c>
      <c r="X64" s="42">
        <f t="shared" si="4"/>
        <v>0.48152235204840599</v>
      </c>
      <c r="Y64" s="38">
        <f>C64*(1/(1-X64))</f>
        <v>151.02259508089696</v>
      </c>
      <c r="AA64" s="41">
        <f>Y66-Y64</f>
        <v>35.091000098635391</v>
      </c>
      <c r="AB64" s="41">
        <f>Y64-Y65</f>
        <v>33.746244398594143</v>
      </c>
    </row>
    <row r="65" spans="1:28" ht="14.5">
      <c r="C65" s="57"/>
      <c r="D65" s="56"/>
      <c r="E65" s="54"/>
      <c r="F65" s="55"/>
      <c r="H65" s="54"/>
      <c r="I65" s="91"/>
      <c r="P65" s="40" t="s">
        <v>37</v>
      </c>
      <c r="Q65" s="31">
        <f>(4/3)*3.14*((((M64-O64)+(N64-O64))/4)^3)/((10^4)^3)</f>
        <v>4.9296102916666665E-8</v>
      </c>
      <c r="R65" s="98">
        <f>Q65*(H64-I64)</f>
        <v>3.647563855495859E-10</v>
      </c>
      <c r="S65" s="31">
        <f>(4/3)*3.14*(((K64+O64)/2)*((K64+O64)/2)*((L64+O64)/2))/((10^4)^3)</f>
        <v>2.4444291488933332E-6</v>
      </c>
      <c r="T65" s="31">
        <f t="shared" si="3"/>
        <v>2.3951330459766663E-6</v>
      </c>
      <c r="U65" s="31">
        <f>T65*3.2</f>
        <v>7.6644257471253322E-6</v>
      </c>
      <c r="V65" s="98">
        <f>U65*(C64+D64)*(10^-6)</f>
        <v>7.3281474261402877E-10</v>
      </c>
      <c r="X65" s="39">
        <f t="shared" si="4"/>
        <v>0.3323305216308603</v>
      </c>
      <c r="Y65" s="38">
        <f>C64*(1/(1-X65))</f>
        <v>117.27635068230282</v>
      </c>
    </row>
    <row r="66" spans="1:28" ht="14.5">
      <c r="C66" s="57"/>
      <c r="D66" s="56"/>
      <c r="E66" s="54"/>
      <c r="F66" s="55"/>
      <c r="H66" s="54"/>
      <c r="I66" s="91"/>
      <c r="P66" s="40" t="s">
        <v>36</v>
      </c>
      <c r="Q66" s="31">
        <f>(4/3)*3.14*((((M64+O64)+(N64+O64))/4)^3)/((10^4)^3)</f>
        <v>5.2618353749999995E-8</v>
      </c>
      <c r="R66" s="98">
        <f>Q65*(H64+I64)</f>
        <v>5.3587666519013237E-10</v>
      </c>
      <c r="S66" s="31">
        <f>(4/3)*3.14*(((K64-O64)/2)*((L64-O64)/2)*((L64-O64)/2))/((10^4)^3)</f>
        <v>2.35630678008E-6</v>
      </c>
      <c r="T66" s="31">
        <f t="shared" si="3"/>
        <v>2.30368842633E-6</v>
      </c>
      <c r="U66" s="31">
        <f>T66*2.77</f>
        <v>6.3812169409341003E-6</v>
      </c>
      <c r="V66" s="98">
        <f>U66*(C64-D64)*(10^-6)</f>
        <v>3.8919808625021258E-10</v>
      </c>
      <c r="X66" s="39">
        <f t="shared" si="4"/>
        <v>0.57927931159700374</v>
      </c>
      <c r="Y66" s="38">
        <f>C64*(1/(1-X66))</f>
        <v>186.11359517953235</v>
      </c>
      <c r="Z66" s="37">
        <f>(Y66-Y65)/Y64</f>
        <v>0.45580758601291471</v>
      </c>
    </row>
    <row r="67" spans="1:28">
      <c r="C67" s="57"/>
      <c r="D67" s="56"/>
      <c r="E67" s="54"/>
      <c r="F67" s="55"/>
      <c r="H67" s="54"/>
      <c r="I67" s="91"/>
    </row>
    <row r="68" spans="1:28">
      <c r="A68" s="36" t="s">
        <v>38</v>
      </c>
      <c r="B68" s="35">
        <v>4</v>
      </c>
      <c r="C68" s="57">
        <v>229.78064298067125</v>
      </c>
      <c r="D68" s="56">
        <v>28.073513800000001</v>
      </c>
      <c r="E68" s="54">
        <v>0.18806587301587299</v>
      </c>
      <c r="F68" s="55">
        <v>8.371497699999999</v>
      </c>
      <c r="H68" s="54">
        <v>2.6219565006613266E-2</v>
      </c>
      <c r="I68" s="91">
        <f>0.19*H68</f>
        <v>4.9817173512565205E-3</v>
      </c>
      <c r="K68" s="30">
        <v>70.7</v>
      </c>
      <c r="L68" s="30">
        <v>67.099999999999994</v>
      </c>
      <c r="M68" s="30">
        <v>24</v>
      </c>
      <c r="N68" s="30">
        <v>22.6</v>
      </c>
      <c r="O68" s="50">
        <v>0.5</v>
      </c>
      <c r="Q68" s="31">
        <f>(4/3)*3.14*(((M68+N68)/4)^3)/((10^4)^3)</f>
        <v>6.6198196966666668E-9</v>
      </c>
      <c r="R68" s="98">
        <f>Q68*H68</f>
        <v>1.7356879286881057E-10</v>
      </c>
      <c r="S68" s="31">
        <f>(4/3)*3.14*((K68/2)*(L68/2)*(L68/2))/((10^4)^3)</f>
        <v>1.6658766919666662E-7</v>
      </c>
      <c r="T68" s="31">
        <f>S68-Q68</f>
        <v>1.5996784949999995E-7</v>
      </c>
      <c r="U68" s="31">
        <f>T68*2.75</f>
        <v>4.3991158612499984E-7</v>
      </c>
      <c r="V68" s="98">
        <f>U68*C68*(10^-6)</f>
        <v>1.010831671144494E-10</v>
      </c>
      <c r="X68" s="42">
        <f>R68/(R68+V68)</f>
        <v>0.63195905421315612</v>
      </c>
      <c r="Y68" s="38">
        <f>C68*(1/(1-X68))</f>
        <v>624.33445411737409</v>
      </c>
      <c r="AA68" s="41">
        <f>Y70-Y68</f>
        <v>115.98191154773201</v>
      </c>
      <c r="AB68" s="41">
        <f>Y68-Y69</f>
        <v>182.67671955250893</v>
      </c>
    </row>
    <row r="69" spans="1:28" ht="14.5">
      <c r="C69" s="57"/>
      <c r="D69" s="56"/>
      <c r="E69" s="54"/>
      <c r="F69" s="55"/>
      <c r="H69" s="54"/>
      <c r="I69" s="91"/>
      <c r="P69" s="40" t="s">
        <v>37</v>
      </c>
      <c r="Q69" s="31">
        <f>(4/3)*3.14*((((M68-O68)+(N68-O68))/4)^3)/((10^4)^3)</f>
        <v>6.2027308799999999E-9</v>
      </c>
      <c r="R69" s="98">
        <f>Q69*(H68-I68)</f>
        <v>1.3173265347661689E-10</v>
      </c>
      <c r="S69" s="31">
        <f>(4/3)*3.14*(((K68+O68)/2)*((K68+O68)/2)*((L68+O68)/2))/((10^4)^3)</f>
        <v>1.7934326869333335E-7</v>
      </c>
      <c r="T69" s="31">
        <f>S69-Q69</f>
        <v>1.7314053781333336E-7</v>
      </c>
      <c r="U69" s="31">
        <f>T69*3.2</f>
        <v>5.5404972100266673E-7</v>
      </c>
      <c r="V69" s="98">
        <f>U69*(C68+D68)*(10^-6)</f>
        <v>1.4286402362370877E-10</v>
      </c>
      <c r="X69" s="39">
        <f>R69/(R69+V69)</f>
        <v>0.47973141870353919</v>
      </c>
      <c r="Y69" s="38">
        <f>C68*(1/(1-X69))</f>
        <v>441.65773456486517</v>
      </c>
    </row>
    <row r="70" spans="1:28" ht="14.5">
      <c r="C70" s="57"/>
      <c r="D70" s="56"/>
      <c r="E70" s="54"/>
      <c r="F70" s="55"/>
      <c r="H70" s="54"/>
      <c r="I70" s="91"/>
      <c r="P70" s="40" t="s">
        <v>36</v>
      </c>
      <c r="Q70" s="31">
        <f>(4/3)*3.14*((((M68+O68)+(N68+O68))/4)^3)/((10^4)^3)</f>
        <v>7.0551990133333341E-9</v>
      </c>
      <c r="R70" s="98">
        <f>Q69*(H68+I68)</f>
        <v>1.9353315757675813E-10</v>
      </c>
      <c r="S70" s="31">
        <f>(4/3)*3.14*(((K68-O68)/2)*((L68-O68)/2)*((L68-O68)/2))/((10^4)^3)</f>
        <v>1.6295360327999998E-7</v>
      </c>
      <c r="T70" s="31">
        <f>S70-Q70</f>
        <v>1.5589840426666664E-7</v>
      </c>
      <c r="U70" s="31">
        <f>T70*2.77</f>
        <v>4.3183857981866657E-7</v>
      </c>
      <c r="V70" s="98">
        <f>U70*(C68-D68)*(10^-6)</f>
        <v>8.7104920204681382E-11</v>
      </c>
      <c r="X70" s="39">
        <f>R70/(R70+V70)</f>
        <v>0.68961831233565329</v>
      </c>
      <c r="Y70" s="38">
        <f>C68*(1/(1-X70))</f>
        <v>740.3163656651061</v>
      </c>
      <c r="Z70" s="37">
        <f>(Y70-Y69)/Y68</f>
        <v>0.47836320601985149</v>
      </c>
    </row>
    <row r="71" spans="1:28">
      <c r="C71" s="57"/>
      <c r="D71" s="56"/>
      <c r="E71" s="54"/>
      <c r="F71" s="55"/>
      <c r="H71" s="54"/>
      <c r="I71" s="91"/>
    </row>
    <row r="72" spans="1:28">
      <c r="A72" s="36" t="s">
        <v>0</v>
      </c>
      <c r="B72" s="35">
        <v>1</v>
      </c>
      <c r="C72" s="57">
        <v>139.78921195259849</v>
      </c>
      <c r="D72" s="56">
        <v>4.1907443430200004</v>
      </c>
      <c r="E72" s="54">
        <v>0.96</v>
      </c>
      <c r="F72" s="55">
        <v>0.42821307074499998</v>
      </c>
      <c r="H72" s="54">
        <v>0.12473926333041163</v>
      </c>
      <c r="I72" s="91">
        <f>0.19*H72</f>
        <v>2.370046003277821E-2</v>
      </c>
      <c r="K72" s="30">
        <v>333</v>
      </c>
      <c r="L72" s="30">
        <v>249.9</v>
      </c>
      <c r="M72" s="30">
        <v>82.3</v>
      </c>
      <c r="N72" s="30">
        <v>79.2</v>
      </c>
      <c r="O72" s="50">
        <v>0.5</v>
      </c>
      <c r="Q72" s="31">
        <f>(4/3)*3.14*(((M72+N72)/4)^3)/((10^4)^3)</f>
        <v>2.7555353744791666E-7</v>
      </c>
      <c r="R72" s="98">
        <f>Q72*H72</f>
        <v>3.4372345269342117E-8</v>
      </c>
      <c r="S72" s="31">
        <f>(4/3)*3.14*((K72/2)*(L72/2)*(L72/2))/((10^4)^3)</f>
        <v>1.08831632427E-5</v>
      </c>
      <c r="T72" s="31">
        <f>S72-Q72</f>
        <v>1.0607609705252083E-5</v>
      </c>
      <c r="U72" s="31">
        <f>T72*2.75</f>
        <v>2.9170926689443226E-5</v>
      </c>
      <c r="V72" s="98">
        <f>U72*C72*(10^-6)</f>
        <v>4.0777808538442919E-9</v>
      </c>
      <c r="X72" s="42">
        <f>R72/(R72+V72)</f>
        <v>0.89394622944070701</v>
      </c>
      <c r="Y72" s="38">
        <f>C72*(1/(1-X72))</f>
        <v>1318.0975199221657</v>
      </c>
      <c r="AA72" s="41">
        <f>Y74-Y72</f>
        <v>238.95929740208294</v>
      </c>
      <c r="AB72" s="41">
        <f>Y72-Y73</f>
        <v>598.67424338477315</v>
      </c>
    </row>
    <row r="73" spans="1:28" ht="14.5">
      <c r="C73" s="57"/>
      <c r="D73" s="56"/>
      <c r="E73" s="54"/>
      <c r="F73" s="55"/>
      <c r="H73" s="54"/>
      <c r="I73" s="91"/>
      <c r="P73" s="40" t="s">
        <v>37</v>
      </c>
      <c r="Q73" s="31">
        <f>(4/3)*3.14*((((M72-O72)+(N72-O72))/4)^3)/((10^4)^3)</f>
        <v>2.7046652484375001E-7</v>
      </c>
      <c r="R73" s="98">
        <f>Q73*(H72-I72)</f>
        <v>2.7327614002282143E-8</v>
      </c>
      <c r="S73" s="31">
        <f>(4/3)*3.14*(((K72+O72)/2)*((K72+O72)/2)*((L72+O72)/2))/((10^4)^3)</f>
        <v>1.4574860232666668E-5</v>
      </c>
      <c r="T73" s="31">
        <f>S73-Q73</f>
        <v>1.4304393707822919E-5</v>
      </c>
      <c r="U73" s="31">
        <f>T73*3.2</f>
        <v>4.577405986503334E-5</v>
      </c>
      <c r="V73" s="98">
        <f>U73*(C72+D72)*(10^-6)</f>
        <v>6.5905471388405242E-9</v>
      </c>
      <c r="X73" s="39">
        <f>R73/(R73+V73)</f>
        <v>0.80569267563122438</v>
      </c>
      <c r="Y73" s="38">
        <f>C72*(1/(1-X73))</f>
        <v>719.42327653739255</v>
      </c>
    </row>
    <row r="74" spans="1:28" ht="14.5">
      <c r="C74" s="57"/>
      <c r="D74" s="56"/>
      <c r="E74" s="54"/>
      <c r="F74" s="55"/>
      <c r="H74" s="54"/>
      <c r="I74" s="91"/>
      <c r="P74" s="40" t="s">
        <v>36</v>
      </c>
      <c r="Q74" s="31">
        <f>(4/3)*3.14*((((M72+O72)+(N72+O72))/4)^3)/((10^4)^3)</f>
        <v>2.807039388020833E-7</v>
      </c>
      <c r="R74" s="98">
        <f>Q73*(H72+I72)</f>
        <v>4.0147976126809563E-8</v>
      </c>
      <c r="S74" s="31">
        <f>(4/3)*3.14*(((K72-O72)/2)*((L72-O72)/2)*((L72-O72)/2))/((10^4)^3)</f>
        <v>1.0823380976333334E-5</v>
      </c>
      <c r="T74" s="31">
        <f>S74-Q74</f>
        <v>1.0542677037531251E-5</v>
      </c>
      <c r="U74" s="31">
        <f>T74*2.77</f>
        <v>2.9203215393961566E-5</v>
      </c>
      <c r="V74" s="98">
        <f>U74*(C72-D72)*(10^-6)</f>
        <v>3.9599112566936417E-9</v>
      </c>
      <c r="X74" s="39">
        <f>R74/(R74+V74)</f>
        <v>0.91022215092136349</v>
      </c>
      <c r="Y74" s="38">
        <f>C72*(1/(1-X74))</f>
        <v>1557.0568173242486</v>
      </c>
      <c r="Z74" s="37">
        <f>(Y74-Y73)/Y72</f>
        <v>0.63548677402588449</v>
      </c>
    </row>
    <row r="75" spans="1:28">
      <c r="C75" s="57"/>
      <c r="D75" s="56"/>
      <c r="E75" s="54"/>
      <c r="F75" s="55"/>
      <c r="H75" s="54"/>
      <c r="I75" s="91"/>
    </row>
    <row r="76" spans="1:28">
      <c r="A76" s="36" t="s">
        <v>0</v>
      </c>
      <c r="B76" s="35">
        <v>3</v>
      </c>
      <c r="C76" s="57">
        <v>151.73876011092219</v>
      </c>
      <c r="D76" s="56">
        <v>26.042940864699997</v>
      </c>
      <c r="E76" s="54">
        <v>0.63</v>
      </c>
      <c r="F76" s="55">
        <v>3.0897141828399999</v>
      </c>
      <c r="H76" s="54">
        <v>4.151367526355898E-2</v>
      </c>
      <c r="I76" s="91">
        <f>0.19*H76</f>
        <v>7.8875983000762061E-3</v>
      </c>
      <c r="K76" s="30">
        <v>175.4</v>
      </c>
      <c r="L76" s="30">
        <v>161.69999999999999</v>
      </c>
      <c r="M76" s="30">
        <v>55.5</v>
      </c>
      <c r="N76" s="30">
        <v>56</v>
      </c>
      <c r="O76" s="50">
        <v>0.5</v>
      </c>
      <c r="Q76" s="31">
        <f>(4/3)*3.14*(((M76+N76)/4)^3)/((10^4)^3)</f>
        <v>9.0680313489583335E-8</v>
      </c>
      <c r="R76" s="98">
        <f>Q76*H76</f>
        <v>3.7644730870042896E-9</v>
      </c>
      <c r="S76" s="31">
        <f>(4/3)*3.14*((K76/2)*(L76/2)*(L76/2))/((10^4)^3)</f>
        <v>2.40009275814E-6</v>
      </c>
      <c r="T76" s="31">
        <f>S76-Q76</f>
        <v>2.3094124446504168E-6</v>
      </c>
      <c r="U76" s="31">
        <f>T76*2.75</f>
        <v>6.3508842227886463E-6</v>
      </c>
      <c r="V76" s="98">
        <f>U76*C76*(10^-6)</f>
        <v>9.6367529757396682E-10</v>
      </c>
      <c r="X76" s="42">
        <f>R76/(R76+V76)</f>
        <v>0.79618336414373647</v>
      </c>
      <c r="Y76" s="38">
        <f>C76*(1/(1-X76))</f>
        <v>744.48662874571266</v>
      </c>
      <c r="AA76" s="41">
        <f>Y78-Y76</f>
        <v>238.74813574917118</v>
      </c>
      <c r="AB76" s="41">
        <f>Y76-Y77</f>
        <v>280.86199500845419</v>
      </c>
    </row>
    <row r="77" spans="1:28" ht="14.5">
      <c r="C77" s="57"/>
      <c r="D77" s="56"/>
      <c r="E77" s="54"/>
      <c r="F77" s="55"/>
      <c r="H77" s="54"/>
      <c r="I77" s="91"/>
      <c r="P77" s="40" t="s">
        <v>37</v>
      </c>
      <c r="Q77" s="31">
        <f>(4/3)*3.14*((((M76-O76)+(N76-O76))/4)^3)/((10^4)^3)</f>
        <v>8.8262300885416672E-8</v>
      </c>
      <c r="R77" s="98">
        <f>Q77*(H76-I76)</f>
        <v>2.9679149225470946E-9</v>
      </c>
      <c r="S77" s="31">
        <f>(4/3)*3.14*(((K76+O76)/2)*((K76+O76)/2)*((L76+O76)/2))/((10^4)^3)</f>
        <v>2.6264003432466666E-6</v>
      </c>
      <c r="T77" s="31">
        <f>S77-Q77</f>
        <v>2.5381380423612498E-6</v>
      </c>
      <c r="U77" s="31">
        <f>T77*3.2</f>
        <v>8.1220417355559998E-6</v>
      </c>
      <c r="V77" s="98">
        <f>U77*(C76+D76)*(10^-6)</f>
        <v>1.4439503951421402E-9</v>
      </c>
      <c r="X77" s="39">
        <f>R77/(R77+V77)</f>
        <v>0.6727120410152444</v>
      </c>
      <c r="Y77" s="38">
        <f>C76*(1/(1-X77))</f>
        <v>463.62463373725848</v>
      </c>
    </row>
    <row r="78" spans="1:28" ht="14.5">
      <c r="C78" s="57"/>
      <c r="D78" s="56"/>
      <c r="E78" s="54"/>
      <c r="F78" s="55"/>
      <c r="H78" s="54"/>
      <c r="I78" s="91"/>
      <c r="P78" s="40" t="s">
        <v>36</v>
      </c>
      <c r="Q78" s="31">
        <f>(4/3)*3.14*((((M76+O76)+(N76+O76))/4)^3)/((10^4)^3)</f>
        <v>9.314208984375E-8</v>
      </c>
      <c r="R78" s="98">
        <f>Q77*(H76+I76)</f>
        <v>4.3602700713963491E-9</v>
      </c>
      <c r="S78" s="31">
        <f>(4/3)*3.14*(((K76-O76)/2)*((L76-O76)/2)*((L76-O76)/2))/((10^4)^3)</f>
        <v>2.3784733086399994E-6</v>
      </c>
      <c r="T78" s="31">
        <f>S78-Q78</f>
        <v>2.2853312187962494E-6</v>
      </c>
      <c r="U78" s="31">
        <f>T78*2.77</f>
        <v>6.3303674760656109E-6</v>
      </c>
      <c r="V78" s="98">
        <f>U78*(C76-D76)*(10^-6)</f>
        <v>7.957007260337067E-10</v>
      </c>
      <c r="X78" s="39">
        <f>R78/(R78+V78)</f>
        <v>0.84567392692947063</v>
      </c>
      <c r="Y78" s="38">
        <f>C76*(1/(1-X78))</f>
        <v>983.23476449488385</v>
      </c>
      <c r="Z78" s="37">
        <f>(Y78-Y77)/Y76</f>
        <v>0.69794420839101967</v>
      </c>
    </row>
    <row r="79" spans="1:28">
      <c r="C79" s="57"/>
      <c r="D79" s="56"/>
      <c r="E79" s="54"/>
      <c r="F79" s="55"/>
      <c r="H79" s="54"/>
      <c r="I79" s="91"/>
    </row>
    <row r="80" spans="1:28">
      <c r="A80" s="36" t="s">
        <v>0</v>
      </c>
      <c r="B80" s="35">
        <v>4</v>
      </c>
      <c r="C80" s="57">
        <v>319.63340804250635</v>
      </c>
      <c r="D80" s="56">
        <v>0.38980806007200003</v>
      </c>
      <c r="E80" s="54">
        <v>0.77228571428571424</v>
      </c>
      <c r="F80" s="55">
        <v>0.50077101048100003</v>
      </c>
      <c r="H80" s="54">
        <v>0.20026169441553066</v>
      </c>
      <c r="I80" s="91">
        <f>0.19*H80</f>
        <v>3.8049721938950828E-2</v>
      </c>
      <c r="K80" s="30">
        <v>222.6</v>
      </c>
      <c r="L80" s="30">
        <v>145.1</v>
      </c>
      <c r="M80" s="30">
        <v>83</v>
      </c>
      <c r="N80" s="30">
        <v>83.8</v>
      </c>
      <c r="O80" s="50">
        <v>0.5</v>
      </c>
      <c r="Q80" s="31">
        <f>(4/3)*3.14*(((M80+N80)/4)^3)/((10^4)^3)</f>
        <v>3.0358237176000004E-7</v>
      </c>
      <c r="R80" s="98">
        <f>Q80*H80</f>
        <v>6.0795920163343155E-8</v>
      </c>
      <c r="S80" s="31">
        <f>(4/3)*3.14*((K80/2)*(L80/2)*(L80/2))/((10^4)^3)</f>
        <v>2.4526658409399995E-6</v>
      </c>
      <c r="T80" s="31">
        <f>S80-Q80</f>
        <v>2.1490834691799995E-6</v>
      </c>
      <c r="U80" s="31">
        <f>T80*2.75</f>
        <v>5.9099795402449984E-6</v>
      </c>
      <c r="V80" s="98">
        <f>U80*C80*(10^-6)</f>
        <v>1.8890269019099934E-9</v>
      </c>
      <c r="X80" s="42">
        <f>R80/(R80+V80)</f>
        <v>0.96986474440277393</v>
      </c>
      <c r="Y80" s="38">
        <f>C80*(1/(1-X80))</f>
        <v>10606.626746909966</v>
      </c>
      <c r="AA80" s="41">
        <f>Y82-Y80</f>
        <v>1820.2749951685328</v>
      </c>
      <c r="AB80" s="41">
        <f>Y80-Y81</f>
        <v>5967.176375908839</v>
      </c>
    </row>
    <row r="81" spans="1:28" ht="14.5">
      <c r="C81" s="57"/>
      <c r="D81" s="56"/>
      <c r="E81" s="54"/>
      <c r="F81" s="55"/>
      <c r="H81" s="54"/>
      <c r="I81" s="91"/>
      <c r="P81" s="40" t="s">
        <v>37</v>
      </c>
      <c r="Q81" s="31">
        <f>(4/3)*3.14*((((M80-O80)+(N80-O80))/4)^3)/((10^4)^3)</f>
        <v>2.9815492624333338E-7</v>
      </c>
      <c r="R81" s="98">
        <f>Q81*(H80-I80)</f>
        <v>4.8364298689540278E-8</v>
      </c>
      <c r="S81" s="31">
        <f>(4/3)*3.14*(((K80+O80)/2)*((K80+O80)/2)*((L80+O80)/2))/((10^4)^3)</f>
        <v>3.7926163523733327E-6</v>
      </c>
      <c r="T81" s="31">
        <f>S81-Q81</f>
        <v>3.4944614261299994E-6</v>
      </c>
      <c r="U81" s="31">
        <f>T81*3.2</f>
        <v>1.1182276563615998E-5</v>
      </c>
      <c r="V81" s="98">
        <f>U81*(C80+D80)*(10^-6)</f>
        <v>3.5785881092368798E-9</v>
      </c>
      <c r="X81" s="39">
        <f>R81/(R81+V81)</f>
        <v>0.93110532876041219</v>
      </c>
      <c r="Y81" s="38">
        <f>C80*(1/(1-X81))</f>
        <v>4639.4503710011268</v>
      </c>
    </row>
    <row r="82" spans="1:28" ht="14.5">
      <c r="C82" s="57"/>
      <c r="D82" s="56"/>
      <c r="E82" s="54"/>
      <c r="F82" s="55"/>
      <c r="H82" s="54"/>
      <c r="I82" s="91"/>
      <c r="P82" s="40" t="s">
        <v>36</v>
      </c>
      <c r="Q82" s="31">
        <f>(4/3)*3.14*((((M80+O80)+(N80+O80))/4)^3)/((10^4)^3)</f>
        <v>3.0907528627666675E-7</v>
      </c>
      <c r="R82" s="98">
        <f>Q81*(H80+I80)</f>
        <v>7.1053722766114745E-8</v>
      </c>
      <c r="S82" s="31">
        <f>(4/3)*3.14*(((K80-O80)/2)*((L80-O80)/2)*((L80-O80)/2))/((10^4)^3)</f>
        <v>2.4303204548399993E-6</v>
      </c>
      <c r="T82" s="31">
        <f>S82-Q82</f>
        <v>2.1212451685633325E-6</v>
      </c>
      <c r="U82" s="31">
        <f>T82*2.77</f>
        <v>5.8758491169204313E-6</v>
      </c>
      <c r="V82" s="98">
        <f>U82*(C80-D80)*(10^-6)</f>
        <v>1.8758272250392862E-9</v>
      </c>
      <c r="X82" s="39">
        <f>R82/(R82+V82)</f>
        <v>0.97427891403050193</v>
      </c>
      <c r="Y82" s="38">
        <f>C80*(1/(1-X82))</f>
        <v>12426.901742078499</v>
      </c>
      <c r="Z82" s="37">
        <f>(Y82-Y81)/Y80</f>
        <v>0.73420622379740985</v>
      </c>
    </row>
    <row r="83" spans="1:28">
      <c r="C83" s="57"/>
      <c r="D83" s="56"/>
      <c r="E83" s="54"/>
      <c r="F83" s="55"/>
      <c r="H83" s="54"/>
      <c r="I83" s="91"/>
    </row>
    <row r="84" spans="1:28">
      <c r="A84" s="36" t="s">
        <v>0</v>
      </c>
      <c r="B84" s="35">
        <v>6</v>
      </c>
      <c r="C84" s="57">
        <v>341.57154377088267</v>
      </c>
      <c r="D84" s="56">
        <v>10.132608403699999</v>
      </c>
      <c r="E84" s="54">
        <v>0.48</v>
      </c>
      <c r="F84" s="55">
        <v>1.5790059986399998</v>
      </c>
      <c r="H84" s="54">
        <v>7.9527167028572876E-2</v>
      </c>
      <c r="I84" s="91">
        <f>0.19*H84</f>
        <v>1.5110161735428847E-2</v>
      </c>
      <c r="K84" s="30">
        <v>501</v>
      </c>
      <c r="L84" s="30">
        <v>296.2</v>
      </c>
      <c r="M84" s="30">
        <v>90.1</v>
      </c>
      <c r="N84" s="30">
        <v>95</v>
      </c>
      <c r="O84" s="50">
        <v>0.5</v>
      </c>
      <c r="Q84" s="31">
        <f>(4/3)*3.14*(((M84+N84)/4)^3)/((10^4)^3)</f>
        <v>4.1486583083624992E-7</v>
      </c>
      <c r="R84" s="98">
        <f>Q84*H84</f>
        <v>3.2993104223362108E-8</v>
      </c>
      <c r="S84" s="31">
        <f>(4/3)*3.14*((K84/2)*(L84/2)*(L84/2))/((10^4)^3)</f>
        <v>2.3003092823599996E-5</v>
      </c>
      <c r="T84" s="31">
        <f>S84-Q84</f>
        <v>2.2588226992763746E-5</v>
      </c>
      <c r="U84" s="31">
        <f>T84*2.75</f>
        <v>6.2117624230100297E-5</v>
      </c>
      <c r="V84" s="98">
        <f>U84*C84*(10^-6)</f>
        <v>2.1217612803654945E-8</v>
      </c>
      <c r="X84" s="42">
        <f>R84/(R84+V84)</f>
        <v>0.60860851936194271</v>
      </c>
      <c r="Y84" s="38">
        <f>C84*(1/(1-X84))</f>
        <v>872.7107274129811</v>
      </c>
      <c r="AA84" s="41">
        <f>Y86-Y84</f>
        <v>108.14678195876127</v>
      </c>
      <c r="AB84" s="41">
        <f>Y84-Y85</f>
        <v>324.63447235059732</v>
      </c>
    </row>
    <row r="85" spans="1:28" ht="14.5">
      <c r="C85" s="57"/>
      <c r="D85" s="56"/>
      <c r="E85" s="54"/>
      <c r="F85" s="55"/>
      <c r="H85" s="54"/>
      <c r="I85" s="91"/>
      <c r="P85" s="40" t="s">
        <v>37</v>
      </c>
      <c r="Q85" s="31">
        <f>(4/3)*3.14*((((M84-O84)+(N84-O84))/4)^3)/((10^4)^3)</f>
        <v>4.0817817183208332E-7</v>
      </c>
      <c r="R85" s="98">
        <f>Q85*(H84-I84)</f>
        <v>2.6293615455453166E-8</v>
      </c>
      <c r="S85" s="31">
        <f>(4/3)*3.14*(((K84+O84)/2)*((K84+O84)/2)*((L84+O84)/2))/((10^4)^3)</f>
        <v>3.9051508864249995E-5</v>
      </c>
      <c r="T85" s="31">
        <f>S85-Q85</f>
        <v>3.864333069241791E-5</v>
      </c>
      <c r="U85" s="31">
        <f>T85*3.2</f>
        <v>1.2365865821573733E-4</v>
      </c>
      <c r="V85" s="98">
        <f>U85*(C84+D84)*(10^-6)</f>
        <v>4.3491263546812379E-8</v>
      </c>
      <c r="X85" s="39">
        <f>R85/(R85+V85)</f>
        <v>0.37678098509849894</v>
      </c>
      <c r="Y85" s="38">
        <f>C84*(1/(1-X85))</f>
        <v>548.07625506238378</v>
      </c>
    </row>
    <row r="86" spans="1:28" ht="14.5">
      <c r="C86" s="57"/>
      <c r="D86" s="56"/>
      <c r="E86" s="54"/>
      <c r="F86" s="55"/>
      <c r="H86" s="54"/>
      <c r="I86" s="91"/>
      <c r="P86" s="40" t="s">
        <v>36</v>
      </c>
      <c r="Q86" s="31">
        <f>(4/3)*3.14*((((M84+O84)+(N84+O84))/4)^3)/((10^4)^3)</f>
        <v>4.2162614159041667E-7</v>
      </c>
      <c r="R86" s="98">
        <f>Q85*(H84+I84)</f>
        <v>3.8628891841962055E-8</v>
      </c>
      <c r="S86" s="31">
        <f>(4/3)*3.14*(((K84-O84)/2)*((L84-O84)/2)*((L84-O84)/2))/((10^4)^3)</f>
        <v>2.2902617954883328E-5</v>
      </c>
      <c r="T86" s="31">
        <f>S86-Q86</f>
        <v>2.248099181329291E-5</v>
      </c>
      <c r="U86" s="31">
        <f>T86*2.77</f>
        <v>6.2272347322821358E-5</v>
      </c>
      <c r="V86" s="98">
        <f>U86*(C84-D84)*(10^-6)</f>
        <v>2.0639480499491337E-8</v>
      </c>
      <c r="X86" s="39">
        <f>R86/(R86+V86)</f>
        <v>0.65176231969752096</v>
      </c>
      <c r="Y86" s="38">
        <f>C84*(1/(1-X86))</f>
        <v>980.85750937174237</v>
      </c>
      <c r="Z86" s="37">
        <f>(Y86-Y85)/Y84</f>
        <v>0.4959045886742714</v>
      </c>
    </row>
    <row r="87" spans="1:28">
      <c r="C87" s="57"/>
      <c r="D87" s="56"/>
      <c r="E87" s="54"/>
      <c r="F87" s="55"/>
      <c r="H87" s="54"/>
      <c r="I87" s="91"/>
    </row>
    <row r="88" spans="1:28">
      <c r="A88" s="36" t="s">
        <v>0</v>
      </c>
      <c r="B88" s="35">
        <v>7</v>
      </c>
      <c r="C88" s="57">
        <v>233.24141150487932</v>
      </c>
      <c r="D88" s="56">
        <v>13.8739612245</v>
      </c>
      <c r="E88" s="54">
        <v>0.55000000000000004</v>
      </c>
      <c r="F88" s="55">
        <v>1.25789180702</v>
      </c>
      <c r="H88" s="54">
        <v>8.8413183410011698E-2</v>
      </c>
      <c r="I88" s="91">
        <f>0.19*H88</f>
        <v>1.6798504847902223E-2</v>
      </c>
      <c r="K88" s="30">
        <v>69.5</v>
      </c>
      <c r="L88" s="30">
        <v>60.4</v>
      </c>
      <c r="M88" s="30">
        <v>23.2</v>
      </c>
      <c r="N88" s="30">
        <v>23.6</v>
      </c>
      <c r="O88" s="50">
        <v>0.5</v>
      </c>
      <c r="Q88" s="31">
        <f>(4/3)*3.14*(((M88+N88)/4)^3)/((10^4)^3)</f>
        <v>6.7054197599999991E-9</v>
      </c>
      <c r="R88" s="98">
        <f>Q88*H88</f>
        <v>5.9284750708199657E-10</v>
      </c>
      <c r="S88" s="31">
        <f>(4/3)*3.14*((K88/2)*(L88/2)*(L88/2))/((10^4)^3)</f>
        <v>1.3268965946666667E-7</v>
      </c>
      <c r="T88" s="31">
        <f>S88-Q88</f>
        <v>1.2598423970666666E-7</v>
      </c>
      <c r="U88" s="31">
        <f>T88*2.75</f>
        <v>3.4645665919333331E-7</v>
      </c>
      <c r="V88" s="98">
        <f>U88*C88*(10^-6)</f>
        <v>8.0808040215517976E-11</v>
      </c>
      <c r="X88" s="42">
        <f>R88/(R88+V88)</f>
        <v>0.88004546160171415</v>
      </c>
      <c r="Y88" s="38">
        <f>C88*(1/(1-X88))</f>
        <v>1944.4150644008675</v>
      </c>
      <c r="AA88" s="41">
        <f>Y90-Y88</f>
        <v>362.09391579925318</v>
      </c>
      <c r="AB88" s="41">
        <f>Y88-Y89</f>
        <v>825.46708170631609</v>
      </c>
    </row>
    <row r="89" spans="1:28" ht="14.5">
      <c r="C89" s="77"/>
      <c r="D89" s="44"/>
      <c r="E89" s="79"/>
      <c r="F89" s="78"/>
      <c r="I89" s="91"/>
      <c r="P89" s="40" t="s">
        <v>37</v>
      </c>
      <c r="Q89" s="31">
        <f>(4/3)*3.14*((((M88-O88)+(N88-O88))/4)^3)/((10^4)^3)</f>
        <v>6.2847042433333318E-9</v>
      </c>
      <c r="R89" s="98">
        <f>Q89*(H88-I88)</f>
        <v>4.50077074244242E-10</v>
      </c>
      <c r="S89" s="31">
        <f>(4/3)*3.14*(((K88+O88)/2)*((K88+O88)/2)*((L88+O88)/2))/((10^4)^3)</f>
        <v>1.5616790000000001E-7</v>
      </c>
      <c r="T89" s="31">
        <f>S89-Q89</f>
        <v>1.4988319575666667E-7</v>
      </c>
      <c r="U89" s="31">
        <f>T89*3.2</f>
        <v>4.7962622642133333E-7</v>
      </c>
      <c r="V89" s="98">
        <f>U89*(C88+D88)*(10^-6)</f>
        <v>1.1852301371289346E-10</v>
      </c>
      <c r="X89" s="39">
        <f>R89/(R89+V89)</f>
        <v>0.79155294516621943</v>
      </c>
      <c r="Y89" s="38">
        <f>C88*(1/(1-X89))</f>
        <v>1118.9479826945515</v>
      </c>
    </row>
    <row r="90" spans="1:28" ht="14.5">
      <c r="C90" s="45"/>
      <c r="D90" s="44"/>
      <c r="E90" s="45"/>
      <c r="F90" s="78"/>
      <c r="I90" s="91"/>
      <c r="P90" s="40" t="s">
        <v>36</v>
      </c>
      <c r="Q90" s="31">
        <f>(4/3)*3.14*((((M88+O88)+(N88+O88))/4)^3)/((10^4)^3)</f>
        <v>7.1445042766666655E-9</v>
      </c>
      <c r="R90" s="98">
        <f>Q89*(H88+I88)</f>
        <v>6.6122434364277532E-10</v>
      </c>
      <c r="S90" s="31">
        <f>(4/3)*3.14*(((K88-O88)/2)*((L88-O88)/2)*((L88-O88)/2))/((10^4)^3)</f>
        <v>1.2956304109999999E-7</v>
      </c>
      <c r="T90" s="31">
        <f>S90-Q90</f>
        <v>1.2241853682333333E-7</v>
      </c>
      <c r="U90" s="31">
        <f>T90*2.77</f>
        <v>3.3909934700063334E-7</v>
      </c>
      <c r="V90" s="98">
        <f>U90*(C88-D88)*(10^-6)</f>
        <v>7.4387359143270534E-11</v>
      </c>
      <c r="X90" s="39">
        <f>R90/(R90+V90)</f>
        <v>0.89887686824239355</v>
      </c>
      <c r="Y90" s="38">
        <f>C88*(1/(1-X90))</f>
        <v>2306.5089802001207</v>
      </c>
      <c r="Z90" s="37">
        <f>(Y90-Y89)/Y88</f>
        <v>0.61075488420549362</v>
      </c>
    </row>
    <row r="91" spans="1:28">
      <c r="C91" s="45"/>
      <c r="D91" s="44"/>
      <c r="E91" s="45"/>
      <c r="F91" s="78"/>
      <c r="H91" s="30"/>
      <c r="I91" s="51"/>
      <c r="J91" s="30"/>
      <c r="P91" s="30"/>
      <c r="Q91" s="30"/>
      <c r="R91" s="99"/>
      <c r="S91" s="30"/>
      <c r="T91" s="30"/>
      <c r="U91" s="30"/>
      <c r="V91" s="99"/>
      <c r="W91" s="30"/>
      <c r="X91" s="30"/>
      <c r="Y91" s="30"/>
      <c r="Z91" s="30"/>
      <c r="AA91" s="30"/>
      <c r="AB91" s="30"/>
    </row>
    <row r="92" spans="1:28">
      <c r="C92" s="45"/>
      <c r="D92" s="44"/>
      <c r="E92" s="45"/>
      <c r="F92" s="78"/>
      <c r="K92" s="96" t="s">
        <v>242</v>
      </c>
    </row>
    <row r="93" spans="1:28">
      <c r="C93" s="45"/>
      <c r="D93" s="44"/>
      <c r="E93" s="45"/>
      <c r="F93" s="43"/>
      <c r="K93" s="96" t="s">
        <v>243</v>
      </c>
      <c r="X93" s="42"/>
      <c r="Y93" s="38"/>
      <c r="AA93" s="41"/>
      <c r="AB93" s="41"/>
    </row>
    <row r="94" spans="1:28" ht="14.5">
      <c r="C94" s="45"/>
      <c r="D94" s="44"/>
      <c r="E94" s="45"/>
      <c r="F94" s="43"/>
      <c r="P94" s="40"/>
      <c r="X94" s="39"/>
      <c r="Y94" s="38"/>
    </row>
    <row r="95" spans="1:28" ht="14.5">
      <c r="C95" s="45"/>
      <c r="D95" s="44"/>
      <c r="E95" s="45"/>
      <c r="F95" s="43"/>
      <c r="P95" s="40"/>
      <c r="X95" s="39"/>
      <c r="Y95" s="38"/>
      <c r="Z95" s="37"/>
    </row>
    <row r="96" spans="1:28">
      <c r="C96" s="45"/>
      <c r="D96" s="44"/>
      <c r="E96" s="45"/>
      <c r="F96" s="43"/>
    </row>
    <row r="97" spans="3:28">
      <c r="C97" s="45"/>
      <c r="D97" s="44"/>
      <c r="E97" s="45"/>
      <c r="F97" s="43"/>
      <c r="X97" s="42"/>
      <c r="Y97" s="38"/>
      <c r="AA97" s="41"/>
      <c r="AB97" s="41"/>
    </row>
    <row r="98" spans="3:28" ht="14.5">
      <c r="P98" s="40"/>
      <c r="X98" s="39"/>
      <c r="Y98" s="38"/>
    </row>
    <row r="99" spans="3:28" ht="14.5">
      <c r="P99" s="40"/>
      <c r="X99" s="39"/>
      <c r="Y99" s="38"/>
      <c r="Z99" s="37"/>
    </row>
    <row r="100" spans="3:28" ht="14.5">
      <c r="Z100" s="37"/>
    </row>
  </sheetData>
  <pageMargins left="0.25" right="0.25" top="0.75" bottom="0.75" header="0.3" footer="0.3"/>
  <pageSetup scale="90" orientation="landscape"/>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9"/>
  <sheetViews>
    <sheetView workbookViewId="0">
      <selection sqref="A1:A2"/>
    </sheetView>
  </sheetViews>
  <sheetFormatPr defaultColWidth="8.81640625" defaultRowHeight="14.5"/>
  <cols>
    <col min="1" max="1" width="10.08984375" bestFit="1" customWidth="1"/>
    <col min="2" max="15" width="9.36328125" bestFit="1" customWidth="1"/>
    <col min="16" max="17" width="9.453125" bestFit="1" customWidth="1"/>
  </cols>
  <sheetData>
    <row r="1" spans="1:19">
      <c r="A1" s="96" t="s">
        <v>242</v>
      </c>
    </row>
    <row r="2" spans="1:19">
      <c r="A2" s="96" t="s">
        <v>243</v>
      </c>
    </row>
    <row r="3" spans="1:19">
      <c r="A3" t="s">
        <v>241</v>
      </c>
    </row>
    <row r="4" spans="1:19">
      <c r="A4" t="s">
        <v>42</v>
      </c>
      <c r="B4" t="s">
        <v>43</v>
      </c>
      <c r="C4" t="s">
        <v>44</v>
      </c>
      <c r="D4" t="s">
        <v>45</v>
      </c>
      <c r="E4" t="s">
        <v>62</v>
      </c>
      <c r="F4" t="s">
        <v>46</v>
      </c>
      <c r="G4" t="s">
        <v>47</v>
      </c>
      <c r="H4" t="s">
        <v>48</v>
      </c>
      <c r="I4" t="s">
        <v>63</v>
      </c>
      <c r="J4" t="s">
        <v>49</v>
      </c>
      <c r="K4" t="s">
        <v>50</v>
      </c>
      <c r="L4" t="s">
        <v>51</v>
      </c>
      <c r="M4" t="s">
        <v>41</v>
      </c>
      <c r="N4" t="s">
        <v>52</v>
      </c>
      <c r="O4" t="s">
        <v>53</v>
      </c>
      <c r="P4" t="s">
        <v>54</v>
      </c>
      <c r="Q4" t="s">
        <v>55</v>
      </c>
      <c r="S4" t="s">
        <v>197</v>
      </c>
    </row>
    <row r="5" spans="1:19">
      <c r="A5" t="s">
        <v>56</v>
      </c>
      <c r="B5" s="63">
        <v>49.851666666666667</v>
      </c>
      <c r="C5" s="63">
        <v>0.749</v>
      </c>
      <c r="D5" s="63">
        <v>17.752666666666666</v>
      </c>
      <c r="E5" s="63">
        <v>1.2333333333333333E-2</v>
      </c>
      <c r="F5" s="63">
        <v>3.8006666666666664</v>
      </c>
      <c r="G5" s="63">
        <v>9.0723333333333329</v>
      </c>
      <c r="H5" s="63">
        <v>0.22199999999999998</v>
      </c>
      <c r="I5" s="63">
        <v>10.040999999999999</v>
      </c>
      <c r="J5" s="63">
        <v>2.9923333333333333</v>
      </c>
      <c r="K5" s="63">
        <v>0.56333333333333335</v>
      </c>
      <c r="L5" s="71">
        <v>513.97129319999999</v>
      </c>
      <c r="M5" s="63">
        <v>4.3119352920000003</v>
      </c>
      <c r="N5" s="71">
        <v>458.56213830000002</v>
      </c>
      <c r="O5" s="71">
        <v>747.58142999999995</v>
      </c>
      <c r="P5" s="71">
        <v>2498.3015589000001</v>
      </c>
      <c r="Q5" s="71">
        <v>1230.0814382999999</v>
      </c>
      <c r="S5" s="63">
        <f t="shared" ref="S5:S26" si="0">SUM(B5:K5,M5)</f>
        <v>99.369268625333333</v>
      </c>
    </row>
    <row r="6" spans="1:19">
      <c r="A6" t="s">
        <v>57</v>
      </c>
      <c r="B6" s="63">
        <v>49.108666666666664</v>
      </c>
      <c r="C6" s="63">
        <v>1.0886666666666667</v>
      </c>
      <c r="D6" s="63">
        <v>19.239999999999998</v>
      </c>
      <c r="E6" s="63">
        <v>4.5666666666666668E-2</v>
      </c>
      <c r="F6" s="63">
        <v>3.8019999999999996</v>
      </c>
      <c r="G6" s="63">
        <v>9.6413333333333338</v>
      </c>
      <c r="H6" s="63">
        <v>0.13833333333333334</v>
      </c>
      <c r="I6" s="63">
        <v>8.6073333333333348</v>
      </c>
      <c r="J6" s="63">
        <v>3.2606666666666668</v>
      </c>
      <c r="K6" s="63">
        <v>0.6263333333333333</v>
      </c>
      <c r="L6" s="71">
        <v>697.10710169999993</v>
      </c>
      <c r="M6" s="63">
        <v>4.723537168</v>
      </c>
      <c r="N6" s="71">
        <v>444.57990480000007</v>
      </c>
      <c r="O6" s="71">
        <v>749.05695000000003</v>
      </c>
      <c r="P6" s="71">
        <v>2646.4263454999996</v>
      </c>
      <c r="Q6" s="71">
        <v>1308.3565924</v>
      </c>
      <c r="S6" s="63">
        <f t="shared" si="0"/>
        <v>100.282537168</v>
      </c>
    </row>
    <row r="7" spans="1:19">
      <c r="A7" t="s">
        <v>58</v>
      </c>
      <c r="B7" s="63">
        <v>52.456666666666671</v>
      </c>
      <c r="C7" s="63">
        <v>1.0816666666666668</v>
      </c>
      <c r="D7" s="63">
        <v>15.899000000000001</v>
      </c>
      <c r="E7" s="63">
        <v>2.8000000000000001E-2</v>
      </c>
      <c r="F7" s="63">
        <v>3.9329999999999998</v>
      </c>
      <c r="G7" s="63">
        <v>7.8363333333333332</v>
      </c>
      <c r="H7" s="63">
        <v>0.20033333333333334</v>
      </c>
      <c r="I7" s="63">
        <v>9.559333333333333</v>
      </c>
      <c r="J7" s="63">
        <v>3.363666666666667</v>
      </c>
      <c r="K7" s="63">
        <v>0.77633333333333321</v>
      </c>
      <c r="L7" s="71">
        <v>266.6682745</v>
      </c>
      <c r="M7" s="63">
        <v>3.9948825840000004</v>
      </c>
      <c r="N7" s="71">
        <v>437.19743250000005</v>
      </c>
      <c r="O7" s="71">
        <v>885.63477</v>
      </c>
      <c r="P7" s="71">
        <v>1611.0737586999999</v>
      </c>
      <c r="Q7" s="71">
        <v>1245.2050468</v>
      </c>
      <c r="S7" s="63">
        <f t="shared" si="0"/>
        <v>99.129215917333326</v>
      </c>
    </row>
    <row r="8" spans="1:19">
      <c r="A8" t="s">
        <v>59</v>
      </c>
      <c r="B8" s="63">
        <v>50.094000000000001</v>
      </c>
      <c r="C8" s="63">
        <v>0.72899999999999998</v>
      </c>
      <c r="D8" s="63">
        <v>17.766999999999999</v>
      </c>
      <c r="E8" s="63">
        <v>0</v>
      </c>
      <c r="F8" s="63">
        <v>3.9540000000000002</v>
      </c>
      <c r="G8" s="63">
        <v>8.73</v>
      </c>
      <c r="H8" s="63">
        <v>0.191</v>
      </c>
      <c r="I8" s="63">
        <v>10.189</v>
      </c>
      <c r="J8" s="63">
        <v>2.8069999999999999</v>
      </c>
      <c r="K8" s="63">
        <v>0.58299999999999996</v>
      </c>
      <c r="L8" s="71">
        <v>494.52783850000003</v>
      </c>
      <c r="M8" s="63">
        <v>4.1670167559999998</v>
      </c>
      <c r="N8" s="71">
        <v>441.63279540000008</v>
      </c>
      <c r="O8" s="71">
        <v>764.59601999999995</v>
      </c>
      <c r="P8" s="71">
        <v>2490.4363847999998</v>
      </c>
      <c r="Q8" s="71">
        <v>1273.4142849999998</v>
      </c>
      <c r="S8" s="63">
        <f t="shared" si="0"/>
        <v>99.211016755999992</v>
      </c>
    </row>
    <row r="9" spans="1:19">
      <c r="A9" t="s">
        <v>60</v>
      </c>
      <c r="B9" s="63">
        <v>51.942</v>
      </c>
      <c r="C9" s="63">
        <v>0.92500000000000004</v>
      </c>
      <c r="D9" s="63">
        <v>16.963000000000001</v>
      </c>
      <c r="E9" s="63">
        <v>1.0500000000000001E-2</v>
      </c>
      <c r="F9" s="63">
        <v>3.6219999999999999</v>
      </c>
      <c r="G9" s="63">
        <v>7.3955000000000002</v>
      </c>
      <c r="H9" s="63">
        <v>0.21050000000000002</v>
      </c>
      <c r="I9" s="63">
        <v>9.9350000000000005</v>
      </c>
      <c r="J9" s="63">
        <v>3.8600000000000003</v>
      </c>
      <c r="K9" s="63">
        <v>0.81899999999999995</v>
      </c>
      <c r="L9" s="71">
        <v>189.64937585000001</v>
      </c>
      <c r="M9" s="63">
        <v>4.0558199359999998</v>
      </c>
      <c r="N9" s="71">
        <v>618.95544389999998</v>
      </c>
      <c r="O9" s="71">
        <v>976.88645999999994</v>
      </c>
      <c r="P9" s="71">
        <v>2109.0685042</v>
      </c>
      <c r="Q9" s="71">
        <v>1545.7424268</v>
      </c>
      <c r="S9" s="63">
        <f t="shared" si="0"/>
        <v>99.738319935999996</v>
      </c>
    </row>
    <row r="10" spans="1:19">
      <c r="A10" t="s">
        <v>61</v>
      </c>
      <c r="B10" s="63">
        <v>50.715000000000003</v>
      </c>
      <c r="C10" s="63">
        <v>0.69799999999999995</v>
      </c>
      <c r="D10" s="63">
        <v>17.187000000000001</v>
      </c>
      <c r="E10" s="63">
        <v>0</v>
      </c>
      <c r="F10" s="63">
        <v>4.3600000000000003</v>
      </c>
      <c r="G10" s="63">
        <v>8.218</v>
      </c>
      <c r="H10" s="63">
        <v>0.16400000000000001</v>
      </c>
      <c r="I10" s="63">
        <v>11.305</v>
      </c>
      <c r="J10" s="63">
        <v>3.1669999999999998</v>
      </c>
      <c r="K10" s="63">
        <v>0.54700000000000004</v>
      </c>
      <c r="L10" s="71">
        <v>504.15231849999998</v>
      </c>
      <c r="M10" s="63">
        <v>4.3940218</v>
      </c>
      <c r="N10" s="71">
        <v>466.51051440000003</v>
      </c>
      <c r="O10" s="71">
        <v>766.80930000000001</v>
      </c>
      <c r="P10" s="71">
        <v>2469.2392353999999</v>
      </c>
      <c r="Q10" s="71">
        <v>1215.0610185999999</v>
      </c>
      <c r="S10" s="63">
        <f t="shared" si="0"/>
        <v>100.75502180000002</v>
      </c>
    </row>
    <row r="11" spans="1:19">
      <c r="A11" t="s">
        <v>64</v>
      </c>
      <c r="B11" s="63">
        <v>49.870666666666672</v>
      </c>
      <c r="C11" s="63">
        <v>0.85266666666666679</v>
      </c>
      <c r="D11" s="63">
        <v>17.584333333333333</v>
      </c>
      <c r="E11" s="63">
        <v>2.4666666666666667E-2</v>
      </c>
      <c r="F11" s="63">
        <v>6.2073333333333336</v>
      </c>
      <c r="G11" s="63">
        <v>10.131</v>
      </c>
      <c r="H11" s="63">
        <v>0.17366666666666664</v>
      </c>
      <c r="I11" s="63">
        <v>8.6719999999999988</v>
      </c>
      <c r="J11" s="63">
        <v>2.2746666666666666</v>
      </c>
      <c r="K11" s="63">
        <v>0.35666666666666669</v>
      </c>
      <c r="L11" s="71">
        <v>500.74565359999997</v>
      </c>
      <c r="M11" s="63">
        <v>3.8559733799999996</v>
      </c>
      <c r="N11" s="71">
        <v>108.6351561</v>
      </c>
      <c r="O11" s="71">
        <v>315.88946579999998</v>
      </c>
      <c r="P11" s="71">
        <v>1220.6494943999999</v>
      </c>
      <c r="Q11" s="71">
        <v>534.72436159999995</v>
      </c>
      <c r="S11" s="63">
        <f t="shared" si="0"/>
        <v>100.00364004666666</v>
      </c>
    </row>
    <row r="12" spans="1:19">
      <c r="A12" t="s">
        <v>65</v>
      </c>
      <c r="B12" s="63">
        <v>51.697000000000003</v>
      </c>
      <c r="C12" s="63">
        <v>0.54174999999999995</v>
      </c>
      <c r="D12" s="63">
        <v>17.396999999999998</v>
      </c>
      <c r="E12" s="63">
        <v>2.0999999999999998E-2</v>
      </c>
      <c r="F12" s="63">
        <v>6.5969999999999995</v>
      </c>
      <c r="G12" s="63">
        <v>9.1912500000000001</v>
      </c>
      <c r="H12" s="63">
        <v>0.17474999999999999</v>
      </c>
      <c r="I12" s="63">
        <v>7.8127499999999994</v>
      </c>
      <c r="J12" s="63">
        <v>2.4329999999999998</v>
      </c>
      <c r="K12" s="63">
        <v>0.40849999999999997</v>
      </c>
      <c r="L12" s="71">
        <v>175.77588844000002</v>
      </c>
      <c r="M12" s="63">
        <v>4.0150646199999995</v>
      </c>
      <c r="N12" s="71">
        <v>116.79299010000001</v>
      </c>
      <c r="O12" s="71">
        <v>271.8170667</v>
      </c>
      <c r="P12" s="71">
        <v>407.45218009999996</v>
      </c>
      <c r="Q12" s="71">
        <v>394.18121599999995</v>
      </c>
      <c r="S12" s="63">
        <f t="shared" si="0"/>
        <v>100.28906462</v>
      </c>
    </row>
    <row r="13" spans="1:19">
      <c r="A13" t="s">
        <v>66</v>
      </c>
      <c r="B13" s="63">
        <v>46.439</v>
      </c>
      <c r="C13" s="63">
        <v>0.52800000000000002</v>
      </c>
      <c r="D13" s="63">
        <v>16.265999999999998</v>
      </c>
      <c r="E13" s="63">
        <v>0</v>
      </c>
      <c r="F13" s="63">
        <v>12.198</v>
      </c>
      <c r="G13" s="63">
        <v>8.7680000000000007</v>
      </c>
      <c r="H13" s="63">
        <v>9.1999999999999998E-2</v>
      </c>
      <c r="I13" s="63">
        <v>9.2690000000000001</v>
      </c>
      <c r="J13" s="63">
        <v>2.3769999999999998</v>
      </c>
      <c r="K13" s="63">
        <v>0.312</v>
      </c>
      <c r="L13" s="71">
        <v>172.27879353</v>
      </c>
      <c r="M13" s="63">
        <v>3.8690866480000001</v>
      </c>
      <c r="N13" s="71">
        <v>129.97413900000001</v>
      </c>
      <c r="O13" s="71">
        <v>215.9566461</v>
      </c>
      <c r="P13" s="71">
        <v>977.25984719999997</v>
      </c>
      <c r="Q13" s="71">
        <v>626.74942329999988</v>
      </c>
      <c r="S13" s="63">
        <f t="shared" si="0"/>
        <v>100.118086648</v>
      </c>
    </row>
    <row r="14" spans="1:19">
      <c r="A14" t="s">
        <v>67</v>
      </c>
      <c r="B14" s="63">
        <v>50.201999999999998</v>
      </c>
      <c r="C14" s="63">
        <v>0.65600000000000003</v>
      </c>
      <c r="D14" s="63">
        <v>18.239000000000001</v>
      </c>
      <c r="E14" s="63">
        <v>5.1999999999999998E-2</v>
      </c>
      <c r="F14" s="63">
        <v>5.4640000000000004</v>
      </c>
      <c r="G14" s="63">
        <v>10.369</v>
      </c>
      <c r="H14" s="63">
        <v>8.3000000000000004E-2</v>
      </c>
      <c r="I14" s="63">
        <v>8.99</v>
      </c>
      <c r="J14" s="63">
        <v>2.2309999999999999</v>
      </c>
      <c r="K14" s="63">
        <v>0.29399999999999998</v>
      </c>
      <c r="L14" s="71">
        <v>49.174876989999994</v>
      </c>
      <c r="M14" s="63">
        <v>3.8867277959999997</v>
      </c>
      <c r="N14" s="71">
        <v>126.924138</v>
      </c>
      <c r="O14" s="71">
        <v>224.12872140000002</v>
      </c>
      <c r="P14" s="71">
        <v>806.57652880000001</v>
      </c>
      <c r="Q14" s="71">
        <v>583.88092619999998</v>
      </c>
      <c r="S14" s="63">
        <f t="shared" si="0"/>
        <v>100.46672779599999</v>
      </c>
    </row>
    <row r="15" spans="1:19">
      <c r="A15" t="s">
        <v>68</v>
      </c>
      <c r="B15" s="63">
        <v>50.540999999999997</v>
      </c>
      <c r="C15" s="63">
        <v>0.65149999999999997</v>
      </c>
      <c r="D15" s="63">
        <v>19.171500000000002</v>
      </c>
      <c r="E15" s="63">
        <v>1.2999999999999999E-2</v>
      </c>
      <c r="F15" s="63">
        <v>4.3395000000000001</v>
      </c>
      <c r="G15" s="63">
        <v>10.491</v>
      </c>
      <c r="H15" s="63">
        <v>0.14299999999999999</v>
      </c>
      <c r="I15" s="63">
        <v>7.9305000000000003</v>
      </c>
      <c r="J15" s="63">
        <v>2.6814999999999998</v>
      </c>
      <c r="K15" s="63">
        <v>0.32100000000000001</v>
      </c>
      <c r="L15" s="71">
        <v>207.84866600000001</v>
      </c>
      <c r="M15" s="63">
        <v>4.128718804</v>
      </c>
      <c r="N15" s="71">
        <v>130.86709110000001</v>
      </c>
      <c r="O15" s="71">
        <v>230.4965124</v>
      </c>
      <c r="P15" s="71">
        <v>921.48039410000001</v>
      </c>
      <c r="Q15" s="71">
        <v>614.14104179999993</v>
      </c>
      <c r="S15" s="63">
        <f t="shared" si="0"/>
        <v>100.41221880400001</v>
      </c>
    </row>
    <row r="16" spans="1:19">
      <c r="A16" t="s">
        <v>69</v>
      </c>
      <c r="B16" s="63">
        <v>51.223500000000001</v>
      </c>
      <c r="C16" s="63">
        <v>0.67900000000000005</v>
      </c>
      <c r="D16" s="63">
        <v>18.981999999999999</v>
      </c>
      <c r="E16" s="63">
        <v>4.7E-2</v>
      </c>
      <c r="F16" s="63">
        <v>3.9089999999999998</v>
      </c>
      <c r="G16" s="63">
        <v>10.713000000000001</v>
      </c>
      <c r="H16" s="63">
        <v>8.5999999999999993E-2</v>
      </c>
      <c r="I16" s="63">
        <v>7.6775000000000002</v>
      </c>
      <c r="J16" s="63">
        <v>2.605</v>
      </c>
      <c r="K16" s="63">
        <v>0.33550000000000002</v>
      </c>
      <c r="L16" s="71">
        <v>103.36992285000001</v>
      </c>
      <c r="M16" s="63">
        <v>4.0663395639999997</v>
      </c>
      <c r="N16" s="71">
        <v>120.03040080000001</v>
      </c>
      <c r="O16" s="71">
        <v>401.00483700000001</v>
      </c>
      <c r="P16" s="71">
        <v>734.58279859999993</v>
      </c>
      <c r="Q16" s="71">
        <v>571.58856039999989</v>
      </c>
      <c r="S16" s="63">
        <f t="shared" si="0"/>
        <v>100.32383956400001</v>
      </c>
    </row>
    <row r="17" spans="1:19">
      <c r="A17" t="s">
        <v>70</v>
      </c>
      <c r="B17" s="63">
        <v>55.920666666666669</v>
      </c>
      <c r="C17" s="63">
        <v>1.0519999999999998</v>
      </c>
      <c r="D17" s="63">
        <v>15.127333333333333</v>
      </c>
      <c r="E17" s="63">
        <v>1.0666666666666666E-2</v>
      </c>
      <c r="F17" s="63">
        <v>4.2833333333333341</v>
      </c>
      <c r="G17" s="63">
        <v>7.1966666666666663</v>
      </c>
      <c r="H17" s="63">
        <v>0.19233333333333333</v>
      </c>
      <c r="I17" s="63">
        <v>9.6340000000000003</v>
      </c>
      <c r="J17" s="63">
        <v>2.9156666666666666</v>
      </c>
      <c r="K17" s="63">
        <v>0.93100000000000005</v>
      </c>
      <c r="L17" s="71">
        <v>49.323454900000002</v>
      </c>
      <c r="M17" s="63">
        <v>2.5922112999999998</v>
      </c>
      <c r="N17" s="71">
        <v>270.80701650000003</v>
      </c>
      <c r="O17" s="71">
        <v>648.90602999999999</v>
      </c>
      <c r="P17" s="71">
        <v>627.84190979999994</v>
      </c>
      <c r="Q17" s="71">
        <v>832.6691229999999</v>
      </c>
      <c r="S17" s="63">
        <f t="shared" si="0"/>
        <v>99.855877966666668</v>
      </c>
    </row>
    <row r="18" spans="1:19">
      <c r="A18" t="s">
        <v>71</v>
      </c>
      <c r="B18" s="63">
        <v>49.926666666666669</v>
      </c>
      <c r="C18" s="63">
        <v>0.6303333333333333</v>
      </c>
      <c r="D18" s="63">
        <v>18.469333333333335</v>
      </c>
      <c r="E18" s="63">
        <v>1.4333333333333332E-2</v>
      </c>
      <c r="F18" s="63">
        <v>6.0913333333333339</v>
      </c>
      <c r="G18" s="63">
        <v>10.348000000000001</v>
      </c>
      <c r="H18" s="63">
        <v>0.19000000000000003</v>
      </c>
      <c r="I18" s="63">
        <v>8.3209999999999997</v>
      </c>
      <c r="J18" s="63">
        <v>1.821</v>
      </c>
      <c r="K18" s="63">
        <v>0.33466666666666667</v>
      </c>
      <c r="L18" s="71">
        <v>224.00175160000001</v>
      </c>
      <c r="M18" s="63">
        <v>4.1890758839999993</v>
      </c>
      <c r="N18" s="71">
        <v>128.9929941</v>
      </c>
      <c r="O18" s="71">
        <v>264.016638</v>
      </c>
      <c r="P18" s="71">
        <v>979.64758429999995</v>
      </c>
      <c r="Q18" s="71">
        <v>655.48105479999992</v>
      </c>
      <c r="S18" s="63">
        <f t="shared" si="0"/>
        <v>100.33574255066668</v>
      </c>
    </row>
    <row r="19" spans="1:19">
      <c r="A19" t="s">
        <v>72</v>
      </c>
      <c r="B19" s="63">
        <v>50.144999999999996</v>
      </c>
      <c r="C19" s="63">
        <v>0.61899999999999999</v>
      </c>
      <c r="D19" s="63">
        <v>17.531500000000001</v>
      </c>
      <c r="E19" s="63">
        <v>1.0500000000000001E-2</v>
      </c>
      <c r="F19" s="63">
        <v>5.3064999999999998</v>
      </c>
      <c r="G19" s="63">
        <v>10.298500000000001</v>
      </c>
      <c r="H19" s="63">
        <v>0.19450000000000001</v>
      </c>
      <c r="I19" s="63">
        <v>8.4619999999999997</v>
      </c>
      <c r="J19" s="63">
        <v>2.1440000000000001</v>
      </c>
      <c r="K19" s="63">
        <v>0.27300000000000002</v>
      </c>
      <c r="L19" s="71">
        <v>200.84485169999999</v>
      </c>
      <c r="M19" s="63">
        <v>3.9737114479999995</v>
      </c>
      <c r="N19" s="71">
        <v>123.26781150000002</v>
      </c>
      <c r="O19" s="71">
        <v>305.38191899999998</v>
      </c>
      <c r="P19" s="71">
        <v>891.99795649999987</v>
      </c>
      <c r="Q19" s="71">
        <v>632.77951880000001</v>
      </c>
      <c r="S19" s="63">
        <f t="shared" si="0"/>
        <v>98.958211448000014</v>
      </c>
    </row>
    <row r="20" spans="1:19">
      <c r="A20" t="s">
        <v>73</v>
      </c>
      <c r="B20" s="63">
        <v>55.982333333333337</v>
      </c>
      <c r="C20" s="63">
        <v>0.79766666666666675</v>
      </c>
      <c r="D20" s="63">
        <v>16.923333333333332</v>
      </c>
      <c r="E20" s="63">
        <v>5.3333333333333332E-3</v>
      </c>
      <c r="F20" s="63">
        <v>4.1713333333333331</v>
      </c>
      <c r="G20" s="63">
        <v>8.5796666666666681</v>
      </c>
      <c r="H20" s="63">
        <v>0.11566666666666665</v>
      </c>
      <c r="I20" s="63">
        <v>6.835</v>
      </c>
      <c r="J20" s="63">
        <v>3.0423333333333331</v>
      </c>
      <c r="K20" s="63">
        <v>0.53900000000000003</v>
      </c>
      <c r="L20" s="71">
        <v>63.060194489999994</v>
      </c>
      <c r="M20" s="63">
        <v>3.3262465880000001</v>
      </c>
      <c r="N20" s="71">
        <v>125.61227010000002</v>
      </c>
      <c r="O20" s="71">
        <v>538.51868999999999</v>
      </c>
      <c r="P20" s="71">
        <v>424.37905579999995</v>
      </c>
      <c r="Q20" s="71">
        <v>487.83150129999996</v>
      </c>
      <c r="S20" s="63">
        <f t="shared" si="0"/>
        <v>100.31791325466668</v>
      </c>
    </row>
    <row r="21" spans="1:19">
      <c r="A21" t="s">
        <v>74</v>
      </c>
      <c r="B21" s="63">
        <v>51.233000000000004</v>
      </c>
      <c r="C21" s="63">
        <v>0.69700000000000006</v>
      </c>
      <c r="D21" s="63">
        <v>19.502666666666666</v>
      </c>
      <c r="E21" s="63">
        <v>1.2333333333333333E-2</v>
      </c>
      <c r="F21" s="63">
        <v>3.6833333333333336</v>
      </c>
      <c r="G21" s="63">
        <v>10.485666666666667</v>
      </c>
      <c r="H21" s="63">
        <v>6.933333333333333E-2</v>
      </c>
      <c r="I21" s="63">
        <v>7.0626666666666678</v>
      </c>
      <c r="J21" s="63">
        <v>2.924666666666667</v>
      </c>
      <c r="K21" s="63">
        <v>0.38533333333333336</v>
      </c>
      <c r="L21" s="71">
        <v>197.57573665999999</v>
      </c>
      <c r="M21" s="63">
        <v>3.9149237399999999</v>
      </c>
      <c r="N21" s="71">
        <v>122.0919075</v>
      </c>
      <c r="O21" s="71">
        <v>235.55985150000001</v>
      </c>
      <c r="P21" s="71">
        <v>891.88096269999994</v>
      </c>
      <c r="Q21" s="71">
        <v>585.35781589999999</v>
      </c>
      <c r="S21" s="63">
        <f t="shared" si="0"/>
        <v>99.970923740000018</v>
      </c>
    </row>
    <row r="22" spans="1:19">
      <c r="A22" t="s">
        <v>75</v>
      </c>
      <c r="B22" s="63">
        <v>49.849666666666671</v>
      </c>
      <c r="C22" s="63">
        <v>0.65666666666666673</v>
      </c>
      <c r="D22" s="63">
        <v>18.134666666666668</v>
      </c>
      <c r="E22" s="63">
        <v>2.4333333333333332E-2</v>
      </c>
      <c r="F22" s="63">
        <v>5.5583333333333327</v>
      </c>
      <c r="G22" s="63">
        <v>10.601333333333335</v>
      </c>
      <c r="H22" s="63">
        <v>0.20099999999999998</v>
      </c>
      <c r="I22" s="63">
        <v>8.67</v>
      </c>
      <c r="J22" s="63">
        <v>2.3186666666666667</v>
      </c>
      <c r="K22" s="63">
        <v>0.28766666666666668</v>
      </c>
      <c r="L22" s="71">
        <v>114.01860793</v>
      </c>
      <c r="M22" s="63">
        <v>3.8971067519999996</v>
      </c>
      <c r="N22" s="71">
        <v>128.74311450000002</v>
      </c>
      <c r="O22" s="71">
        <v>231.24764430000002</v>
      </c>
      <c r="P22" s="71">
        <v>853.91115669999999</v>
      </c>
      <c r="Q22" s="71">
        <v>579.78562069999998</v>
      </c>
      <c r="S22" s="63">
        <f t="shared" si="0"/>
        <v>100.19944008533334</v>
      </c>
    </row>
    <row r="23" spans="1:19">
      <c r="A23" t="s">
        <v>76</v>
      </c>
      <c r="B23" s="63">
        <v>51.037500000000001</v>
      </c>
      <c r="C23" s="63">
        <v>0.75700000000000001</v>
      </c>
      <c r="D23" s="63">
        <v>18.287500000000001</v>
      </c>
      <c r="E23" s="63">
        <v>0.05</v>
      </c>
      <c r="F23" s="63">
        <v>4.7225000000000001</v>
      </c>
      <c r="G23" s="63">
        <v>9.8769999999999989</v>
      </c>
      <c r="H23" s="63">
        <v>0.1245</v>
      </c>
      <c r="I23" s="63">
        <v>8.11</v>
      </c>
      <c r="J23" s="63">
        <v>2.5030000000000001</v>
      </c>
      <c r="K23" s="63">
        <v>0.47050000000000003</v>
      </c>
      <c r="L23" s="71">
        <v>184.12251821000001</v>
      </c>
      <c r="M23" s="63">
        <v>3.7908422440000002</v>
      </c>
      <c r="N23" s="71">
        <v>124.7597397</v>
      </c>
      <c r="O23" s="71">
        <v>373.64270190000002</v>
      </c>
      <c r="P23" s="71">
        <v>864.5203671999999</v>
      </c>
      <c r="Q23" s="71">
        <v>638.74512129999994</v>
      </c>
      <c r="S23" s="63">
        <f t="shared" si="0"/>
        <v>99.730342243999985</v>
      </c>
    </row>
    <row r="24" spans="1:19">
      <c r="A24" t="s">
        <v>77</v>
      </c>
      <c r="B24" s="63">
        <v>49.373999999999995</v>
      </c>
      <c r="C24" s="63">
        <v>0.64399999999999991</v>
      </c>
      <c r="D24" s="63">
        <v>19.1785</v>
      </c>
      <c r="E24" s="63">
        <v>3.6999999999999998E-2</v>
      </c>
      <c r="F24" s="63">
        <v>4.6389999999999993</v>
      </c>
      <c r="G24" s="63">
        <v>10.865500000000001</v>
      </c>
      <c r="H24" s="63">
        <v>0.11000000000000001</v>
      </c>
      <c r="I24" s="63">
        <v>7.9960000000000004</v>
      </c>
      <c r="J24" s="63">
        <v>2.5145</v>
      </c>
      <c r="K24" s="63">
        <v>0.307</v>
      </c>
      <c r="L24" s="71">
        <v>186.56252440000003</v>
      </c>
      <c r="M24" s="63">
        <v>4.1157550000000001</v>
      </c>
      <c r="N24" s="71">
        <v>126.2737161</v>
      </c>
      <c r="O24" s="71">
        <v>214.32896309999998</v>
      </c>
      <c r="P24" s="71">
        <v>945.06528059999994</v>
      </c>
      <c r="Q24" s="71">
        <v>582.06222359999992</v>
      </c>
      <c r="S24" s="63">
        <f t="shared" si="0"/>
        <v>99.781254999999987</v>
      </c>
    </row>
    <row r="25" spans="1:19">
      <c r="A25" t="s">
        <v>78</v>
      </c>
      <c r="B25" s="63">
        <v>50.176000000000002</v>
      </c>
      <c r="C25" s="63">
        <v>0.70750000000000002</v>
      </c>
      <c r="D25" s="63">
        <v>18.861499999999999</v>
      </c>
      <c r="E25" s="63">
        <v>5.5E-2</v>
      </c>
      <c r="F25" s="63">
        <v>4.9239999999999995</v>
      </c>
      <c r="G25" s="63">
        <v>11.149000000000001</v>
      </c>
      <c r="H25" s="63">
        <v>0.13</v>
      </c>
      <c r="I25" s="63">
        <v>8.629999999999999</v>
      </c>
      <c r="J25" s="63">
        <v>2.3765000000000001</v>
      </c>
      <c r="K25" s="63">
        <v>0.33150000000000002</v>
      </c>
      <c r="L25" s="71">
        <v>60.527352170000007</v>
      </c>
      <c r="M25" s="63">
        <v>2.989855876</v>
      </c>
      <c r="N25" s="71">
        <v>119.1962439</v>
      </c>
      <c r="O25" s="71">
        <v>261.83747940000001</v>
      </c>
      <c r="P25" s="71">
        <v>736.15157909999994</v>
      </c>
      <c r="Q25" s="71">
        <v>585.24817780000001</v>
      </c>
      <c r="S25" s="63">
        <f t="shared" si="0"/>
        <v>100.33085587600002</v>
      </c>
    </row>
    <row r="26" spans="1:19">
      <c r="A26" t="s">
        <v>77</v>
      </c>
      <c r="B26" s="63">
        <v>49.373999999999995</v>
      </c>
      <c r="C26" s="63">
        <v>0.64399999999999991</v>
      </c>
      <c r="D26" s="63">
        <v>19.1785</v>
      </c>
      <c r="E26" s="63">
        <v>3.6999999999999998E-2</v>
      </c>
      <c r="F26" s="63">
        <v>4.6389999999999993</v>
      </c>
      <c r="G26" s="63">
        <v>10.865500000000001</v>
      </c>
      <c r="H26" s="63">
        <v>0.11000000000000001</v>
      </c>
      <c r="I26" s="63">
        <v>7.9960000000000004</v>
      </c>
      <c r="J26" s="63">
        <v>2.5145</v>
      </c>
      <c r="K26" s="63">
        <v>0.307</v>
      </c>
      <c r="L26" s="71">
        <v>186.56252440000003</v>
      </c>
      <c r="M26" s="63">
        <v>4.1157550000000001</v>
      </c>
      <c r="N26" s="71">
        <v>126.2737161</v>
      </c>
      <c r="O26" s="71">
        <v>214.32896309999998</v>
      </c>
      <c r="P26" s="71">
        <v>945.06528059999994</v>
      </c>
      <c r="Q26" s="71">
        <v>582.06222359999992</v>
      </c>
      <c r="S26" s="63">
        <f t="shared" si="0"/>
        <v>99.781254999999987</v>
      </c>
    </row>
    <row r="28" spans="1:19">
      <c r="A28" s="96"/>
    </row>
    <row r="29" spans="1:19">
      <c r="A29" s="96"/>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Arcs</vt:lpstr>
      <vt:lpstr>Table of Contents</vt:lpstr>
      <vt:lpstr>Table S1</vt:lpstr>
      <vt:lpstr>Table S2</vt:lpstr>
      <vt:lpstr>Table S3</vt:lpstr>
      <vt:lpstr>Table S4</vt:lpstr>
      <vt:lpstr>Table S5</vt:lpstr>
      <vt:lpstr>Table S6</vt:lpstr>
      <vt:lpstr>Arcs!Print_Area</vt:lpstr>
      <vt:lpstr>'Table S5'!Print_Area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MooreLR</dc:creator>
  <cp:lastModifiedBy>Penny Wieser</cp:lastModifiedBy>
  <dcterms:created xsi:type="dcterms:W3CDTF">2013-12-12T14:55:23Z</dcterms:created>
  <dcterms:modified xsi:type="dcterms:W3CDTF">2022-08-12T17:26:04Z</dcterms:modified>
</cp:coreProperties>
</file>