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D3D6386-453E-4A7A-845E-A89A778128C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L75" i="1" s="1"/>
  <c r="E75" i="1"/>
  <c r="K75" i="1" s="1"/>
  <c r="D75" i="1"/>
  <c r="J75" i="1" s="1"/>
  <c r="H75" i="1"/>
  <c r="G75" i="1"/>
  <c r="I72" i="1"/>
  <c r="H72" i="1"/>
  <c r="G72" i="1"/>
  <c r="L71" i="1"/>
  <c r="F71" i="1"/>
  <c r="F72" i="1" s="1"/>
  <c r="L72" i="1" s="1"/>
  <c r="E71" i="1"/>
  <c r="K71" i="1" s="1"/>
  <c r="D71" i="1"/>
  <c r="J71" i="1" s="1"/>
  <c r="T50" i="1"/>
  <c r="S50" i="1"/>
  <c r="P50" i="1"/>
  <c r="O50" i="1"/>
  <c r="F50" i="1"/>
  <c r="E50" i="1"/>
  <c r="R43" i="1" l="1"/>
  <c r="Q43" i="1"/>
  <c r="P43" i="1"/>
  <c r="O43" i="1"/>
  <c r="F43" i="1"/>
  <c r="E43" i="1"/>
  <c r="E35" i="1"/>
  <c r="F35" i="1"/>
  <c r="O35" i="1"/>
  <c r="P35" i="1"/>
  <c r="Q35" i="1"/>
  <c r="R35" i="1"/>
  <c r="R42" i="1"/>
  <c r="Q42" i="1"/>
  <c r="P42" i="1"/>
  <c r="O42" i="1"/>
  <c r="F42" i="1"/>
  <c r="E42" i="1"/>
  <c r="P34" i="1"/>
  <c r="Q34" i="1"/>
  <c r="R34" i="1"/>
  <c r="O34" i="1"/>
  <c r="S34" i="1" s="1"/>
  <c r="F34" i="1"/>
  <c r="E34" i="1"/>
  <c r="S43" i="1" l="1"/>
  <c r="T34" i="1"/>
  <c r="S42" i="1"/>
  <c r="T35" i="1"/>
  <c r="T43" i="1"/>
  <c r="S35" i="1"/>
  <c r="T42" i="1"/>
  <c r="P13" i="1" l="1"/>
  <c r="O13" i="1"/>
  <c r="N13" i="1"/>
  <c r="H26" i="1"/>
  <c r="I26" i="1" s="1"/>
  <c r="H27" i="1"/>
  <c r="I27" i="1" s="1"/>
  <c r="N17" i="1"/>
  <c r="P19" i="1"/>
  <c r="N16" i="1"/>
  <c r="N15" i="1"/>
  <c r="O15" i="1"/>
  <c r="P15" i="1"/>
  <c r="O16" i="1"/>
  <c r="P16" i="1"/>
  <c r="O17" i="1"/>
  <c r="P17" i="1"/>
  <c r="N18" i="1"/>
  <c r="O18" i="1"/>
  <c r="P18" i="1"/>
  <c r="N19" i="1"/>
  <c r="O19" i="1"/>
  <c r="O14" i="1"/>
  <c r="P14" i="1"/>
  <c r="N14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<sst xmlns="http://schemas.openxmlformats.org/spreadsheetml/2006/main" count="304" uniqueCount="110">
  <si>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</si>
  <si>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</si>
  <si>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</si>
  <si>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</si>
  <si>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</si>
  <si>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</si>
  <si>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</si>
  <si>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</si>
  <si>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</si>
  <si>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</si>
  <si>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</si>
  <si>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</si>
  <si>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</si>
  <si>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</si>
  <si>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</si>
  <si>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</si>
  <si>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</si>
  <si>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</si>
  <si>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</si>
  <si>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</si>
  <si>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</si>
  <si>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</si>
  <si>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</si>
  <si>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</si>
  <si>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</si>
  <si>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</si>
  <si>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</si>
  <si>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</si>
  <si>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</si>
  <si>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</si>
  <si>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</si>
  <si>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</si>
  <si>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</si>
  <si>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</si>
  <si>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</si>
  <si>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</si>
  <si>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</si>
  <si>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</si>
  <si>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</si>
  <si>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</si>
  <si>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</si>
  <si>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</si>
  <si>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</si>
  <si>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</si>
  <si>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</si>
  <si>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Planimétrie et altimétrie</t>
  </si>
  <si>
    <t>Altimétrie</t>
  </si>
  <si>
    <t>Forel sur Lucens</t>
  </si>
  <si>
    <t>[degré °]</t>
  </si>
  <si>
    <t>ETRS89 phi</t>
  </si>
  <si>
    <t>ETRS89 lambda</t>
  </si>
  <si>
    <t>[rad]</t>
  </si>
  <si>
    <t>MN95 E</t>
  </si>
  <si>
    <t>MN95 N</t>
  </si>
  <si>
    <t>CH1903+ phi</t>
  </si>
  <si>
    <t>CH1903+ lambda</t>
  </si>
  <si>
    <t>Dévia. Doit ETRS89</t>
  </si>
  <si>
    <t>Dévia. Avoir ETRS89</t>
  </si>
  <si>
    <t>[eta en sec d'arc]</t>
  </si>
  <si>
    <t>[ksi en sec d'arc]</t>
  </si>
  <si>
    <t>[eta en cc]</t>
  </si>
  <si>
    <t>[ksi en cc]</t>
  </si>
  <si>
    <t xml:space="preserve">∆ </t>
  </si>
  <si>
    <t>Dévia. Doit Ch1903+</t>
  </si>
  <si>
    <t>Dévia. Avoir CH1903+</t>
  </si>
  <si>
    <t>Dévia. Doit CH1903+</t>
  </si>
  <si>
    <t>Grandson</t>
  </si>
  <si>
    <t>Différence accéptable</t>
  </si>
  <si>
    <t>Aucune différence pour une précision au mm</t>
  </si>
  <si>
    <t>Différence en dessous du mm --&gt; acceptable</t>
  </si>
  <si>
    <t>Déviation de la verticale / Vecteur Français</t>
  </si>
  <si>
    <t>Déviation de la verticale / Vecteur Suisse</t>
  </si>
  <si>
    <t>Valeur de zéta en sortie du calcul</t>
  </si>
  <si>
    <t>[zéta en sec d'arc]</t>
  </si>
  <si>
    <t>Erreurs  plus qu'acceptable au vu des précision de mesures angulaires des instruments sur le marché. Zéta ok.</t>
  </si>
  <si>
    <t>E MN03</t>
  </si>
  <si>
    <t>m</t>
  </si>
  <si>
    <t>N MN03</t>
  </si>
  <si>
    <t>E MN95</t>
  </si>
  <si>
    <t>N MN95</t>
  </si>
  <si>
    <t>lamb ETRS89</t>
  </si>
  <si>
    <t>deg</t>
  </si>
  <si>
    <t>phi ETRS89</t>
  </si>
  <si>
    <t>Alt NF02</t>
  </si>
  <si>
    <t>Cote ETRS89</t>
  </si>
  <si>
    <t>Cote CH1903</t>
  </si>
  <si>
    <t>Htrans</t>
  </si>
  <si>
    <t>cm</t>
  </si>
  <si>
    <t>Transfo de MN03 --&gt; ETRS89</t>
  </si>
  <si>
    <t>Transformations</t>
  </si>
  <si>
    <t>E/lambda doit</t>
  </si>
  <si>
    <t>N/phi doit</t>
  </si>
  <si>
    <t>Alt doit</t>
  </si>
  <si>
    <t>E/lambda avoir</t>
  </si>
  <si>
    <t>N/phi avoir</t>
  </si>
  <si>
    <t>Alt avoir</t>
  </si>
  <si>
    <t>Déviation de la verticale / Vecteur Suisse / aller retour</t>
  </si>
  <si>
    <t>Dévia. Avoir aller ETRS89</t>
  </si>
  <si>
    <t>Dévia. Avoir retour CH1903+</t>
  </si>
  <si>
    <t>Diff egale à précédente =&gt; transfo OK</t>
  </si>
  <si>
    <t>Contrôle cote du geoide / Points pris dans map.geo.admin.ch</t>
  </si>
  <si>
    <t>[m / degré]</t>
  </si>
  <si>
    <t>[mm / sec]</t>
  </si>
  <si>
    <t>MN03 / NF02</t>
  </si>
  <si>
    <t>MN95 / RAN95</t>
  </si>
  <si>
    <t xml:space="preserve">Ellipsoidale CH1903+ </t>
  </si>
  <si>
    <t>Carthésienne CH1903+</t>
  </si>
  <si>
    <t>Ellipsoidale ETRS89</t>
  </si>
  <si>
    <t>Diff ok vu la précision des valeurs de cote prise</t>
  </si>
  <si>
    <t>Diff due à la précision des coordonnées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</si>
</sst>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"/>
    <numFmt numFmtId="167" formatCode="0.0000000000"/>
    <numFmt numFmtId="168" formatCode="#,##0.000"/>
    <numFmt numFmtId="170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7" fontId="0" fillId="0" borderId="0" xfId="0" applyNumberFormat="1"/>
    <xf numFmtId="165" fontId="0" fillId="0" borderId="0" xfId="0" applyNumberFormat="1"/>
    <xf numFmtId="167" fontId="0" fillId="0" borderId="0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5" fontId="0" fillId="0" borderId="7" xfId="0" applyNumberFormat="1" applyBorder="1"/>
    <xf numFmtId="165" fontId="0" fillId="0" borderId="3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7" xfId="0" applyNumberFormat="1" applyBorder="1"/>
    <xf numFmtId="166" fontId="0" fillId="0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9" xfId="0" applyBorder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Border="1"/>
    <xf numFmtId="2" fontId="0" fillId="0" borderId="10" xfId="0" applyNumberFormat="1" applyBorder="1"/>
    <xf numFmtId="0" fontId="0" fillId="0" borderId="11" xfId="0" applyBorder="1" applyAlignment="1">
      <alignment horizontal="center" wrapText="1"/>
    </xf>
    <xf numFmtId="170" fontId="0" fillId="0" borderId="0" xfId="0" applyNumberFormat="1"/>
    <xf numFmtId="170" fontId="0" fillId="0" borderId="2" xfId="0" applyNumberFormat="1" applyBorder="1"/>
    <xf numFmtId="168" fontId="0" fillId="0" borderId="2" xfId="0" applyNumberFormat="1" applyBorder="1"/>
    <xf numFmtId="165" fontId="0" fillId="0" borderId="2" xfId="0" applyNumberFormat="1" applyBorder="1"/>
    <xf numFmtId="168" fontId="0" fillId="0" borderId="0" xfId="0" applyNumberFormat="1" applyBorder="1"/>
    <xf numFmtId="164" fontId="0" fillId="0" borderId="0" xfId="0" applyNumberFormat="1" applyBorder="1"/>
    <xf numFmtId="168" fontId="0" fillId="0" borderId="7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0" xfId="0" applyNumberFormat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75"/>
  <sheetViews>
    <sheetView tabSelected="1" zoomScaleNormal="100" workbookViewId="0">
      <selection activeCell="D80" sqref="D80"/>
    </sheetView>
  </sheetViews>
  <sheetFormatPr baseColWidth="10" defaultColWidth="8.88671875" defaultRowHeight="14.4" x14ac:dyDescent="0.3"/>
  <cols>
    <col min="1" max="1" width="3.88671875" customWidth="1"/>
    <col min="2" max="2" width="20.33203125" customWidth="1"/>
    <col min="3" max="3" width="26.77734375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5.44140625" bestFit="1" customWidth="1"/>
    <col min="11" max="11" width="17.21875" bestFit="1" customWidth="1"/>
    <col min="12" max="12" width="17.109375" bestFit="1" customWidth="1"/>
    <col min="13" max="13" width="12.5546875" bestFit="1" customWidth="1"/>
    <col min="14" max="14" width="15" bestFit="1" customWidth="1"/>
    <col min="15" max="16" width="15.109375" bestFit="1" customWidth="1"/>
    <col min="17" max="17" width="43.88671875" bestFit="1" customWidth="1"/>
    <col min="18" max="18" width="10.77734375" bestFit="1" customWidth="1"/>
    <col min="21" max="21" width="29.5546875" bestFit="1" customWidth="1"/>
    <col min="22" max="22" width="69.109375" customWidth="1"/>
  </cols>
  <sheetData>
    <row r="2" spans="2:17" ht="21" x14ac:dyDescent="0.4">
      <c r="B2" s="21" t="s">
        <v>45</v>
      </c>
    </row>
    <row r="4" spans="2:17" ht="18" x14ac:dyDescent="0.35">
      <c r="B4" s="89" t="s">
        <v>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2:17" ht="15.6" x14ac:dyDescent="0.3">
      <c r="B5" s="1"/>
      <c r="C5" s="88" t="s">
        <v>3</v>
      </c>
      <c r="D5" s="88"/>
      <c r="E5" s="92" t="s">
        <v>1</v>
      </c>
      <c r="F5" s="92"/>
      <c r="G5" s="92"/>
      <c r="H5" s="92" t="s">
        <v>28</v>
      </c>
      <c r="I5" s="92"/>
      <c r="J5" s="92"/>
      <c r="K5" s="92" t="s">
        <v>29</v>
      </c>
      <c r="L5" s="92"/>
      <c r="M5" s="92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31</v>
      </c>
      <c r="F6" s="5" t="s">
        <v>30</v>
      </c>
      <c r="G6" s="5" t="s">
        <v>7</v>
      </c>
      <c r="H6" s="5" t="s">
        <v>31</v>
      </c>
      <c r="I6" s="5" t="s">
        <v>30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32</v>
      </c>
      <c r="O6" s="6" t="s">
        <v>33</v>
      </c>
      <c r="P6" s="6" t="s">
        <v>6</v>
      </c>
      <c r="Q6" s="7" t="s">
        <v>14</v>
      </c>
    </row>
    <row r="7" spans="2:17" x14ac:dyDescent="0.3">
      <c r="B7" s="8" t="s">
        <v>18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s="22" t="s">
        <v>11</v>
      </c>
      <c r="C8" s="23" t="s">
        <v>19</v>
      </c>
      <c r="D8" s="23" t="s">
        <v>16</v>
      </c>
      <c r="E8" s="24" t="s">
        <v>13</v>
      </c>
      <c r="F8" s="24" t="s">
        <v>13</v>
      </c>
      <c r="G8" s="24" t="s">
        <v>13</v>
      </c>
      <c r="H8" s="24" t="s">
        <v>13</v>
      </c>
      <c r="I8" s="24" t="s">
        <v>13</v>
      </c>
      <c r="J8" s="25">
        <v>1103.7216253351894</v>
      </c>
      <c r="K8" s="24" t="s">
        <v>13</v>
      </c>
      <c r="L8" s="24" t="s">
        <v>13</v>
      </c>
      <c r="M8" s="25">
        <v>1103.6898000000001</v>
      </c>
      <c r="N8" s="26" t="s">
        <v>13</v>
      </c>
      <c r="O8" s="26" t="s">
        <v>13</v>
      </c>
      <c r="P8" s="26">
        <f>(J8-M8)*1000</f>
        <v>31.825335189296311</v>
      </c>
      <c r="Q8" s="50" t="s">
        <v>15</v>
      </c>
    </row>
    <row r="9" spans="2:17" x14ac:dyDescent="0.3">
      <c r="B9" s="27" t="s">
        <v>11</v>
      </c>
      <c r="C9" s="19" t="s">
        <v>19</v>
      </c>
      <c r="D9" s="19" t="s">
        <v>17</v>
      </c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9">
        <v>1103.7233253351894</v>
      </c>
      <c r="K9" s="28" t="s">
        <v>13</v>
      </c>
      <c r="L9" s="28" t="s">
        <v>13</v>
      </c>
      <c r="M9" s="28">
        <v>1103.6916000000001</v>
      </c>
      <c r="N9" s="30" t="s">
        <v>13</v>
      </c>
      <c r="O9" s="30" t="s">
        <v>13</v>
      </c>
      <c r="P9" s="30">
        <f t="shared" ref="N9:P11" si="0">(J9-M9)*1000</f>
        <v>31.725335189321413</v>
      </c>
      <c r="Q9" s="51" t="s">
        <v>15</v>
      </c>
    </row>
    <row r="10" spans="2:17" x14ac:dyDescent="0.3">
      <c r="B10" s="27" t="s">
        <v>12</v>
      </c>
      <c r="C10" s="19" t="s">
        <v>19</v>
      </c>
      <c r="D10" s="19" t="s">
        <v>23</v>
      </c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9">
        <v>1084.886</v>
      </c>
      <c r="K10" s="28" t="s">
        <v>13</v>
      </c>
      <c r="L10" s="28" t="s">
        <v>13</v>
      </c>
      <c r="M10" s="28">
        <v>1084.9670000000001</v>
      </c>
      <c r="N10" s="28" t="s">
        <v>13</v>
      </c>
      <c r="O10" s="28" t="s">
        <v>13</v>
      </c>
      <c r="P10" s="30">
        <f t="shared" si="0"/>
        <v>-81.000000000130967</v>
      </c>
      <c r="Q10" s="51"/>
    </row>
    <row r="11" spans="2:17" x14ac:dyDescent="0.3">
      <c r="B11" s="27" t="s">
        <v>25</v>
      </c>
      <c r="C11" s="19" t="s">
        <v>24</v>
      </c>
      <c r="D11" s="19" t="s">
        <v>26</v>
      </c>
      <c r="E11" s="28" t="s">
        <v>13</v>
      </c>
      <c r="F11" s="28" t="s">
        <v>13</v>
      </c>
      <c r="G11" s="28" t="s">
        <v>13</v>
      </c>
      <c r="H11" s="29">
        <v>954039.62899999996</v>
      </c>
      <c r="I11" s="29">
        <v>6650340.5020000003</v>
      </c>
      <c r="J11" s="29">
        <v>833.47</v>
      </c>
      <c r="K11" s="29">
        <v>954039.62899999996</v>
      </c>
      <c r="L11" s="29">
        <v>6650340.5020000003</v>
      </c>
      <c r="M11" s="28">
        <v>833.46699999999998</v>
      </c>
      <c r="N11" s="31">
        <f t="shared" si="0"/>
        <v>0</v>
      </c>
      <c r="O11" s="31">
        <f t="shared" ref="O11" si="1">(I11-L11)*1000</f>
        <v>0</v>
      </c>
      <c r="P11" s="31">
        <f t="shared" ref="P11" si="2">(J11-M11)*1000</f>
        <v>3.0000000000427463</v>
      </c>
      <c r="Q11" s="51" t="s">
        <v>67</v>
      </c>
    </row>
    <row r="12" spans="2:17" x14ac:dyDescent="0.3">
      <c r="B12" s="27"/>
      <c r="C12" s="19"/>
      <c r="D12" s="19"/>
      <c r="E12" s="19"/>
      <c r="F12" s="19"/>
      <c r="G12" s="19"/>
      <c r="H12" s="29"/>
      <c r="I12" s="29"/>
      <c r="J12" s="29"/>
      <c r="K12" s="29"/>
      <c r="L12" s="29"/>
      <c r="M12" s="28"/>
      <c r="N12" s="29"/>
      <c r="O12" s="29"/>
      <c r="P12" s="29"/>
      <c r="Q12" s="51"/>
    </row>
    <row r="13" spans="2:17" x14ac:dyDescent="0.3">
      <c r="B13" s="27" t="s">
        <v>27</v>
      </c>
      <c r="C13" s="19" t="s">
        <v>20</v>
      </c>
      <c r="D13" s="19" t="s">
        <v>44</v>
      </c>
      <c r="E13" s="29">
        <v>4344778.5750000002</v>
      </c>
      <c r="F13" s="29">
        <v>495114.821</v>
      </c>
      <c r="G13" s="29">
        <v>4629118.6960000005</v>
      </c>
      <c r="H13" s="29">
        <v>2528465.1660000002</v>
      </c>
      <c r="I13" s="29">
        <v>1186121.148</v>
      </c>
      <c r="J13" s="29">
        <v>1105.0139999999999</v>
      </c>
      <c r="K13" s="29">
        <v>2528465.1660000002</v>
      </c>
      <c r="L13" s="29">
        <v>1186121.148</v>
      </c>
      <c r="M13" s="29">
        <v>1105.0139999999999</v>
      </c>
      <c r="N13" s="31">
        <f>(H13-K13)*1000</f>
        <v>0</v>
      </c>
      <c r="O13" s="31">
        <f t="shared" ref="O13" si="3">(I13-L13)*1000</f>
        <v>0</v>
      </c>
      <c r="P13" s="31">
        <f t="shared" ref="P13" si="4">(J13-M13)*1000</f>
        <v>0</v>
      </c>
      <c r="Q13" s="51" t="s">
        <v>68</v>
      </c>
    </row>
    <row r="14" spans="2:17" x14ac:dyDescent="0.3">
      <c r="B14" s="27" t="s">
        <v>27</v>
      </c>
      <c r="C14" s="19" t="s">
        <v>20</v>
      </c>
      <c r="D14" s="19" t="s">
        <v>22</v>
      </c>
      <c r="E14" s="29">
        <v>4344778.5750000002</v>
      </c>
      <c r="F14" s="29">
        <v>495114.821</v>
      </c>
      <c r="G14" s="29">
        <v>4629118.6960000005</v>
      </c>
      <c r="H14" s="29">
        <v>2528465.1660000002</v>
      </c>
      <c r="I14" s="29">
        <v>1186121.148</v>
      </c>
      <c r="J14" s="29">
        <v>1104.7429999999999</v>
      </c>
      <c r="K14" s="29">
        <v>2528465.1660000002</v>
      </c>
      <c r="L14" s="29">
        <v>1186121.148</v>
      </c>
      <c r="M14" s="29">
        <v>1104.7429999999999</v>
      </c>
      <c r="N14" s="31">
        <f>(H14-K14)*1000</f>
        <v>0</v>
      </c>
      <c r="O14" s="31">
        <f t="shared" ref="O14" si="5">(I14-L14)*1000</f>
        <v>0</v>
      </c>
      <c r="P14" s="31">
        <f t="shared" ref="P14" si="6">(J14-M14)*1000</f>
        <v>0</v>
      </c>
      <c r="Q14" s="51" t="s">
        <v>68</v>
      </c>
    </row>
    <row r="15" spans="2:17" x14ac:dyDescent="0.3">
      <c r="B15" s="27" t="s">
        <v>27</v>
      </c>
      <c r="C15" s="19" t="s">
        <v>20</v>
      </c>
      <c r="D15" s="19" t="s">
        <v>21</v>
      </c>
      <c r="E15" s="29">
        <v>4344778.5750000002</v>
      </c>
      <c r="F15" s="29">
        <v>495114.821</v>
      </c>
      <c r="G15" s="29">
        <v>4629118.6960000005</v>
      </c>
      <c r="H15" s="33">
        <v>0.8172047685103957</v>
      </c>
      <c r="I15" s="33">
        <v>0.11346681199682103</v>
      </c>
      <c r="J15" s="29">
        <v>1155.443</v>
      </c>
      <c r="K15" s="33">
        <v>0.81720479999999995</v>
      </c>
      <c r="L15" s="33">
        <v>0.11346680000000001</v>
      </c>
      <c r="M15" s="29">
        <v>1155.443</v>
      </c>
      <c r="N15" s="31">
        <f>(H15-K15)*1000</f>
        <v>-3.1489604257473047E-5</v>
      </c>
      <c r="O15" s="31">
        <f t="shared" ref="O15" si="7">(I15-L15)*1000</f>
        <v>1.1996821022708382E-5</v>
      </c>
      <c r="P15" s="31">
        <f t="shared" ref="P15" si="8">(J15-M15)*1000</f>
        <v>0</v>
      </c>
      <c r="Q15" s="51" t="s">
        <v>68</v>
      </c>
    </row>
    <row r="16" spans="2:17" x14ac:dyDescent="0.3">
      <c r="B16" s="27" t="s">
        <v>27</v>
      </c>
      <c r="C16" s="19" t="s">
        <v>21</v>
      </c>
      <c r="D16" s="19" t="s">
        <v>22</v>
      </c>
      <c r="E16" s="33">
        <v>0.8172047685103957</v>
      </c>
      <c r="F16" s="33">
        <v>0.11346681199682103</v>
      </c>
      <c r="G16" s="29">
        <v>1155.443</v>
      </c>
      <c r="H16" s="29">
        <v>2528465.1660000002</v>
      </c>
      <c r="I16" s="29">
        <v>1186121.148</v>
      </c>
      <c r="J16" s="29">
        <v>1104.7429999999999</v>
      </c>
      <c r="K16" s="29">
        <v>2528465.1660000002</v>
      </c>
      <c r="L16" s="29">
        <v>1186121.148</v>
      </c>
      <c r="M16" s="28">
        <v>1104.7429999999999</v>
      </c>
      <c r="N16" s="31">
        <f>(H16-K16)*1000</f>
        <v>0</v>
      </c>
      <c r="O16" s="31">
        <f t="shared" ref="O16:O19" si="9">(I16-L16)*1000</f>
        <v>0</v>
      </c>
      <c r="P16" s="31">
        <f t="shared" ref="P16:P18" si="10">(J16-M16)*1000</f>
        <v>0</v>
      </c>
      <c r="Q16" s="51" t="s">
        <v>68</v>
      </c>
    </row>
    <row r="17" spans="2:22" x14ac:dyDescent="0.3">
      <c r="B17" s="27" t="s">
        <v>27</v>
      </c>
      <c r="C17" s="19" t="s">
        <v>21</v>
      </c>
      <c r="D17" s="19" t="s">
        <v>20</v>
      </c>
      <c r="E17" s="33">
        <v>0.8172047685103957</v>
      </c>
      <c r="F17" s="33">
        <v>0.11346681199682103</v>
      </c>
      <c r="G17" s="29">
        <v>1155.443</v>
      </c>
      <c r="H17" s="29">
        <v>4344778.5750000002</v>
      </c>
      <c r="I17" s="29">
        <v>495114.821</v>
      </c>
      <c r="J17" s="29">
        <v>4629118.6960000005</v>
      </c>
      <c r="K17" s="59">
        <v>4344778.5750000002</v>
      </c>
      <c r="L17" s="32">
        <v>495114.821</v>
      </c>
      <c r="M17" s="32">
        <v>4629118.6960000005</v>
      </c>
      <c r="N17" s="31">
        <f>(H17-K17)*1000</f>
        <v>0</v>
      </c>
      <c r="O17" s="31">
        <f t="shared" si="9"/>
        <v>0</v>
      </c>
      <c r="P17" s="31">
        <f t="shared" si="10"/>
        <v>0</v>
      </c>
      <c r="Q17" s="51" t="s">
        <v>68</v>
      </c>
    </row>
    <row r="18" spans="2:22" x14ac:dyDescent="0.3">
      <c r="B18" s="27" t="s">
        <v>27</v>
      </c>
      <c r="C18" s="19" t="s">
        <v>22</v>
      </c>
      <c r="D18" s="19" t="s">
        <v>20</v>
      </c>
      <c r="E18" s="29">
        <v>2528465.1660000002</v>
      </c>
      <c r="F18" s="29">
        <v>1186121.148</v>
      </c>
      <c r="G18" s="29">
        <v>1104.7429999999999</v>
      </c>
      <c r="H18" s="29">
        <v>4344778.5750000002</v>
      </c>
      <c r="I18" s="29">
        <v>495114.821</v>
      </c>
      <c r="J18" s="29">
        <v>4629118.6960000005</v>
      </c>
      <c r="K18" s="59">
        <v>4344778.5750000002</v>
      </c>
      <c r="L18" s="32">
        <v>495114.821</v>
      </c>
      <c r="M18" s="32">
        <v>4629118.6960000005</v>
      </c>
      <c r="N18" s="31">
        <f t="shared" ref="N18:N19" si="11">(H18-K18)*1000</f>
        <v>0</v>
      </c>
      <c r="O18" s="31">
        <f t="shared" si="9"/>
        <v>0</v>
      </c>
      <c r="P18" s="31">
        <f t="shared" si="10"/>
        <v>0</v>
      </c>
      <c r="Q18" s="51" t="s">
        <v>68</v>
      </c>
    </row>
    <row r="19" spans="2:22" x14ac:dyDescent="0.3">
      <c r="B19" s="34" t="s">
        <v>27</v>
      </c>
      <c r="C19" s="20" t="s">
        <v>22</v>
      </c>
      <c r="D19" s="20" t="s">
        <v>21</v>
      </c>
      <c r="E19" s="35">
        <v>2528465.1660000002</v>
      </c>
      <c r="F19" s="35">
        <v>1186121.148</v>
      </c>
      <c r="G19" s="35">
        <v>1104.7429999999999</v>
      </c>
      <c r="H19" s="36">
        <v>0.8172047685103957</v>
      </c>
      <c r="I19" s="36">
        <v>0.11346681199682103</v>
      </c>
      <c r="J19" s="55">
        <v>1155.443</v>
      </c>
      <c r="K19" s="60">
        <v>0.81720476850176005</v>
      </c>
      <c r="L19" s="58">
        <v>0.11346681198953</v>
      </c>
      <c r="M19" s="37">
        <v>1155.443</v>
      </c>
      <c r="N19" s="38">
        <f t="shared" si="11"/>
        <v>8.6356477524418551E-9</v>
      </c>
      <c r="O19" s="38">
        <f t="shared" si="9"/>
        <v>7.2910288917427124E-9</v>
      </c>
      <c r="P19" s="38">
        <f>(J19-M19)*1000</f>
        <v>0</v>
      </c>
      <c r="Q19" s="52" t="s">
        <v>68</v>
      </c>
    </row>
    <row r="20" spans="2:22" x14ac:dyDescent="0.3">
      <c r="E20" s="11"/>
      <c r="F20" s="11"/>
      <c r="G20" s="11"/>
      <c r="H20" s="13"/>
      <c r="I20" s="13"/>
      <c r="J20" s="11"/>
      <c r="K20" s="15"/>
      <c r="L20" s="14"/>
      <c r="M20" s="14"/>
      <c r="N20" s="11"/>
      <c r="O20" s="11"/>
      <c r="P20" s="11"/>
      <c r="Q20" s="12"/>
    </row>
    <row r="21" spans="2:22" x14ac:dyDescent="0.3">
      <c r="E21" s="11"/>
      <c r="F21" s="11"/>
      <c r="G21" s="11"/>
      <c r="H21" s="13"/>
      <c r="I21" s="13"/>
      <c r="J21" s="11"/>
      <c r="K21" s="15"/>
      <c r="L21" s="14"/>
      <c r="M21" s="14"/>
      <c r="N21" s="11"/>
      <c r="O21" s="11"/>
      <c r="P21" s="11"/>
      <c r="Q21" s="12"/>
    </row>
    <row r="22" spans="2:22" ht="21" x14ac:dyDescent="0.4">
      <c r="B22" s="21" t="s">
        <v>46</v>
      </c>
      <c r="E22" s="11"/>
      <c r="F22" s="11"/>
      <c r="G22" s="11"/>
      <c r="H22" s="13"/>
      <c r="I22" s="13"/>
      <c r="J22" s="11"/>
      <c r="K22" s="15"/>
      <c r="L22" s="14"/>
      <c r="M22" s="14"/>
      <c r="N22" s="11"/>
      <c r="O22" s="11"/>
      <c r="P22" s="11"/>
      <c r="Q22" s="12"/>
    </row>
    <row r="23" spans="2:22" x14ac:dyDescent="0.3">
      <c r="E23" s="11"/>
      <c r="F23" s="11"/>
      <c r="G23" s="11"/>
      <c r="H23" s="13"/>
      <c r="I23" s="13"/>
      <c r="J23" s="11"/>
      <c r="K23" s="15"/>
      <c r="L23" s="14"/>
      <c r="M23" s="14"/>
      <c r="N23" s="11"/>
      <c r="O23" s="11"/>
      <c r="P23" s="11"/>
      <c r="Q23" s="12"/>
    </row>
    <row r="24" spans="2:22" x14ac:dyDescent="0.3">
      <c r="B24" s="17" t="s">
        <v>8</v>
      </c>
      <c r="C24" s="18" t="s">
        <v>36</v>
      </c>
      <c r="D24" s="18" t="s">
        <v>37</v>
      </c>
      <c r="E24" s="18" t="s">
        <v>38</v>
      </c>
      <c r="F24" s="18" t="s">
        <v>39</v>
      </c>
      <c r="G24" s="18" t="s">
        <v>40</v>
      </c>
      <c r="H24" s="18" t="s">
        <v>40</v>
      </c>
      <c r="I24" s="18" t="s">
        <v>43</v>
      </c>
      <c r="J24" s="82" t="s">
        <v>14</v>
      </c>
      <c r="K24" s="82"/>
      <c r="L24" s="83"/>
      <c r="M24" s="14"/>
      <c r="N24" s="11"/>
      <c r="O24" s="11"/>
      <c r="P24" s="11"/>
      <c r="Q24" s="12"/>
    </row>
    <row r="25" spans="2:22" x14ac:dyDescent="0.3">
      <c r="B25" s="8" t="s">
        <v>18</v>
      </c>
      <c r="C25" s="9" t="s">
        <v>9</v>
      </c>
      <c r="D25" s="9" t="s">
        <v>9</v>
      </c>
      <c r="E25" s="9"/>
      <c r="F25" s="9"/>
      <c r="G25" s="9" t="s">
        <v>41</v>
      </c>
      <c r="H25" s="9" t="s">
        <v>42</v>
      </c>
      <c r="I25" s="9" t="s">
        <v>10</v>
      </c>
      <c r="J25" s="84"/>
      <c r="K25" s="84"/>
      <c r="L25" s="85"/>
      <c r="M25" s="14"/>
      <c r="N25" s="11"/>
      <c r="O25" s="11"/>
      <c r="P25" s="11"/>
      <c r="Q25" s="12"/>
    </row>
    <row r="26" spans="2:22" x14ac:dyDescent="0.3">
      <c r="B26" s="27" t="s">
        <v>34</v>
      </c>
      <c r="C26" s="19">
        <v>537244.00009999995</v>
      </c>
      <c r="D26" s="43">
        <v>181153.0001</v>
      </c>
      <c r="E26" s="29">
        <v>438.5</v>
      </c>
      <c r="F26" s="29">
        <v>438.46300000000002</v>
      </c>
      <c r="G26" s="29">
        <v>-3.633</v>
      </c>
      <c r="H26" s="29">
        <f>(F26-E26)*100</f>
        <v>-3.6999999999977717</v>
      </c>
      <c r="I26" s="47">
        <f>(G26-H26)*10</f>
        <v>0.66999999997771731</v>
      </c>
      <c r="J26" s="93" t="s">
        <v>69</v>
      </c>
      <c r="K26" s="93"/>
      <c r="L26" s="94"/>
      <c r="M26" s="14"/>
      <c r="N26" s="11"/>
      <c r="O26" s="11"/>
      <c r="P26" s="11"/>
      <c r="Q26" s="12"/>
    </row>
    <row r="27" spans="2:22" x14ac:dyDescent="0.3">
      <c r="B27" s="34" t="s">
        <v>35</v>
      </c>
      <c r="C27" s="20">
        <v>545198.00009999995</v>
      </c>
      <c r="D27" s="20">
        <v>189019.0001</v>
      </c>
      <c r="E27" s="35">
        <v>440.5</v>
      </c>
      <c r="F27" s="35">
        <v>440.46</v>
      </c>
      <c r="G27" s="35">
        <v>-4.0279999999999996</v>
      </c>
      <c r="H27" s="35">
        <f>(F27-E27)*100</f>
        <v>-4.0000000000020464</v>
      </c>
      <c r="I27" s="49">
        <f>(G27-H27)*10</f>
        <v>-0.27999999997953218</v>
      </c>
      <c r="J27" s="95" t="s">
        <v>69</v>
      </c>
      <c r="K27" s="95"/>
      <c r="L27" s="96"/>
      <c r="M27" s="14"/>
      <c r="N27" s="11"/>
      <c r="O27" s="11"/>
      <c r="P27" s="11"/>
      <c r="Q27" s="12"/>
    </row>
    <row r="28" spans="2:22" x14ac:dyDescent="0.3">
      <c r="E28" s="11"/>
      <c r="F28" s="11"/>
      <c r="G28" s="11"/>
      <c r="H28" s="11"/>
      <c r="I28" s="16"/>
      <c r="J28" s="11"/>
      <c r="K28" s="15"/>
      <c r="L28" s="14"/>
      <c r="M28" s="14"/>
      <c r="N28" s="11"/>
      <c r="O28" s="11"/>
      <c r="P28" s="11"/>
      <c r="Q28" s="12"/>
    </row>
    <row r="29" spans="2:22" x14ac:dyDescent="0.3">
      <c r="E29" s="11"/>
      <c r="F29" s="11"/>
      <c r="G29" s="11"/>
      <c r="H29" s="11"/>
      <c r="I29" s="16"/>
      <c r="J29" s="11"/>
      <c r="K29" s="15"/>
      <c r="L29" s="14"/>
      <c r="M29" s="14"/>
      <c r="N29" s="11"/>
      <c r="O29" s="11"/>
      <c r="P29" s="11"/>
      <c r="Q29" s="12"/>
    </row>
    <row r="30" spans="2:22" ht="21" x14ac:dyDescent="0.4">
      <c r="B30" s="21" t="s">
        <v>70</v>
      </c>
      <c r="E30" s="11"/>
      <c r="F30" s="11"/>
      <c r="G30" s="11"/>
      <c r="H30" s="11"/>
      <c r="I30" s="16"/>
      <c r="J30" s="11"/>
      <c r="K30" s="15"/>
      <c r="L30" s="14"/>
      <c r="M30" s="14"/>
      <c r="N30" s="11"/>
      <c r="O30" s="11"/>
      <c r="P30" s="11"/>
      <c r="Q30" s="12"/>
    </row>
    <row r="31" spans="2:22" x14ac:dyDescent="0.3">
      <c r="E31" s="11"/>
      <c r="F31" s="11"/>
      <c r="G31" s="11"/>
      <c r="H31" s="11"/>
      <c r="I31" s="16"/>
      <c r="J31" s="11"/>
      <c r="L31" s="14"/>
      <c r="M31" s="14"/>
      <c r="N31" s="11"/>
      <c r="O31" s="11"/>
      <c r="P31" s="11"/>
      <c r="Q31" s="12"/>
    </row>
    <row r="32" spans="2:22" x14ac:dyDescent="0.3">
      <c r="B32" s="17" t="s">
        <v>8</v>
      </c>
      <c r="C32" s="41" t="s">
        <v>49</v>
      </c>
      <c r="D32" s="41" t="s">
        <v>50</v>
      </c>
      <c r="E32" s="41" t="s">
        <v>49</v>
      </c>
      <c r="F32" s="41" t="s">
        <v>50</v>
      </c>
      <c r="G32" s="41" t="s">
        <v>52</v>
      </c>
      <c r="H32" s="41" t="s">
        <v>53</v>
      </c>
      <c r="I32" s="41" t="s">
        <v>54</v>
      </c>
      <c r="J32" s="41" t="s">
        <v>55</v>
      </c>
      <c r="K32" s="82" t="s">
        <v>56</v>
      </c>
      <c r="L32" s="82"/>
      <c r="M32" s="82" t="s">
        <v>57</v>
      </c>
      <c r="N32" s="82"/>
      <c r="O32" s="82" t="s">
        <v>56</v>
      </c>
      <c r="P32" s="82"/>
      <c r="Q32" s="82" t="s">
        <v>57</v>
      </c>
      <c r="R32" s="82"/>
      <c r="S32" s="41" t="s">
        <v>62</v>
      </c>
      <c r="T32" s="41" t="s">
        <v>62</v>
      </c>
      <c r="U32" s="53" t="s">
        <v>72</v>
      </c>
      <c r="V32" s="39" t="s">
        <v>14</v>
      </c>
    </row>
    <row r="33" spans="2:22" x14ac:dyDescent="0.3">
      <c r="B33" s="8" t="s">
        <v>18</v>
      </c>
      <c r="C33" s="42" t="s">
        <v>48</v>
      </c>
      <c r="D33" s="42" t="s">
        <v>48</v>
      </c>
      <c r="E33" s="42" t="s">
        <v>51</v>
      </c>
      <c r="F33" s="42" t="s">
        <v>51</v>
      </c>
      <c r="G33" s="42" t="s">
        <v>9</v>
      </c>
      <c r="H33" s="42" t="s">
        <v>9</v>
      </c>
      <c r="I33" s="42" t="s">
        <v>51</v>
      </c>
      <c r="J33" s="42" t="s">
        <v>51</v>
      </c>
      <c r="K33" s="42" t="s">
        <v>58</v>
      </c>
      <c r="L33" s="42" t="s">
        <v>59</v>
      </c>
      <c r="M33" s="42" t="s">
        <v>58</v>
      </c>
      <c r="N33" s="42" t="s">
        <v>59</v>
      </c>
      <c r="O33" s="42" t="s">
        <v>60</v>
      </c>
      <c r="P33" s="42" t="s">
        <v>61</v>
      </c>
      <c r="Q33" s="42" t="s">
        <v>60</v>
      </c>
      <c r="R33" s="42" t="s">
        <v>61</v>
      </c>
      <c r="S33" s="42" t="s">
        <v>60</v>
      </c>
      <c r="T33" s="42" t="s">
        <v>61</v>
      </c>
      <c r="U33" s="54" t="s">
        <v>73</v>
      </c>
      <c r="V33" s="40"/>
    </row>
    <row r="34" spans="2:22" x14ac:dyDescent="0.3">
      <c r="B34" s="27" t="s">
        <v>47</v>
      </c>
      <c r="C34" s="19">
        <v>46.731409999999997</v>
      </c>
      <c r="D34" s="19">
        <v>6.8336399999999999</v>
      </c>
      <c r="E34" s="46">
        <f>C34*PI()/180</f>
        <v>0.81561696859940325</v>
      </c>
      <c r="F34" s="46">
        <f>D34*PI()/180</f>
        <v>0.11926951789598531</v>
      </c>
      <c r="G34" s="19">
        <v>2553756.4</v>
      </c>
      <c r="H34" s="19">
        <v>1175757.8999999999</v>
      </c>
      <c r="I34" s="19">
        <v>0.81563963354371005</v>
      </c>
      <c r="J34" s="19">
        <v>0.11928450164388001</v>
      </c>
      <c r="K34" s="19">
        <v>1.54</v>
      </c>
      <c r="L34" s="19">
        <v>3.37</v>
      </c>
      <c r="M34" s="19">
        <v>1.4582999999999999</v>
      </c>
      <c r="N34" s="19">
        <v>3.6549999999999998</v>
      </c>
      <c r="O34" s="47">
        <f>K34*200/180</f>
        <v>1.711111111111111</v>
      </c>
      <c r="P34" s="47">
        <f t="shared" ref="P34:R34" si="12">L34*200/180</f>
        <v>3.7444444444444445</v>
      </c>
      <c r="Q34" s="47">
        <f t="shared" si="12"/>
        <v>1.6203333333333332</v>
      </c>
      <c r="R34" s="47">
        <f t="shared" si="12"/>
        <v>4.0611111111111109</v>
      </c>
      <c r="S34" s="56">
        <f>O34-Q34</f>
        <v>9.0777777777777846E-2</v>
      </c>
      <c r="T34" s="56">
        <f>P34-R34</f>
        <v>-0.31666666666666643</v>
      </c>
      <c r="U34" s="56">
        <v>1</v>
      </c>
      <c r="V34" s="86" t="s">
        <v>74</v>
      </c>
    </row>
    <row r="35" spans="2:22" x14ac:dyDescent="0.3">
      <c r="B35" s="34" t="s">
        <v>66</v>
      </c>
      <c r="C35" s="20">
        <v>46.802590000000002</v>
      </c>
      <c r="D35" s="20">
        <v>6.6044400000000003</v>
      </c>
      <c r="E35" s="48">
        <f>C35*PI()/180</f>
        <v>0.81685929396097279</v>
      </c>
      <c r="F35" s="48">
        <f>D35*PI()/180</f>
        <v>0.1152692232504143</v>
      </c>
      <c r="G35" s="49">
        <v>2536322</v>
      </c>
      <c r="H35" s="20">
        <v>1183831.2</v>
      </c>
      <c r="I35" s="20">
        <v>0.81563963354371005</v>
      </c>
      <c r="J35" s="20">
        <v>0.11928450164388001</v>
      </c>
      <c r="K35" s="20">
        <v>7.92</v>
      </c>
      <c r="L35" s="20">
        <v>-6.64</v>
      </c>
      <c r="M35" s="20">
        <v>7.7958999999999996</v>
      </c>
      <c r="N35" s="20">
        <v>-6.875</v>
      </c>
      <c r="O35" s="49">
        <f>K35*200/180</f>
        <v>8.8000000000000007</v>
      </c>
      <c r="P35" s="49">
        <f t="shared" ref="P35" si="13">L35*200/180</f>
        <v>-7.3777777777777782</v>
      </c>
      <c r="Q35" s="49">
        <f t="shared" ref="Q35" si="14">M35*200/180</f>
        <v>8.6621111111111109</v>
      </c>
      <c r="R35" s="49">
        <f t="shared" ref="R35" si="15">N35*200/180</f>
        <v>-7.6388888888888893</v>
      </c>
      <c r="S35" s="57">
        <f>O35-Q35</f>
        <v>0.13788888888888984</v>
      </c>
      <c r="T35" s="57">
        <f>P35-R35</f>
        <v>0.26111111111111107</v>
      </c>
      <c r="U35" s="57">
        <v>1</v>
      </c>
      <c r="V35" s="87"/>
    </row>
    <row r="36" spans="2:22" x14ac:dyDescent="0.3">
      <c r="E36" s="44"/>
      <c r="F36" s="44"/>
      <c r="O36" s="45"/>
      <c r="P36" s="45"/>
      <c r="Q36" s="45"/>
      <c r="R36" s="45"/>
      <c r="S36" s="45"/>
      <c r="T36" s="45"/>
      <c r="U36" s="45"/>
    </row>
    <row r="38" spans="2:22" ht="21" x14ac:dyDescent="0.4">
      <c r="B38" s="21" t="s">
        <v>71</v>
      </c>
    </row>
    <row r="40" spans="2:22" x14ac:dyDescent="0.3">
      <c r="B40" s="17" t="s">
        <v>8</v>
      </c>
      <c r="C40" s="41" t="s">
        <v>49</v>
      </c>
      <c r="D40" s="41" t="s">
        <v>50</v>
      </c>
      <c r="E40" s="41" t="s">
        <v>49</v>
      </c>
      <c r="F40" s="41" t="s">
        <v>50</v>
      </c>
      <c r="G40" s="41" t="s">
        <v>52</v>
      </c>
      <c r="H40" s="41" t="s">
        <v>53</v>
      </c>
      <c r="I40" s="41" t="s">
        <v>54</v>
      </c>
      <c r="J40" s="41" t="s">
        <v>55</v>
      </c>
      <c r="K40" s="82" t="s">
        <v>63</v>
      </c>
      <c r="L40" s="82"/>
      <c r="M40" s="82" t="s">
        <v>64</v>
      </c>
      <c r="N40" s="82"/>
      <c r="O40" s="82" t="s">
        <v>65</v>
      </c>
      <c r="P40" s="82"/>
      <c r="Q40" s="82" t="s">
        <v>64</v>
      </c>
      <c r="R40" s="82"/>
      <c r="S40" s="41" t="s">
        <v>62</v>
      </c>
      <c r="T40" s="41" t="s">
        <v>62</v>
      </c>
      <c r="U40" s="53" t="s">
        <v>72</v>
      </c>
      <c r="V40" s="39" t="s">
        <v>14</v>
      </c>
    </row>
    <row r="41" spans="2:22" x14ac:dyDescent="0.3">
      <c r="B41" s="8" t="s">
        <v>18</v>
      </c>
      <c r="C41" s="42" t="s">
        <v>48</v>
      </c>
      <c r="D41" s="42" t="s">
        <v>48</v>
      </c>
      <c r="E41" s="42" t="s">
        <v>51</v>
      </c>
      <c r="F41" s="42" t="s">
        <v>51</v>
      </c>
      <c r="G41" s="42" t="s">
        <v>9</v>
      </c>
      <c r="H41" s="42" t="s">
        <v>9</v>
      </c>
      <c r="I41" s="42" t="s">
        <v>51</v>
      </c>
      <c r="J41" s="42" t="s">
        <v>51</v>
      </c>
      <c r="K41" s="42" t="s">
        <v>58</v>
      </c>
      <c r="L41" s="42" t="s">
        <v>59</v>
      </c>
      <c r="M41" s="42" t="s">
        <v>58</v>
      </c>
      <c r="N41" s="42" t="s">
        <v>59</v>
      </c>
      <c r="O41" s="42" t="s">
        <v>60</v>
      </c>
      <c r="P41" s="42" t="s">
        <v>61</v>
      </c>
      <c r="Q41" s="42" t="s">
        <v>60</v>
      </c>
      <c r="R41" s="42" t="s">
        <v>61</v>
      </c>
      <c r="S41" s="42" t="s">
        <v>60</v>
      </c>
      <c r="T41" s="42" t="s">
        <v>61</v>
      </c>
      <c r="U41" s="54" t="s">
        <v>73</v>
      </c>
      <c r="V41" s="40"/>
    </row>
    <row r="42" spans="2:22" ht="14.4" customHeight="1" x14ac:dyDescent="0.3">
      <c r="B42" s="27" t="s">
        <v>47</v>
      </c>
      <c r="C42" s="19">
        <v>46.731409999999997</v>
      </c>
      <c r="D42" s="19">
        <v>6.8336399999999999</v>
      </c>
      <c r="E42" s="46">
        <f>C42*PI()/180</f>
        <v>0.81561696859940325</v>
      </c>
      <c r="F42" s="46">
        <f>D42*PI()/180</f>
        <v>0.11926951789598531</v>
      </c>
      <c r="G42" s="19">
        <v>2553756.4</v>
      </c>
      <c r="H42" s="19">
        <v>1175757.8999999999</v>
      </c>
      <c r="I42" s="19">
        <v>0.81563963354371005</v>
      </c>
      <c r="J42" s="19">
        <v>0.11928450164388001</v>
      </c>
      <c r="K42" s="19">
        <v>-0.66</v>
      </c>
      <c r="L42" s="19">
        <v>-1.02</v>
      </c>
      <c r="M42" s="19">
        <v>-0.57833000000000001</v>
      </c>
      <c r="N42" s="19">
        <v>-1.3049999999999999</v>
      </c>
      <c r="O42" s="47">
        <f>K42*200/180</f>
        <v>-0.73333333333333328</v>
      </c>
      <c r="P42" s="47">
        <f t="shared" ref="P42:P43" si="16">L42*200/180</f>
        <v>-1.1333333333333333</v>
      </c>
      <c r="Q42" s="47">
        <f t="shared" ref="Q42:Q43" si="17">M42*200/180</f>
        <v>-0.64258888888888888</v>
      </c>
      <c r="R42" s="47">
        <f t="shared" ref="R42:R43" si="18">N42*200/180</f>
        <v>-1.45</v>
      </c>
      <c r="S42" s="56">
        <f>O42-Q42</f>
        <v>-9.0744444444444405E-2</v>
      </c>
      <c r="T42" s="56">
        <f>P42-R42</f>
        <v>0.31666666666666665</v>
      </c>
      <c r="U42" s="56">
        <v>1</v>
      </c>
      <c r="V42" s="86" t="s">
        <v>74</v>
      </c>
    </row>
    <row r="43" spans="2:22" x14ac:dyDescent="0.3">
      <c r="B43" s="34" t="s">
        <v>66</v>
      </c>
      <c r="C43" s="20">
        <v>46.802590000000002</v>
      </c>
      <c r="D43" s="20">
        <v>6.6044400000000003</v>
      </c>
      <c r="E43" s="48">
        <f>C43*PI()/180</f>
        <v>0.81685929396097279</v>
      </c>
      <c r="F43" s="48">
        <f>D43*PI()/180</f>
        <v>0.1152692232504143</v>
      </c>
      <c r="G43" s="49">
        <v>2536322</v>
      </c>
      <c r="H43" s="20">
        <v>1183831.2</v>
      </c>
      <c r="I43" s="20">
        <v>0.81563963354371005</v>
      </c>
      <c r="J43" s="20">
        <v>0.11928450164388001</v>
      </c>
      <c r="K43" s="20">
        <v>5.75</v>
      </c>
      <c r="L43" s="20">
        <v>-11.56</v>
      </c>
      <c r="M43" s="20">
        <v>5.8739999999999997</v>
      </c>
      <c r="N43" s="20">
        <v>-11.324999999999999</v>
      </c>
      <c r="O43" s="49">
        <f>K43*200/180</f>
        <v>6.3888888888888893</v>
      </c>
      <c r="P43" s="49">
        <f t="shared" si="16"/>
        <v>-12.844444444444445</v>
      </c>
      <c r="Q43" s="49">
        <f t="shared" si="17"/>
        <v>6.5266666666666664</v>
      </c>
      <c r="R43" s="49">
        <f t="shared" si="18"/>
        <v>-12.583333333333334</v>
      </c>
      <c r="S43" s="57">
        <f>O43-Q43</f>
        <v>-0.13777777777777711</v>
      </c>
      <c r="T43" s="57">
        <f>P43-R43</f>
        <v>-0.26111111111111107</v>
      </c>
      <c r="U43" s="57">
        <v>1</v>
      </c>
      <c r="V43" s="87"/>
    </row>
    <row r="46" spans="2:22" ht="21" x14ac:dyDescent="0.4">
      <c r="B46" s="21" t="s">
        <v>96</v>
      </c>
    </row>
    <row r="48" spans="2:22" x14ac:dyDescent="0.3">
      <c r="B48" s="17" t="s">
        <v>8</v>
      </c>
      <c r="C48" s="61" t="s">
        <v>49</v>
      </c>
      <c r="D48" s="61" t="s">
        <v>50</v>
      </c>
      <c r="E48" s="61" t="s">
        <v>49</v>
      </c>
      <c r="F48" s="61" t="s">
        <v>50</v>
      </c>
      <c r="G48" s="61" t="s">
        <v>52</v>
      </c>
      <c r="H48" s="61" t="s">
        <v>53</v>
      </c>
      <c r="I48" s="61" t="s">
        <v>54</v>
      </c>
      <c r="J48" s="61" t="s">
        <v>55</v>
      </c>
      <c r="K48" s="82" t="s">
        <v>65</v>
      </c>
      <c r="L48" s="82"/>
      <c r="M48" s="82" t="s">
        <v>97</v>
      </c>
      <c r="N48" s="82"/>
      <c r="O48" s="82" t="s">
        <v>97</v>
      </c>
      <c r="P48" s="82"/>
      <c r="Q48" s="82" t="s">
        <v>98</v>
      </c>
      <c r="R48" s="82"/>
      <c r="S48" s="61" t="s">
        <v>62</v>
      </c>
      <c r="T48" s="61" t="s">
        <v>62</v>
      </c>
      <c r="U48" s="61"/>
      <c r="V48" s="62" t="s">
        <v>14</v>
      </c>
    </row>
    <row r="49" spans="2:22" x14ac:dyDescent="0.3">
      <c r="B49" s="8" t="s">
        <v>18</v>
      </c>
      <c r="C49" s="63" t="s">
        <v>48</v>
      </c>
      <c r="D49" s="63" t="s">
        <v>48</v>
      </c>
      <c r="E49" s="63" t="s">
        <v>51</v>
      </c>
      <c r="F49" s="63" t="s">
        <v>51</v>
      </c>
      <c r="G49" s="63" t="s">
        <v>9</v>
      </c>
      <c r="H49" s="63" t="s">
        <v>9</v>
      </c>
      <c r="I49" s="63" t="s">
        <v>51</v>
      </c>
      <c r="J49" s="63" t="s">
        <v>51</v>
      </c>
      <c r="K49" s="63" t="s">
        <v>58</v>
      </c>
      <c r="L49" s="63" t="s">
        <v>59</v>
      </c>
      <c r="M49" s="63" t="s">
        <v>58</v>
      </c>
      <c r="N49" s="63" t="s">
        <v>59</v>
      </c>
      <c r="O49" s="63" t="s">
        <v>60</v>
      </c>
      <c r="P49" s="63" t="s">
        <v>61</v>
      </c>
      <c r="Q49" s="63" t="s">
        <v>58</v>
      </c>
      <c r="R49" s="63" t="s">
        <v>59</v>
      </c>
      <c r="S49" s="63" t="s">
        <v>58</v>
      </c>
      <c r="T49" s="63" t="s">
        <v>59</v>
      </c>
      <c r="U49" s="63"/>
      <c r="V49" s="64"/>
    </row>
    <row r="50" spans="2:22" x14ac:dyDescent="0.3">
      <c r="B50" s="68" t="s">
        <v>47</v>
      </c>
      <c r="C50" s="69">
        <v>46.731409999999997</v>
      </c>
      <c r="D50" s="69">
        <v>6.8336399999999999</v>
      </c>
      <c r="E50" s="70">
        <f>C50*PI()/180</f>
        <v>0.81561696859940325</v>
      </c>
      <c r="F50" s="70">
        <f>D50*PI()/180</f>
        <v>0.11926951789598531</v>
      </c>
      <c r="G50" s="69">
        <v>2553756.4</v>
      </c>
      <c r="H50" s="69">
        <v>1175757.8999999999</v>
      </c>
      <c r="I50" s="69">
        <v>0.81563963354371005</v>
      </c>
      <c r="J50" s="69">
        <v>0.11928450164388001</v>
      </c>
      <c r="K50" s="69">
        <v>-0.66</v>
      </c>
      <c r="L50" s="69">
        <v>-1.02</v>
      </c>
      <c r="M50" s="69">
        <v>1.4582999999999999</v>
      </c>
      <c r="N50" s="69">
        <v>3.6549999999999998</v>
      </c>
      <c r="O50" s="71">
        <f>K50*200/180</f>
        <v>-0.73333333333333328</v>
      </c>
      <c r="P50" s="71">
        <f t="shared" ref="P50" si="19">L50*200/180</f>
        <v>-1.1333333333333333</v>
      </c>
      <c r="Q50" s="72">
        <v>-0.66</v>
      </c>
      <c r="R50" s="72">
        <v>-1.02</v>
      </c>
      <c r="S50" s="72">
        <f>K50-Q50</f>
        <v>0</v>
      </c>
      <c r="T50" s="72">
        <f>L50-R50</f>
        <v>0</v>
      </c>
      <c r="U50" s="72"/>
      <c r="V50" s="73"/>
    </row>
    <row r="54" spans="2:22" ht="21" x14ac:dyDescent="0.4">
      <c r="B54" s="21" t="s">
        <v>100</v>
      </c>
    </row>
    <row r="56" spans="2:22" x14ac:dyDescent="0.3">
      <c r="B56" t="s">
        <v>75</v>
      </c>
      <c r="C56" s="67">
        <v>521005.15</v>
      </c>
      <c r="D56" t="s">
        <v>76</v>
      </c>
    </row>
    <row r="57" spans="2:22" x14ac:dyDescent="0.3">
      <c r="B57" t="s">
        <v>77</v>
      </c>
      <c r="C57" s="67">
        <v>176033.61</v>
      </c>
      <c r="D57" t="s">
        <v>76</v>
      </c>
    </row>
    <row r="58" spans="2:22" x14ac:dyDescent="0.3">
      <c r="B58" t="s">
        <v>78</v>
      </c>
      <c r="C58" s="74">
        <v>2521004.7999999998</v>
      </c>
      <c r="D58" t="s">
        <v>76</v>
      </c>
    </row>
    <row r="59" spans="2:22" x14ac:dyDescent="0.3">
      <c r="B59" t="s">
        <v>79</v>
      </c>
      <c r="C59" s="74">
        <v>1176034.3</v>
      </c>
      <c r="D59" t="s">
        <v>76</v>
      </c>
    </row>
    <row r="60" spans="2:22" x14ac:dyDescent="0.3">
      <c r="B60" t="s">
        <v>80</v>
      </c>
      <c r="C60">
        <v>6.4051600000000004</v>
      </c>
      <c r="D60" t="s">
        <v>81</v>
      </c>
    </row>
    <row r="61" spans="2:22" x14ac:dyDescent="0.3">
      <c r="B61" t="s">
        <v>82</v>
      </c>
      <c r="C61">
        <v>46.730809999999998</v>
      </c>
      <c r="D61" t="s">
        <v>81</v>
      </c>
    </row>
    <row r="62" spans="2:22" x14ac:dyDescent="0.3">
      <c r="B62" t="s">
        <v>83</v>
      </c>
      <c r="C62" s="67">
        <v>910.2</v>
      </c>
      <c r="D62" t="s">
        <v>76</v>
      </c>
    </row>
    <row r="63" spans="2:22" x14ac:dyDescent="0.3">
      <c r="B63" t="s">
        <v>84</v>
      </c>
      <c r="C63">
        <v>50.5</v>
      </c>
      <c r="D63" t="s">
        <v>76</v>
      </c>
    </row>
    <row r="64" spans="2:22" ht="14.4" customHeight="1" x14ac:dyDescent="0.3">
      <c r="B64" t="s">
        <v>85</v>
      </c>
      <c r="C64">
        <v>-0.5</v>
      </c>
      <c r="D64" t="s">
        <v>76</v>
      </c>
    </row>
    <row r="65" spans="2:15" ht="14.4" customHeight="1" x14ac:dyDescent="0.3">
      <c r="B65" t="s">
        <v>86</v>
      </c>
      <c r="C65">
        <v>-0.81200000000000006</v>
      </c>
      <c r="D65" t="s">
        <v>87</v>
      </c>
    </row>
    <row r="67" spans="2:15" x14ac:dyDescent="0.3">
      <c r="B67" t="s">
        <v>88</v>
      </c>
    </row>
    <row r="69" spans="2:15" x14ac:dyDescent="0.3">
      <c r="B69" s="81" t="s">
        <v>89</v>
      </c>
      <c r="C69" s="82"/>
      <c r="D69" s="65" t="s">
        <v>90</v>
      </c>
      <c r="E69" s="65" t="s">
        <v>91</v>
      </c>
      <c r="F69" s="65" t="s">
        <v>92</v>
      </c>
      <c r="G69" s="65" t="s">
        <v>93</v>
      </c>
      <c r="H69" s="65" t="s">
        <v>94</v>
      </c>
      <c r="I69" s="65" t="s">
        <v>95</v>
      </c>
      <c r="J69" s="65" t="s">
        <v>62</v>
      </c>
      <c r="K69" s="65" t="s">
        <v>62</v>
      </c>
      <c r="L69" s="65" t="s">
        <v>62</v>
      </c>
      <c r="M69" s="82" t="s">
        <v>14</v>
      </c>
      <c r="N69" s="82"/>
      <c r="O69" s="83"/>
    </row>
    <row r="70" spans="2:15" x14ac:dyDescent="0.3">
      <c r="B70" s="98" t="s">
        <v>1</v>
      </c>
      <c r="C70" s="99" t="s">
        <v>2</v>
      </c>
      <c r="D70" s="66" t="s">
        <v>101</v>
      </c>
      <c r="E70" s="66" t="s">
        <v>101</v>
      </c>
      <c r="F70" s="66" t="s">
        <v>9</v>
      </c>
      <c r="G70" s="66" t="s">
        <v>101</v>
      </c>
      <c r="H70" s="66" t="s">
        <v>101</v>
      </c>
      <c r="I70" s="66" t="s">
        <v>9</v>
      </c>
      <c r="J70" s="66" t="s">
        <v>102</v>
      </c>
      <c r="K70" s="66" t="s">
        <v>102</v>
      </c>
      <c r="L70" s="66" t="s">
        <v>10</v>
      </c>
      <c r="M70" s="84"/>
      <c r="N70" s="84"/>
      <c r="O70" s="85"/>
    </row>
    <row r="71" spans="2:15" x14ac:dyDescent="0.3">
      <c r="B71" s="22" t="s">
        <v>103</v>
      </c>
      <c r="C71" s="23" t="s">
        <v>104</v>
      </c>
      <c r="D71" s="75">
        <f>C58</f>
        <v>2521004.7999999998</v>
      </c>
      <c r="E71" s="75">
        <f>C59</f>
        <v>1176034.3</v>
      </c>
      <c r="F71" s="76">
        <f>C62+C65/100</f>
        <v>910.19188000000008</v>
      </c>
      <c r="G71" s="23">
        <v>2521004.8045999999</v>
      </c>
      <c r="H71" s="23">
        <v>1176034.3026000001</v>
      </c>
      <c r="I71" s="23">
        <v>910.19500000000005</v>
      </c>
      <c r="J71" s="77">
        <f>(D71-G71)*1000</f>
        <v>-4.6000001020729542</v>
      </c>
      <c r="K71" s="77">
        <f>(E71-H71)*1000</f>
        <v>-2.6000000070780516</v>
      </c>
      <c r="L71" s="77">
        <f>(F71-I71)*1000</f>
        <v>-3.1199999999671491</v>
      </c>
      <c r="M71" s="100" t="s">
        <v>109</v>
      </c>
      <c r="N71" s="100"/>
      <c r="O71" s="101"/>
    </row>
    <row r="72" spans="2:15" ht="14.4" customHeight="1" x14ac:dyDescent="0.3">
      <c r="B72" s="27" t="s">
        <v>104</v>
      </c>
      <c r="C72" s="27" t="s">
        <v>105</v>
      </c>
      <c r="D72" s="19"/>
      <c r="E72" s="19"/>
      <c r="F72" s="78">
        <f>F71+C64</f>
        <v>909.69188000000008</v>
      </c>
      <c r="G72" s="97">
        <f>0.11180482273405*180/PI()</f>
        <v>6.4059444718693825</v>
      </c>
      <c r="H72" s="97">
        <f>0.8156292892892*180/PI()</f>
        <v>46.732115923526045</v>
      </c>
      <c r="I72" s="79">
        <f>909.695042770145</f>
        <v>909.69504277014505</v>
      </c>
      <c r="J72" s="19"/>
      <c r="K72" s="19"/>
      <c r="L72" s="47">
        <f>(F72-I72)*1000</f>
        <v>-3.162770144967908</v>
      </c>
      <c r="M72" s="102" t="s">
        <v>99</v>
      </c>
      <c r="N72" s="102"/>
      <c r="O72" s="103"/>
    </row>
    <row r="73" spans="2:15" x14ac:dyDescent="0.3">
      <c r="B73" s="27" t="s">
        <v>105</v>
      </c>
      <c r="C73" s="19" t="s">
        <v>106</v>
      </c>
      <c r="D73" s="19"/>
      <c r="E73" s="19"/>
      <c r="F73" s="19"/>
      <c r="G73" s="19">
        <v>4352168.0681689</v>
      </c>
      <c r="H73" s="19">
        <v>488631.09285984002</v>
      </c>
      <c r="I73" s="19">
        <v>4621598.7120332997</v>
      </c>
      <c r="J73" s="19"/>
      <c r="K73" s="19"/>
      <c r="L73" s="19"/>
      <c r="M73" s="106"/>
      <c r="N73" s="106"/>
      <c r="O73" s="107"/>
    </row>
    <row r="74" spans="2:15" x14ac:dyDescent="0.3">
      <c r="B74" s="27" t="s">
        <v>106</v>
      </c>
      <c r="C74" s="19" t="s">
        <v>24</v>
      </c>
      <c r="D74" s="19"/>
      <c r="E74" s="19"/>
      <c r="F74" s="19"/>
      <c r="G74" s="19">
        <v>4352842.4421688998</v>
      </c>
      <c r="H74" s="19">
        <v>488646.14885984</v>
      </c>
      <c r="I74" s="19">
        <v>4622004.0580332996</v>
      </c>
      <c r="J74" s="19"/>
      <c r="K74" s="19"/>
      <c r="L74" s="19"/>
      <c r="M74" s="106"/>
      <c r="N74" s="106"/>
      <c r="O74" s="107"/>
    </row>
    <row r="75" spans="2:15" x14ac:dyDescent="0.3">
      <c r="B75" s="34" t="s">
        <v>24</v>
      </c>
      <c r="C75" s="20" t="s">
        <v>107</v>
      </c>
      <c r="D75" s="20">
        <f>C60</f>
        <v>6.4051600000000004</v>
      </c>
      <c r="E75" s="20">
        <f>C61</f>
        <v>46.730809999999998</v>
      </c>
      <c r="F75" s="80">
        <f>C63+F71</f>
        <v>960.69188000000008</v>
      </c>
      <c r="G75" s="20">
        <f>0.11179106091866*180/PI()</f>
        <v>6.4051559779290974</v>
      </c>
      <c r="H75" s="20">
        <f>0.81560652823782*180/PI()</f>
        <v>46.730811811344687</v>
      </c>
      <c r="I75" s="20">
        <v>960.69706994201999</v>
      </c>
      <c r="J75" s="57">
        <f>(D75-G75)*10000</f>
        <v>4.0220709029981094E-2</v>
      </c>
      <c r="K75" s="57">
        <f>(E75-H75)*10000</f>
        <v>-1.8113446884626683E-2</v>
      </c>
      <c r="L75" s="57">
        <f>(F75-I75)*1000</f>
        <v>-5.1899420199106316</v>
      </c>
      <c r="M75" s="104" t="s">
        <v>108</v>
      </c>
      <c r="N75" s="104"/>
      <c r="O75" s="105"/>
    </row>
  </sheetData>
  <mergeCells count="31">
    <mergeCell ref="J24:L24"/>
    <mergeCell ref="J25:L25"/>
    <mergeCell ref="J26:L26"/>
    <mergeCell ref="J27:L27"/>
    <mergeCell ref="K32:L32"/>
    <mergeCell ref="C5:D5"/>
    <mergeCell ref="B4:Q4"/>
    <mergeCell ref="H5:J5"/>
    <mergeCell ref="K5:M5"/>
    <mergeCell ref="E5:G5"/>
    <mergeCell ref="M32:N32"/>
    <mergeCell ref="V34:V35"/>
    <mergeCell ref="V42:V43"/>
    <mergeCell ref="O32:P32"/>
    <mergeCell ref="Q32:R32"/>
    <mergeCell ref="M40:N40"/>
    <mergeCell ref="K48:L48"/>
    <mergeCell ref="M48:N48"/>
    <mergeCell ref="O48:P48"/>
    <mergeCell ref="Q48:R48"/>
    <mergeCell ref="O40:P40"/>
    <mergeCell ref="Q40:R40"/>
    <mergeCell ref="K40:L40"/>
    <mergeCell ref="M72:O72"/>
    <mergeCell ref="M75:O75"/>
    <mergeCell ref="B69:C69"/>
    <mergeCell ref="M69:O69"/>
    <mergeCell ref="M70:O70"/>
    <mergeCell ref="M71:O71"/>
    <mergeCell ref="M73:O73"/>
    <mergeCell ref="M74:O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2018-05-04T14:27:08Z</dcterms:modified>
</cp:coreProperties>
</file>