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gnex\Desktop\"/>
    </mc:Choice>
  </mc:AlternateContent>
  <bookViews>
    <workbookView xWindow="-105" yWindow="-105" windowWidth="23250" windowHeight="12570"/>
  </bookViews>
  <sheets>
    <sheet name="Foglio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25" i="1" l="1"/>
  <c r="E415" i="1"/>
  <c r="I414" i="1"/>
  <c r="I416" i="1" s="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4" i="1"/>
  <c r="E423" i="1"/>
  <c r="E422" i="1"/>
  <c r="E421" i="1"/>
  <c r="E420" i="1"/>
  <c r="E419" i="1"/>
  <c r="E418" i="1"/>
  <c r="E417" i="1"/>
  <c r="E416" i="1"/>
  <c r="I415" i="1" l="1"/>
  <c r="E9" i="1"/>
  <c r="E8" i="1"/>
  <c r="E7" i="1"/>
  <c r="E369"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06" i="1"/>
  <c r="E294"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5" i="1"/>
  <c r="E296" i="1"/>
  <c r="E233" i="1"/>
  <c r="E221"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158" i="1"/>
  <c r="E83" i="1"/>
  <c r="E144" i="1"/>
  <c r="E137"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8" i="1"/>
  <c r="E139" i="1"/>
  <c r="E140" i="1"/>
  <c r="E141" i="1"/>
  <c r="E142" i="1"/>
  <c r="E143" i="1"/>
  <c r="E145" i="1"/>
  <c r="E82" i="1"/>
  <c r="E21" i="1"/>
  <c r="E10" i="1"/>
  <c r="E11" i="1"/>
  <c r="E12" i="1"/>
  <c r="E13" i="1"/>
  <c r="E14" i="1"/>
  <c r="E15" i="1"/>
  <c r="E16" i="1"/>
  <c r="E17" i="1"/>
  <c r="E18" i="1"/>
  <c r="E19" i="1"/>
  <c r="E20"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W17" i="1"/>
  <c r="I232" i="1"/>
  <c r="I234" i="1" s="1"/>
  <c r="D369" i="1"/>
  <c r="W30" i="1"/>
  <c r="W27" i="1"/>
  <c r="W28" i="1"/>
  <c r="W29" i="1"/>
  <c r="W26" i="1"/>
  <c r="W20" i="1"/>
  <c r="W18" i="1"/>
  <c r="W19" i="1"/>
  <c r="W21" i="1"/>
  <c r="D192" i="1" l="1"/>
  <c r="D194" i="1"/>
  <c r="D190" i="1"/>
  <c r="D204" i="1"/>
  <c r="N157" i="1"/>
  <c r="N158" i="1" s="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I10" i="1"/>
  <c r="I7" i="1"/>
  <c r="H10" i="1"/>
  <c r="H9" i="1"/>
  <c r="I8" i="1"/>
  <c r="I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81" i="1"/>
  <c r="I82" i="1" s="1"/>
  <c r="H8" i="1"/>
  <c r="H7" i="1"/>
  <c r="L6" i="1"/>
  <c r="L7" i="1" s="1"/>
  <c r="D330" i="1"/>
  <c r="D326" i="1"/>
  <c r="D368" i="1"/>
  <c r="D367" i="1"/>
  <c r="D366"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29" i="1"/>
  <c r="D327" i="1"/>
  <c r="D328" i="1"/>
  <c r="D325" i="1"/>
  <c r="D324" i="1"/>
  <c r="D323" i="1"/>
  <c r="D322" i="1"/>
  <c r="D321" i="1"/>
  <c r="D320" i="1"/>
  <c r="D319" i="1"/>
  <c r="D318" i="1"/>
  <c r="D317" i="1"/>
  <c r="D316" i="1"/>
  <c r="D315" i="1"/>
  <c r="D314" i="1"/>
  <c r="D313" i="1"/>
  <c r="D312" i="1"/>
  <c r="D311" i="1"/>
  <c r="D310" i="1"/>
  <c r="D309" i="1"/>
  <c r="D308" i="1"/>
  <c r="D307" i="1"/>
  <c r="D306" i="1"/>
  <c r="N159" i="1" l="1"/>
  <c r="I83"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44" i="1"/>
  <c r="D145"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8" i="1"/>
  <c r="D269" i="1"/>
  <c r="D267" i="1"/>
  <c r="D266" i="1"/>
  <c r="D265" i="1"/>
  <c r="D264" i="1"/>
  <c r="D263" i="1"/>
  <c r="D262" i="1"/>
  <c r="D261" i="1"/>
  <c r="D260" i="1"/>
  <c r="D259" i="1"/>
  <c r="D258" i="1"/>
  <c r="D257" i="1"/>
  <c r="D256" i="1"/>
  <c r="D255" i="1"/>
  <c r="D254" i="1"/>
  <c r="I305" i="1"/>
  <c r="D253" i="1"/>
  <c r="D252" i="1"/>
  <c r="D251" i="1"/>
  <c r="D250" i="1"/>
  <c r="D249" i="1"/>
  <c r="D248" i="1"/>
  <c r="D247" i="1"/>
  <c r="D246" i="1"/>
  <c r="D245" i="1"/>
  <c r="D244" i="1"/>
  <c r="D243" i="1"/>
  <c r="D242" i="1"/>
  <c r="D241" i="1"/>
  <c r="D240" i="1"/>
  <c r="D239" i="1"/>
  <c r="D238" i="1"/>
  <c r="D237" i="1"/>
  <c r="D236" i="1"/>
  <c r="D235" i="1"/>
  <c r="D234" i="1"/>
  <c r="D233" i="1"/>
  <c r="D221" i="1"/>
  <c r="D219" i="1"/>
  <c r="D217" i="1"/>
  <c r="D215" i="1"/>
  <c r="D213" i="1"/>
  <c r="L8" i="1"/>
  <c r="D70" i="1"/>
  <c r="D69" i="1"/>
  <c r="D68" i="1"/>
  <c r="D67" i="1"/>
  <c r="D65" i="1"/>
  <c r="D66" i="1"/>
  <c r="D64" i="1"/>
  <c r="D63" i="1"/>
  <c r="D62" i="1"/>
  <c r="D61" i="1"/>
  <c r="D60" i="1"/>
  <c r="D59" i="1"/>
  <c r="D58" i="1"/>
  <c r="D57" i="1"/>
  <c r="D56" i="1"/>
  <c r="D55" i="1"/>
  <c r="D54" i="1"/>
  <c r="D53" i="1"/>
  <c r="D52" i="1"/>
  <c r="D50" i="1"/>
  <c r="D51" i="1"/>
  <c r="D49" i="1"/>
  <c r="D47" i="1"/>
  <c r="D48" i="1"/>
  <c r="D46" i="1"/>
  <c r="D45" i="1"/>
  <c r="D44" i="1"/>
  <c r="D43" i="1"/>
  <c r="D42" i="1"/>
  <c r="D41" i="1"/>
  <c r="D40" i="1"/>
  <c r="D39" i="1"/>
  <c r="D211" i="1"/>
  <c r="D209" i="1"/>
  <c r="D207" i="1"/>
  <c r="D189" i="1"/>
  <c r="D187" i="1"/>
  <c r="D185" i="1"/>
  <c r="D184" i="1"/>
  <c r="D183" i="1"/>
  <c r="D182" i="1"/>
  <c r="D181" i="1"/>
  <c r="D180" i="1"/>
  <c r="D179" i="1"/>
  <c r="D178" i="1"/>
  <c r="D177" i="1"/>
  <c r="D176" i="1"/>
  <c r="D175" i="1"/>
  <c r="D174" i="1"/>
  <c r="D173" i="1"/>
  <c r="D172" i="1"/>
  <c r="D171" i="1"/>
  <c r="D170" i="1"/>
  <c r="D169" i="1"/>
  <c r="D167" i="1"/>
  <c r="D166" i="1"/>
  <c r="D165" i="1"/>
  <c r="D164" i="1"/>
  <c r="D163" i="1"/>
  <c r="D161" i="1"/>
  <c r="D160" i="1"/>
  <c r="D159" i="1"/>
  <c r="D96" i="1"/>
  <c r="D97" i="1"/>
  <c r="D113" i="1"/>
  <c r="D112" i="1"/>
  <c r="D111" i="1"/>
  <c r="D110" i="1"/>
  <c r="D109" i="1"/>
  <c r="D108" i="1"/>
  <c r="D107" i="1"/>
  <c r="D106" i="1"/>
  <c r="D105" i="1"/>
  <c r="D104" i="1"/>
  <c r="D103" i="1"/>
  <c r="D102" i="1"/>
  <c r="D101" i="1"/>
  <c r="D100" i="1"/>
  <c r="D99" i="1"/>
  <c r="D98" i="1"/>
  <c r="D95" i="1"/>
  <c r="D91" i="1"/>
  <c r="D92" i="1"/>
  <c r="D93" i="1"/>
  <c r="D94" i="1"/>
  <c r="D90" i="1"/>
  <c r="D89" i="1"/>
  <c r="D88" i="1"/>
  <c r="D87" i="1"/>
  <c r="D86" i="1"/>
  <c r="D85" i="1"/>
  <c r="D84" i="1"/>
  <c r="D83" i="1"/>
  <c r="D82" i="1"/>
  <c r="D38" i="1"/>
  <c r="D37" i="1"/>
  <c r="D36" i="1"/>
  <c r="D35" i="1"/>
  <c r="D34" i="1"/>
  <c r="D33" i="1"/>
  <c r="D32" i="1"/>
  <c r="D31" i="1"/>
  <c r="D30" i="1"/>
  <c r="D29" i="1"/>
  <c r="D28" i="1"/>
  <c r="D27" i="1"/>
  <c r="D26" i="1"/>
  <c r="D25" i="1"/>
  <c r="D24" i="1"/>
  <c r="D23" i="1"/>
  <c r="D9" i="1"/>
  <c r="D8" i="1"/>
  <c r="D7" i="1"/>
  <c r="D22" i="1"/>
  <c r="D21" i="1"/>
  <c r="D20" i="1"/>
  <c r="D19" i="1"/>
  <c r="D18" i="1"/>
  <c r="D17" i="1"/>
  <c r="D16" i="1"/>
  <c r="D15" i="1"/>
  <c r="D14" i="1"/>
  <c r="D13" i="1"/>
  <c r="D12" i="1"/>
  <c r="D11" i="1"/>
  <c r="D10" i="1"/>
  <c r="I233" i="1" l="1"/>
  <c r="I306" i="1"/>
  <c r="I307" i="1"/>
</calcChain>
</file>

<file path=xl/sharedStrings.xml><?xml version="1.0" encoding="utf-8"?>
<sst xmlns="http://schemas.openxmlformats.org/spreadsheetml/2006/main" count="709" uniqueCount="166">
  <si>
    <t>Mapping of new ERF8 board &amp; Preamp. Calibration</t>
  </si>
  <si>
    <t>Pulser settings</t>
  </si>
  <si>
    <t>Digitizer settings</t>
  </si>
  <si>
    <t>ERF8 channel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</si>
  <si>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</si>
  <si>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</si>
  <si>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</si>
  <si>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</si>
  <si>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</si>
  <si>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</si>
  <si>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</si>
  <si>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</si>
  <si>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</si>
  <si>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</si>
  <si>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</si>
  <si>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</si>
  <si>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</si>
  <si>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</si>
  <si>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</si>
  <si>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</si>
  <si>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</si>
  <si>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</si>
  <si>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</si>
  <si>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</si>
  <si>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</si>
  <si>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</si>
  <si>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</si>
  <si>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</si>
  <si>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</si>
  <si>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</si>
  <si>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</si>
  <si>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</si>
  <si>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</si>
  <si>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</si>
  <si>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</si>
  <si>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</si>
  <si>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</si>
  <si>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</si>
  <si>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</si>
  <si>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</si>
  <si>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</si>
  <si>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</si>
  <si>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</si>
  <si>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</si>
  <si>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</si>
  <si>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</si>
  <si>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</si>
  <si>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</si>
  <si>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</si>
  <si>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</si>
  <si>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</si>
  <si>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</si>
  <si>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</si>
  <si>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</si>
  <si>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</si>
  <si>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</si>
  <si>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</si>
  <si>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</si>
  <si>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</si>
  <si>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</si>
  <si>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</si>
  <si>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</si>
  <si>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</si>
  <si>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</si>
  <si>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</si>
  <si>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</si>
  <si>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</si>
  <si>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</si>
  <si>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Digitizer channel</t>
  </si>
  <si>
    <t>E centroid (ch)</t>
  </si>
  <si>
    <t>fall time 20us</t>
  </si>
  <si>
    <t>rate 100Hz</t>
  </si>
  <si>
    <t>delay 150ns</t>
  </si>
  <si>
    <t>polarity Negative</t>
  </si>
  <si>
    <t>pulse top tail</t>
  </si>
  <si>
    <t>atten 1X</t>
  </si>
  <si>
    <t>amp 2V</t>
  </si>
  <si>
    <t>as written in the first page of quaderno rosso dal 22/06/2022</t>
  </si>
  <si>
    <t>FWHM (ch)</t>
  </si>
  <si>
    <t>the first S of board input is the ground</t>
  </si>
  <si>
    <t>Calibration performed with CoMPASS. See at the right for pulser and digitizer settings</t>
  </si>
  <si>
    <t>PA 1 (21119) + DIG 1 (22642)</t>
  </si>
  <si>
    <t>Chain: Pulser-&gt;capacity 1pF-&gt;64ch ERF8 Adapter-&gt;Samtec cable-&gt;PA-&gt;digitizer</t>
  </si>
  <si>
    <t>PA 2 (21114)+ DIG 2 (22643)</t>
  </si>
  <si>
    <t>average</t>
  </si>
  <si>
    <t>max variation from average</t>
  </si>
  <si>
    <t>PA 3 (21113)+ DIG 3 (22644)</t>
  </si>
  <si>
    <t>variation max - min</t>
  </si>
  <si>
    <t>No signal</t>
  </si>
  <si>
    <t>* S33-S64 were evaluated with a day of difference (with respect to S1-S32)</t>
  </si>
  <si>
    <r>
      <t xml:space="preserve">*with some minutes/hours of difference without close anything or closing &amp; starting pulser: </t>
    </r>
    <r>
      <rPr>
        <sz val="11"/>
        <color theme="1"/>
        <rFont val="Calibri"/>
        <family val="2"/>
      </rPr>
      <t>±(0-1) ch</t>
    </r>
  </si>
  <si>
    <r>
      <t xml:space="preserve">*with better statistics (7k-&gt;70k): </t>
    </r>
    <r>
      <rPr>
        <sz val="11"/>
        <color theme="1"/>
        <rFont val="Calibri"/>
        <family val="2"/>
      </rPr>
      <t>±0 ch</t>
    </r>
  </si>
  <si>
    <r>
      <t>*test for S2,S16,S17,S63 after a day and after restarting crates: +(3-8)</t>
    </r>
    <r>
      <rPr>
        <b/>
        <sz val="11"/>
        <color theme="1"/>
        <rFont val="Calibri"/>
        <family val="2"/>
      </rPr>
      <t xml:space="preserve"> ch and FWHM: ±(0-1) ch. After an hour the values approach more the ones of the previous day (perhaps a matter of temperature).</t>
    </r>
  </si>
  <si>
    <r>
      <t xml:space="preserve">*test for S10-S13,S16 with some minutes of difference closing &amp; starting again pulser: </t>
    </r>
    <r>
      <rPr>
        <sz val="11"/>
        <color theme="1"/>
        <rFont val="Calibri"/>
        <family val="2"/>
      </rPr>
      <t xml:space="preserve">±(0-2) ch BUT, FWHM: 17-19-&gt;12-13 </t>
    </r>
  </si>
  <si>
    <r>
      <t xml:space="preserve">*test for S10-S13,S16 after an hour closing &amp; starting again pulser: </t>
    </r>
    <r>
      <rPr>
        <sz val="11"/>
        <color theme="1"/>
        <rFont val="Calibri"/>
        <family val="2"/>
      </rPr>
      <t xml:space="preserve">±0 ch and FWHM: ±0 ch </t>
    </r>
    <r>
      <rPr>
        <sz val="11"/>
        <color theme="1"/>
        <rFont val="Calibri"/>
        <family val="2"/>
        <scheme val="minor"/>
      </rPr>
      <t/>
    </r>
  </si>
  <si>
    <r>
      <t xml:space="preserve">*test for S15, S27, S31 with some minutes of difference closing &amp; starting again pulser: </t>
    </r>
    <r>
      <rPr>
        <sz val="11"/>
        <color theme="1"/>
        <rFont val="Calibri"/>
        <family val="2"/>
      </rPr>
      <t>±(0-1) ch and FWHM: ±(0-1) ch</t>
    </r>
  </si>
  <si>
    <r>
      <t xml:space="preserve">*test for S63, S64 with an hour of difference closing &amp; starting again pulser: </t>
    </r>
    <r>
      <rPr>
        <sz val="11"/>
        <color theme="1"/>
        <rFont val="Calibri"/>
        <family val="2"/>
      </rPr>
      <t>±3 ch and FWHM: ±0 ch</t>
    </r>
  </si>
  <si>
    <r>
      <t xml:space="preserve">* test at S2 with 12 hours of difference closing &amp; starting again pulser: </t>
    </r>
    <r>
      <rPr>
        <sz val="11"/>
        <color theme="1"/>
        <rFont val="Calibri"/>
        <family val="2"/>
      </rPr>
      <t>±0 ch and FWHM: ±0 ch</t>
    </r>
  </si>
  <si>
    <r>
      <t>* test at S2,S3,S8,S14 with a few minutes of difference and room temperature lower: for all of them centroid-&gt; -5</t>
    </r>
    <r>
      <rPr>
        <sz val="11"/>
        <color theme="1"/>
        <rFont val="Calibri"/>
        <family val="2"/>
      </rPr>
      <t xml:space="preserve"> ch and FWHM: ±(0-1) ch.</t>
    </r>
  </si>
  <si>
    <r>
      <t xml:space="preserve">* test at S2,S28 with an hour of difference closing &amp; starting again pulser and putting a cable for ch48-63: </t>
    </r>
    <r>
      <rPr>
        <sz val="11"/>
        <color theme="1"/>
        <rFont val="Calibri"/>
        <family val="2"/>
      </rPr>
      <t>±1 ch and FWHM: ±1 ch</t>
    </r>
  </si>
  <si>
    <t>PA 4 + DIG 4 (22645)</t>
  </si>
  <si>
    <t>PA 5 + DIG 5 (22646)</t>
  </si>
  <si>
    <t xml:space="preserve">* test for S38,S44,S47,S62 with a few seconds of difference restarting or not restarting pulser:  ±(0-1) ch and FWHM: ±(0-2) ch. </t>
  </si>
  <si>
    <r>
      <t xml:space="preserve">* test for S1 with 2 hours of difference: </t>
    </r>
    <r>
      <rPr>
        <b/>
        <sz val="11"/>
        <rFont val="Calibri"/>
        <family val="2"/>
      </rPr>
      <t>-4 ch and FWHM: +4 ch (PA surface has not a high temperature)</t>
    </r>
  </si>
  <si>
    <r>
      <t xml:space="preserve">* test for S16 with 2 hours of difference: </t>
    </r>
    <r>
      <rPr>
        <b/>
        <sz val="11"/>
        <rFont val="Calibri"/>
        <family val="2"/>
      </rPr>
      <t>-6 ch and FWHM: +5 ch (PA surface has not a high temperature)</t>
    </r>
  </si>
  <si>
    <r>
      <t>*test for S1,S16,S64 8 hours after the test mentioned in bold above: ±0</t>
    </r>
    <r>
      <rPr>
        <b/>
        <sz val="11"/>
        <color theme="1"/>
        <rFont val="Calibri"/>
        <family val="2"/>
      </rPr>
      <t xml:space="preserve"> ch and FWHM: -(1-2) ch with respect to test above (PA power supply was switched off for 1 hour and now the PA surface temperature is OK). </t>
    </r>
  </si>
  <si>
    <r>
      <t>*test for S1,S16,S64 after a day and after restarting crates: +(3-8)</t>
    </r>
    <r>
      <rPr>
        <b/>
        <sz val="11"/>
        <color theme="1"/>
        <rFont val="Calibri"/>
        <family val="2"/>
      </rPr>
      <t xml:space="preserve"> ch and FWHM: ±(0-1) ch. </t>
    </r>
  </si>
  <si>
    <t>* S33-S64 were evaluated with a day of difference (with respect to S1-S32) and in the meanwhile the power supply was removed and placed again (to decrease temperature)</t>
  </si>
  <si>
    <t>96Hz but,for seconds rate 120 Hz ! Peak ok (pulser 100 Hz). Also, at the same moment 200Hz at ch 12</t>
  </si>
  <si>
    <t>at the same moment a low rate also at ch 25</t>
  </si>
  <si>
    <r>
      <t xml:space="preserve">* test at S1 with 2 hours of difference closing &amp; starting again pulser: </t>
    </r>
    <r>
      <rPr>
        <sz val="11"/>
        <rFont val="Calibri"/>
        <family val="2"/>
      </rPr>
      <t xml:space="preserve">±0 ch and FWHM: ±1 ch. For some seconds random rate (mHz,Hz,kHz,MHz) at ch 9 </t>
    </r>
  </si>
  <si>
    <r>
      <t xml:space="preserve">* test at S19 (ch9) with 2 hours of difference closing &amp; starting again pulser: </t>
    </r>
    <r>
      <rPr>
        <sz val="11"/>
        <rFont val="Calibri"/>
        <family val="2"/>
      </rPr>
      <t>-6 ch and FWHM: ±1 ch. No noise to this or to other channels.</t>
    </r>
  </si>
  <si>
    <t>* test with closed pulser: 800 Hz @ ch9 (cable connected to S32 / ch 31)</t>
  </si>
  <si>
    <t>* test with closed pulser: 170 kHz @ ch24 (cable connected to S19 / ch 9). The rate appeared after several seconds.</t>
  </si>
  <si>
    <t>at the same moment an 120Hz rate at ch 25</t>
  </si>
  <si>
    <t>at the same moment (high) rate at ch 11, 27</t>
  </si>
  <si>
    <t>at the same moment (high) rate at ch 12, 27</t>
  </si>
  <si>
    <t>at the same moment an 230Hz rate at ch 25 with E=0</t>
  </si>
  <si>
    <t>at the same moment an 25kHz rate at ch 25 with E=0 (it needs a thr=6000 to be cutted)</t>
  </si>
  <si>
    <t>* S33-S64: at ch with no relevant indication, no noise is appeared to any channel (it was checked with caution)</t>
  </si>
  <si>
    <t>* test at S60 (ch61) 15 minutes later: again no signal but 4 kHz at ch9. A few sec later no rate at ch9.</t>
  </si>
  <si>
    <t>* test at S64 (ch63) 5 minutes later: no signal to any channel</t>
  </si>
  <si>
    <t>* test at S31 (ch15) an hour later: ±0 ch and FWHM: ±0 ch. No signal to any other channel</t>
  </si>
  <si>
    <t>rate 300 Hz but peak ok (pulser 100 Hz). 1 hour later peak the same, rate ok, but 150kHz in ch 22</t>
  </si>
  <si>
    <t>at the beginning peak destroyed, rate 1.5kHz or a few mHz! (pulser 100 Hz). 1hour later ok !!! but with kHz in ch22,23</t>
  </si>
  <si>
    <t>* S64 (ch63) was tested again after I saw again ch10,12 (in which kHz @ch22,23): again no signal, but kHz @ch 22,23 ! Same without pulser.</t>
  </si>
  <si>
    <t>difference</t>
  </si>
  <si>
    <t>PA1 with DIG2 (22643)+flat cables of "2"</t>
  </si>
  <si>
    <t>* after the afformentioned test with a different digitizer, it was tested that the original centroids with the original chain were invariant: E ±(0-2) ch</t>
  </si>
  <si>
    <r>
      <t>* test for S2,S17,S52,S64 after restarting crates: ±(0-2)</t>
    </r>
    <r>
      <rPr>
        <sz val="11"/>
        <color theme="1"/>
        <rFont val="Calibri"/>
        <family val="2"/>
      </rPr>
      <t xml:space="preserve"> ch and FWHM: ±(0-1) ch. </t>
    </r>
  </si>
  <si>
    <t>* due to lack of cables, the same cables was used for 2 sets fo channels of pa3-&gt;dig3.</t>
  </si>
  <si>
    <t>What is the difference if we use "test input"-PA-DIG?</t>
  </si>
  <si>
    <t>Is the calibration linear with intercept=0 ?</t>
  </si>
  <si>
    <t>for S1=ch0 of dig 1</t>
  </si>
  <si>
    <t>Volt</t>
  </si>
  <si>
    <t>centroid (test input)</t>
  </si>
  <si>
    <t>V=1.724 V (instead of 2V)=2/1.16 (with test input)</t>
  </si>
  <si>
    <t>fit in root</t>
  </si>
  <si>
    <t>slope</t>
  </si>
  <si>
    <t>intercept</t>
  </si>
  <si>
    <t>14.9 +/- 7.4</t>
  </si>
  <si>
    <t>8324.83 +/- 3</t>
  </si>
  <si>
    <t>centroid (ch)</t>
  </si>
  <si>
    <t>pulser precision:+/-10mV</t>
  </si>
  <si>
    <t>large V value with attenuation to decrease error</t>
  </si>
  <si>
    <t>NOT TEST INPUT</t>
  </si>
  <si>
    <t>7128 +/- 7</t>
  </si>
  <si>
    <t>23 +/- 20</t>
  </si>
  <si>
    <t>no signal the first day but a day after ok…</t>
  </si>
  <si>
    <t>no signal the first day while a day after with destroyed signal, a few second after ok</t>
  </si>
  <si>
    <t>at the same moment a 2 MHz rate at ch 9 ! The next day was ok without rate at ch 9</t>
  </si>
  <si>
    <t>with respect to the previous results</t>
  </si>
  <si>
    <t>Calibrated</t>
  </si>
  <si>
    <t>with the chain 3</t>
  </si>
  <si>
    <t>* from 27/07/2022 we saw at different chains that the peak is not very good (tail on the left side). The centroid is not significantly affected while the FWHM is higher. Perhaps the problem is the cable?</t>
  </si>
  <si>
    <t>PA (21116)+ DIG 3 (22644)</t>
  </si>
  <si>
    <t>no signal</t>
  </si>
  <si>
    <t>OK</t>
  </si>
  <si>
    <t>OK, but at the same time noise at ch 33,34,49</t>
  </si>
  <si>
    <t>with chain "2"</t>
  </si>
  <si>
    <t>No signal, (but a small crosstalk to ch16,1 with small thresh)</t>
  </si>
  <si>
    <t>TEST IN chain "2"</t>
  </si>
  <si>
    <t>NO SIGNAL</t>
  </si>
  <si>
    <t>VALUES IN RED were obtained in 28/07/2022 with the cable already in bad shape (see logbook) and therefore centroid with BAD PRECISION</t>
  </si>
  <si>
    <t>no signal at the beginning, OK on 28/07</t>
  </si>
  <si>
    <t>*VALUES IN RED were obtained in 28/07/2022 with the cable already in bad shape (see logbook) and therefore centroid with BAD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</si>
</sst>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b/>
      <sz val="11"/>
      <color theme="1"/>
      <name val="Calibri"/>
      <family val="2"/>
    </font>
    <font>
      <b/>
      <sz val="11"/>
      <name val="Calibri"/>
      <family val="2"/>
      <scheme val="minor"/>
    </font>
    <font>
      <b/>
      <sz val="11"/>
      <name val="Calibri"/>
      <family val="2"/>
    </font>
    <font>
      <sz val="11"/>
      <name val="Calibri"/>
      <family val="2"/>
    </font>
    <font>
      <b/>
      <sz val="11"/>
      <color rgb="FF0000FF"/>
      <name val="Calibri"/>
      <family val="2"/>
      <scheme val="minor"/>
    </font>
    <font>
      <b/>
      <i/>
      <sz val="11"/>
      <color theme="1"/>
      <name val="Calibri"/>
      <family val="2"/>
      <scheme val="minor"/>
    </font>
    <font>
      <u/>
      <sz val="11"/>
      <color rgb="FF0000FF"/>
      <name val="Calibri"/>
      <family val="2"/>
      <scheme val="minor"/>
    </font>
    <font>
      <b/>
      <sz val="11"/>
      <color rgb="FFFF3300"/>
      <name val="Calibri"/>
      <family val="2"/>
      <scheme val="minor"/>
    </font>
    <font>
      <b/>
      <sz val="11"/>
      <color rgb="FF7030A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double">
        <color auto="1"/>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2" fillId="0" borderId="0" xfId="0" applyFont="1"/>
    <xf numFmtId="0" fontId="0" fillId="0" borderId="0" xfId="0" applyAlignment="1">
      <alignment horizontal="center"/>
    </xf>
    <xf numFmtId="0" fontId="0" fillId="0" borderId="1" xfId="0" applyBorder="1" applyAlignment="1">
      <alignment horizontal="center"/>
    </xf>
    <xf numFmtId="0" fontId="2" fillId="0" borderId="2" xfId="0" applyFont="1" applyBorder="1" applyAlignment="1">
      <alignment horizontal="center"/>
    </xf>
    <xf numFmtId="0" fontId="0" fillId="0" borderId="0" xfId="0" applyBorder="1" applyAlignment="1">
      <alignment horizontal="center"/>
    </xf>
    <xf numFmtId="0" fontId="0" fillId="0" borderId="0" xfId="0" applyAlignment="1">
      <alignment horizontal="left"/>
    </xf>
    <xf numFmtId="0" fontId="4" fillId="0" borderId="0" xfId="0" applyFont="1" applyAlignment="1">
      <alignment horizontal="center"/>
    </xf>
    <xf numFmtId="0" fontId="4" fillId="0" borderId="1" xfId="0" applyFont="1" applyBorder="1" applyAlignment="1">
      <alignment horizontal="center"/>
    </xf>
    <xf numFmtId="0" fontId="4" fillId="0" borderId="0" xfId="0" applyFont="1" applyBorder="1" applyAlignment="1">
      <alignment horizontal="center"/>
    </xf>
    <xf numFmtId="164" fontId="0" fillId="0" borderId="0" xfId="1" applyNumberFormat="1" applyFont="1"/>
    <xf numFmtId="165" fontId="0" fillId="0" borderId="0" xfId="0" applyNumberFormat="1"/>
    <xf numFmtId="164" fontId="4" fillId="0" borderId="0" xfId="1" applyNumberFormat="1" applyFont="1"/>
    <xf numFmtId="0" fontId="0" fillId="0" borderId="1" xfId="0" applyFont="1" applyBorder="1" applyAlignment="1">
      <alignment horizontal="center"/>
    </xf>
    <xf numFmtId="0" fontId="2" fillId="0" borderId="0" xfId="0" applyFont="1" applyAlignment="1">
      <alignment horizontal="left"/>
    </xf>
    <xf numFmtId="0" fontId="0"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165" fontId="4" fillId="0" borderId="0" xfId="0" applyNumberFormat="1" applyFont="1"/>
    <xf numFmtId="0" fontId="4" fillId="0" borderId="0" xfId="0" applyFont="1"/>
    <xf numFmtId="0" fontId="6" fillId="0" borderId="0" xfId="0" applyFont="1"/>
    <xf numFmtId="1" fontId="0" fillId="0" borderId="0" xfId="0" applyNumberFormat="1" applyAlignment="1">
      <alignment horizontal="center"/>
    </xf>
    <xf numFmtId="164" fontId="10" fillId="0" borderId="0" xfId="1" applyNumberFormat="1" applyFont="1"/>
    <xf numFmtId="164" fontId="0" fillId="0" borderId="0" xfId="0" applyNumberFormat="1"/>
    <xf numFmtId="0" fontId="9" fillId="0" borderId="0" xfId="0" applyFont="1"/>
    <xf numFmtId="0" fontId="11" fillId="0" borderId="0" xfId="0" applyFont="1"/>
    <xf numFmtId="0" fontId="12" fillId="0" borderId="0" xfId="0" applyFont="1" applyFill="1"/>
    <xf numFmtId="2" fontId="0" fillId="0" borderId="0" xfId="0" applyNumberFormat="1"/>
    <xf numFmtId="0" fontId="13" fillId="0" borderId="0" xfId="0" applyFont="1" applyFill="1"/>
    <xf numFmtId="0" fontId="13" fillId="0" borderId="0" xfId="0" applyFont="1"/>
    <xf numFmtId="0" fontId="0" fillId="0" borderId="0" xfId="0" applyFont="1"/>
    <xf numFmtId="0" fontId="2" fillId="0" borderId="2" xfId="0" applyFont="1" applyBorder="1" applyAlignment="1">
      <alignment horizontal="left"/>
    </xf>
    <xf numFmtId="0" fontId="2" fillId="0" borderId="0" xfId="0" applyFont="1" applyFill="1" applyBorder="1" applyAlignment="1">
      <alignment horizontal="center"/>
    </xf>
    <xf numFmtId="0" fontId="14" fillId="0" borderId="0" xfId="0" applyFont="1"/>
    <xf numFmtId="0" fontId="14" fillId="0" borderId="0" xfId="0" applyFont="1" applyAlignment="1">
      <alignment horizontal="center"/>
    </xf>
  </cellXfs>
  <cellStyles count="2">
    <cellStyle name="Normale" xfId="0" builtinId="0"/>
    <cellStyle name="Percentuale" xfId="1" builtinId="5"/>
  </cellStyles>
  <dxfs count="0"/>
  <tableStyles count="0" defaultTableStyle="TableStyleMedium2" defaultPivotStyle="PivotStyleLight16"/>
  <colors>
    <mruColors>
      <color rgb="FFFF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PA1 Ecentroid (ch)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Foglio1!$A$5</c:f>
              <c:strCache>
                <c:ptCount val="1"/>
                <c:pt idx="0">
                  <c:v>PA 1 (21119) + DIG 1 (22642)</c:v>
                </c:pt>
              </c:strCache>
            </c:strRef>
          </c:tx>
          <c:spPr>
            <a:ln w="19050" cap="rnd">
              <a:noFill/>
              <a:round/>
            </a:ln>
            <a:effectLst/>
          </c:spPr>
          <c:marker>
            <c:symbol val="circle"/>
            <c:size val="5"/>
            <c:spPr>
              <a:solidFill>
                <a:schemeClr val="accent1"/>
              </a:solidFill>
              <a:ln w="9525">
                <a:solidFill>
                  <a:schemeClr val="accent1"/>
                </a:solidFill>
              </a:ln>
              <a:effectLst/>
            </c:spPr>
          </c:marker>
          <c:xVal>
            <c:strRef>
              <c:f>Foglio1!$A$7:$A$70</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Foglio1!$C$7:$C$70</c:f>
              <c:numCache>
                <c:formatCode>General</c:formatCode>
                <c:ptCount val="64"/>
                <c:pt idx="0">
                  <c:v>14338.5</c:v>
                </c:pt>
                <c:pt idx="1">
                  <c:v>14665.5</c:v>
                </c:pt>
                <c:pt idx="2">
                  <c:v>14163</c:v>
                </c:pt>
                <c:pt idx="3">
                  <c:v>14632</c:v>
                </c:pt>
                <c:pt idx="4">
                  <c:v>14261</c:v>
                </c:pt>
                <c:pt idx="5">
                  <c:v>14728.5</c:v>
                </c:pt>
                <c:pt idx="6">
                  <c:v>14658</c:v>
                </c:pt>
                <c:pt idx="7">
                  <c:v>14709</c:v>
                </c:pt>
                <c:pt idx="8">
                  <c:v>14413</c:v>
                </c:pt>
                <c:pt idx="9">
                  <c:v>14371.5</c:v>
                </c:pt>
                <c:pt idx="10">
                  <c:v>14227</c:v>
                </c:pt>
                <c:pt idx="11">
                  <c:v>14700</c:v>
                </c:pt>
                <c:pt idx="12">
                  <c:v>14075</c:v>
                </c:pt>
                <c:pt idx="13">
                  <c:v>14366</c:v>
                </c:pt>
                <c:pt idx="14">
                  <c:v>14329.5</c:v>
                </c:pt>
                <c:pt idx="15">
                  <c:v>14665</c:v>
                </c:pt>
                <c:pt idx="16">
                  <c:v>14351</c:v>
                </c:pt>
                <c:pt idx="17">
                  <c:v>14504</c:v>
                </c:pt>
                <c:pt idx="18">
                  <c:v>14528.5</c:v>
                </c:pt>
                <c:pt idx="19">
                  <c:v>14495</c:v>
                </c:pt>
                <c:pt idx="20">
                  <c:v>14383</c:v>
                </c:pt>
                <c:pt idx="21">
                  <c:v>14793</c:v>
                </c:pt>
                <c:pt idx="22">
                  <c:v>14222</c:v>
                </c:pt>
                <c:pt idx="23">
                  <c:v>14724.5</c:v>
                </c:pt>
                <c:pt idx="24">
                  <c:v>14251</c:v>
                </c:pt>
                <c:pt idx="25">
                  <c:v>14599</c:v>
                </c:pt>
                <c:pt idx="26">
                  <c:v>14514</c:v>
                </c:pt>
                <c:pt idx="27">
                  <c:v>14480</c:v>
                </c:pt>
                <c:pt idx="28">
                  <c:v>14359</c:v>
                </c:pt>
                <c:pt idx="29">
                  <c:v>14414</c:v>
                </c:pt>
                <c:pt idx="30">
                  <c:v>14419</c:v>
                </c:pt>
                <c:pt idx="31">
                  <c:v>14641</c:v>
                </c:pt>
                <c:pt idx="32">
                  <c:v>14260</c:v>
                </c:pt>
                <c:pt idx="33">
                  <c:v>14761</c:v>
                </c:pt>
                <c:pt idx="34">
                  <c:v>14965</c:v>
                </c:pt>
                <c:pt idx="35">
                  <c:v>14688</c:v>
                </c:pt>
                <c:pt idx="36">
                  <c:v>14296</c:v>
                </c:pt>
                <c:pt idx="37">
                  <c:v>14448</c:v>
                </c:pt>
                <c:pt idx="38">
                  <c:v>14172</c:v>
                </c:pt>
                <c:pt idx="39">
                  <c:v>13959</c:v>
                </c:pt>
                <c:pt idx="40">
                  <c:v>14307</c:v>
                </c:pt>
                <c:pt idx="41">
                  <c:v>14440</c:v>
                </c:pt>
                <c:pt idx="42">
                  <c:v>14226</c:v>
                </c:pt>
                <c:pt idx="43">
                  <c:v>14417.5</c:v>
                </c:pt>
                <c:pt idx="44">
                  <c:v>14471</c:v>
                </c:pt>
                <c:pt idx="45">
                  <c:v>14607</c:v>
                </c:pt>
                <c:pt idx="46">
                  <c:v>14592</c:v>
                </c:pt>
                <c:pt idx="47">
                  <c:v>14263</c:v>
                </c:pt>
                <c:pt idx="48">
                  <c:v>14283</c:v>
                </c:pt>
                <c:pt idx="49">
                  <c:v>13820</c:v>
                </c:pt>
                <c:pt idx="50">
                  <c:v>14197</c:v>
                </c:pt>
                <c:pt idx="51">
                  <c:v>14775</c:v>
                </c:pt>
                <c:pt idx="52">
                  <c:v>14302</c:v>
                </c:pt>
                <c:pt idx="53">
                  <c:v>14026</c:v>
                </c:pt>
                <c:pt idx="54">
                  <c:v>14160</c:v>
                </c:pt>
                <c:pt idx="55">
                  <c:v>14603</c:v>
                </c:pt>
                <c:pt idx="56">
                  <c:v>14415</c:v>
                </c:pt>
                <c:pt idx="57">
                  <c:v>14167</c:v>
                </c:pt>
                <c:pt idx="58">
                  <c:v>14510</c:v>
                </c:pt>
                <c:pt idx="59">
                  <c:v>14541</c:v>
                </c:pt>
                <c:pt idx="60">
                  <c:v>14158</c:v>
                </c:pt>
                <c:pt idx="61">
                  <c:v>13956</c:v>
                </c:pt>
                <c:pt idx="62">
                  <c:v>14086</c:v>
                </c:pt>
                <c:pt idx="63">
                  <c:v>14408</c:v>
                </c:pt>
              </c:numCache>
            </c:numRef>
          </c:yVal>
          <c:smooth val="0"/>
          <c:extLst>
            <c:ext xmlns:c16="http://schemas.microsoft.com/office/drawing/2014/chart" uri="{C3380CC4-5D6E-409C-BE32-E72D297353CC}">
              <c16:uniqueId val="{00000000-E9BD-4C2A-8259-A851251A49E4}"/>
            </c:ext>
          </c:extLst>
        </c:ser>
        <c:ser>
          <c:idx val="1"/>
          <c:order val="1"/>
          <c:tx>
            <c:strRef>
              <c:f>Foglio1!$G$5</c:f>
              <c:strCache>
                <c:ptCount val="1"/>
                <c:pt idx="0">
                  <c:v>PA1 with DIG2 (22643)+flat cables of "2"</c:v>
                </c:pt>
              </c:strCache>
            </c:strRef>
          </c:tx>
          <c:spPr>
            <a:ln w="25400" cap="rnd">
              <a:noFill/>
              <a:round/>
            </a:ln>
            <a:effectLst/>
          </c:spPr>
          <c:marker>
            <c:symbol val="circle"/>
            <c:size val="6"/>
            <c:spPr>
              <a:noFill/>
              <a:ln w="22225">
                <a:solidFill>
                  <a:schemeClr val="accent2"/>
                </a:solidFill>
              </a:ln>
              <a:effectLst/>
            </c:spPr>
          </c:marker>
          <c:xVal>
            <c:strRef>
              <c:f>Foglio1!$A$7:$A$38</c:f>
              <c:strCache>
                <c:ptCount val="32"/>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strCache>
            </c:strRef>
          </c:xVal>
          <c:yVal>
            <c:numRef>
              <c:f>Foglio1!$G$7:$G$38</c:f>
              <c:numCache>
                <c:formatCode>General</c:formatCode>
                <c:ptCount val="32"/>
                <c:pt idx="0">
                  <c:v>14363</c:v>
                </c:pt>
                <c:pt idx="1">
                  <c:v>14696</c:v>
                </c:pt>
                <c:pt idx="2">
                  <c:v>14117</c:v>
                </c:pt>
                <c:pt idx="3">
                  <c:v>14577</c:v>
                </c:pt>
                <c:pt idx="4">
                  <c:v>14253</c:v>
                </c:pt>
                <c:pt idx="5">
                  <c:v>14755</c:v>
                </c:pt>
                <c:pt idx="6">
                  <c:v>14609</c:v>
                </c:pt>
                <c:pt idx="7">
                  <c:v>14724</c:v>
                </c:pt>
                <c:pt idx="8">
                  <c:v>14357</c:v>
                </c:pt>
                <c:pt idx="9">
                  <c:v>14373</c:v>
                </c:pt>
                <c:pt idx="10">
                  <c:v>14208</c:v>
                </c:pt>
                <c:pt idx="11">
                  <c:v>14634</c:v>
                </c:pt>
                <c:pt idx="12">
                  <c:v>14138</c:v>
                </c:pt>
                <c:pt idx="13">
                  <c:v>14312</c:v>
                </c:pt>
                <c:pt idx="14">
                  <c:v>14346</c:v>
                </c:pt>
                <c:pt idx="15">
                  <c:v>14653.5</c:v>
                </c:pt>
                <c:pt idx="16">
                  <c:v>14247</c:v>
                </c:pt>
                <c:pt idx="17">
                  <c:v>14608</c:v>
                </c:pt>
                <c:pt idx="18">
                  <c:v>14445</c:v>
                </c:pt>
                <c:pt idx="19">
                  <c:v>14562</c:v>
                </c:pt>
                <c:pt idx="20">
                  <c:v>14359</c:v>
                </c:pt>
                <c:pt idx="21">
                  <c:v>14856</c:v>
                </c:pt>
                <c:pt idx="22">
                  <c:v>14227</c:v>
                </c:pt>
                <c:pt idx="23">
                  <c:v>14720</c:v>
                </c:pt>
                <c:pt idx="24">
                  <c:v>14267</c:v>
                </c:pt>
                <c:pt idx="25">
                  <c:v>14646</c:v>
                </c:pt>
                <c:pt idx="26">
                  <c:v>14506</c:v>
                </c:pt>
                <c:pt idx="27">
                  <c:v>14459</c:v>
                </c:pt>
                <c:pt idx="28">
                  <c:v>14396</c:v>
                </c:pt>
                <c:pt idx="29">
                  <c:v>14422.5</c:v>
                </c:pt>
                <c:pt idx="30">
                  <c:v>14378</c:v>
                </c:pt>
                <c:pt idx="31">
                  <c:v>14645</c:v>
                </c:pt>
              </c:numCache>
            </c:numRef>
          </c:yVal>
          <c:smooth val="0"/>
          <c:extLst>
            <c:ext xmlns:c16="http://schemas.microsoft.com/office/drawing/2014/chart" uri="{C3380CC4-5D6E-409C-BE32-E72D297353CC}">
              <c16:uniqueId val="{00000000-2D1D-46ED-ACD1-8CE4CF38DCDD}"/>
            </c:ext>
          </c:extLst>
        </c:ser>
        <c:ser>
          <c:idx val="2"/>
          <c:order val="2"/>
          <c:tx>
            <c:strRef>
              <c:f>Foglio1!$T$24</c:f>
              <c:strCache>
                <c:ptCount val="1"/>
                <c:pt idx="0">
                  <c:v>V=1.724 V (instead of 2V)=2/1.16 (with test input)</c:v>
                </c:pt>
              </c:strCache>
            </c:strRef>
          </c:tx>
          <c:spPr>
            <a:ln w="25400" cap="rnd">
              <a:noFill/>
              <a:round/>
            </a:ln>
            <a:effectLst/>
          </c:spPr>
          <c:marker>
            <c:symbol val="x"/>
            <c:size val="8"/>
            <c:spPr>
              <a:noFill/>
              <a:ln w="15875">
                <a:solidFill>
                  <a:srgbClr val="FF0000"/>
                </a:solidFill>
              </a:ln>
              <a:effectLst/>
            </c:spPr>
          </c:marker>
          <c:xVal>
            <c:strRef>
              <c:f>Foglio1!$T$26:$T$30</c:f>
              <c:strCache>
                <c:ptCount val="5"/>
                <c:pt idx="0">
                  <c:v>S1</c:v>
                </c:pt>
                <c:pt idx="1">
                  <c:v>S2</c:v>
                </c:pt>
                <c:pt idx="2">
                  <c:v>S3</c:v>
                </c:pt>
                <c:pt idx="3">
                  <c:v>S4</c:v>
                </c:pt>
                <c:pt idx="4">
                  <c:v>S5</c:v>
                </c:pt>
              </c:strCache>
            </c:strRef>
          </c:xVal>
          <c:yVal>
            <c:numRef>
              <c:f>Foglio1!$V$26:$V$30</c:f>
              <c:numCache>
                <c:formatCode>General</c:formatCode>
                <c:ptCount val="5"/>
                <c:pt idx="0">
                  <c:v>14335</c:v>
                </c:pt>
                <c:pt idx="1">
                  <c:v>14779</c:v>
                </c:pt>
                <c:pt idx="2">
                  <c:v>14047</c:v>
                </c:pt>
                <c:pt idx="3">
                  <c:v>15278</c:v>
                </c:pt>
                <c:pt idx="4">
                  <c:v>14237</c:v>
                </c:pt>
              </c:numCache>
            </c:numRef>
          </c:yVal>
          <c:smooth val="0"/>
          <c:extLst>
            <c:ext xmlns:c16="http://schemas.microsoft.com/office/drawing/2014/chart" uri="{C3380CC4-5D6E-409C-BE32-E72D297353CC}">
              <c16:uniqueId val="{00000000-B500-4780-97BB-B5C38FF31B32}"/>
            </c:ext>
          </c:extLst>
        </c:ser>
        <c:dLbls>
          <c:showLegendKey val="0"/>
          <c:showVal val="0"/>
          <c:showCatName val="0"/>
          <c:showSerName val="0"/>
          <c:showPercent val="0"/>
          <c:showBubbleSize val="0"/>
        </c:dLbls>
        <c:axId val="1266667504"/>
        <c:axId val="1266671664"/>
      </c:scatterChart>
      <c:valAx>
        <c:axId val="1266667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PA5 FWHM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Foglio1!$A$306:$A$369</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Foglio1!$D$306:$D$369</c:f>
              <c:numCache>
                <c:formatCode>General</c:formatCode>
                <c:ptCount val="64"/>
                <c:pt idx="0">
                  <c:v>15</c:v>
                </c:pt>
                <c:pt idx="1">
                  <c:v>14</c:v>
                </c:pt>
                <c:pt idx="2">
                  <c:v>14</c:v>
                </c:pt>
                <c:pt idx="3">
                  <c:v>14</c:v>
                </c:pt>
                <c:pt idx="4">
                  <c:v>15</c:v>
                </c:pt>
                <c:pt idx="5">
                  <c:v>15</c:v>
                </c:pt>
                <c:pt idx="6">
                  <c:v>14</c:v>
                </c:pt>
                <c:pt idx="7">
                  <c:v>13</c:v>
                </c:pt>
                <c:pt idx="8">
                  <c:v>13</c:v>
                </c:pt>
                <c:pt idx="9">
                  <c:v>14</c:v>
                </c:pt>
                <c:pt idx="10">
                  <c:v>13</c:v>
                </c:pt>
                <c:pt idx="11">
                  <c:v>15</c:v>
                </c:pt>
                <c:pt idx="12">
                  <c:v>14</c:v>
                </c:pt>
                <c:pt idx="13">
                  <c:v>14</c:v>
                </c:pt>
                <c:pt idx="14">
                  <c:v>14</c:v>
                </c:pt>
                <c:pt idx="15">
                  <c:v>14</c:v>
                </c:pt>
                <c:pt idx="16">
                  <c:v>18</c:v>
                </c:pt>
                <c:pt idx="17">
                  <c:v>14</c:v>
                </c:pt>
                <c:pt idx="18">
                  <c:v>14</c:v>
                </c:pt>
                <c:pt idx="19">
                  <c:v>15</c:v>
                </c:pt>
                <c:pt idx="20">
                  <c:v>12</c:v>
                </c:pt>
                <c:pt idx="21">
                  <c:v>15</c:v>
                </c:pt>
                <c:pt idx="22">
                  <c:v>12</c:v>
                </c:pt>
                <c:pt idx="23">
                  <c:v>13</c:v>
                </c:pt>
                <c:pt idx="24">
                  <c:v>12</c:v>
                </c:pt>
                <c:pt idx="25">
                  <c:v>14</c:v>
                </c:pt>
                <c:pt idx="26">
                  <c:v>14</c:v>
                </c:pt>
                <c:pt idx="27">
                  <c:v>12</c:v>
                </c:pt>
                <c:pt idx="28">
                  <c:v>13</c:v>
                </c:pt>
                <c:pt idx="29">
                  <c:v>13</c:v>
                </c:pt>
                <c:pt idx="30">
                  <c:v>13</c:v>
                </c:pt>
                <c:pt idx="31">
                  <c:v>13</c:v>
                </c:pt>
                <c:pt idx="32">
                  <c:v>13</c:v>
                </c:pt>
                <c:pt idx="33">
                  <c:v>14</c:v>
                </c:pt>
                <c:pt idx="34">
                  <c:v>12</c:v>
                </c:pt>
                <c:pt idx="35">
                  <c:v>13</c:v>
                </c:pt>
                <c:pt idx="36">
                  <c:v>14</c:v>
                </c:pt>
                <c:pt idx="37">
                  <c:v>12</c:v>
                </c:pt>
                <c:pt idx="38">
                  <c:v>13</c:v>
                </c:pt>
                <c:pt idx="39">
                  <c:v>13</c:v>
                </c:pt>
                <c:pt idx="40">
                  <c:v>11</c:v>
                </c:pt>
                <c:pt idx="41">
                  <c:v>13</c:v>
                </c:pt>
                <c:pt idx="42">
                  <c:v>12</c:v>
                </c:pt>
                <c:pt idx="43">
                  <c:v>14</c:v>
                </c:pt>
                <c:pt idx="44">
                  <c:v>14</c:v>
                </c:pt>
                <c:pt idx="45">
                  <c:v>16</c:v>
                </c:pt>
                <c:pt idx="46">
                  <c:v>14</c:v>
                </c:pt>
                <c:pt idx="47">
                  <c:v>14</c:v>
                </c:pt>
                <c:pt idx="48">
                  <c:v>12</c:v>
                </c:pt>
                <c:pt idx="49">
                  <c:v>14</c:v>
                </c:pt>
                <c:pt idx="50">
                  <c:v>14</c:v>
                </c:pt>
                <c:pt idx="51">
                  <c:v>14</c:v>
                </c:pt>
                <c:pt idx="52">
                  <c:v>14</c:v>
                </c:pt>
                <c:pt idx="53">
                  <c:v>15</c:v>
                </c:pt>
                <c:pt idx="54">
                  <c:v>15</c:v>
                </c:pt>
                <c:pt idx="55">
                  <c:v>16</c:v>
                </c:pt>
                <c:pt idx="56">
                  <c:v>16</c:v>
                </c:pt>
                <c:pt idx="57">
                  <c:v>15</c:v>
                </c:pt>
                <c:pt idx="58">
                  <c:v>14</c:v>
                </c:pt>
                <c:pt idx="59">
                  <c:v>18</c:v>
                </c:pt>
                <c:pt idx="60">
                  <c:v>13</c:v>
                </c:pt>
                <c:pt idx="61">
                  <c:v>16</c:v>
                </c:pt>
                <c:pt idx="62">
                  <c:v>16</c:v>
                </c:pt>
                <c:pt idx="63">
                  <c:v>16</c:v>
                </c:pt>
              </c:numCache>
            </c:numRef>
          </c:yVal>
          <c:smooth val="0"/>
          <c:extLst>
            <c:ext xmlns:c16="http://schemas.microsoft.com/office/drawing/2014/chart" uri="{C3380CC4-5D6E-409C-BE32-E72D297353CC}">
              <c16:uniqueId val="{00000000-F145-4D93-BF94-C261D21BA7AC}"/>
            </c:ext>
          </c:extLst>
        </c:ser>
        <c:dLbls>
          <c:showLegendKey val="0"/>
          <c:showVal val="0"/>
          <c:showCatName val="0"/>
          <c:showSerName val="0"/>
          <c:showPercent val="0"/>
          <c:showBubbleSize val="0"/>
        </c:dLbls>
        <c:axId val="1266667504"/>
        <c:axId val="1266671664"/>
      </c:scatterChart>
      <c:valAx>
        <c:axId val="1266667504"/>
        <c:scaling>
          <c:orientation val="minMax"/>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Foglio1!$T$34</c:f>
              <c:strCache>
                <c:ptCount val="1"/>
                <c:pt idx="0">
                  <c:v>Is the calibration linear with intercept=0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260092488438945"/>
                  <c:y val="-6.7519025875190264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Foglio1!$T$37:$T$42</c:f>
              <c:numCache>
                <c:formatCode>General</c:formatCode>
                <c:ptCount val="6"/>
                <c:pt idx="0">
                  <c:v>1</c:v>
                </c:pt>
                <c:pt idx="1">
                  <c:v>1.5</c:v>
                </c:pt>
                <c:pt idx="2">
                  <c:v>2</c:v>
                </c:pt>
                <c:pt idx="3">
                  <c:v>2.5</c:v>
                </c:pt>
                <c:pt idx="4">
                  <c:v>3</c:v>
                </c:pt>
                <c:pt idx="5">
                  <c:v>4</c:v>
                </c:pt>
              </c:numCache>
            </c:numRef>
          </c:xVal>
          <c:yVal>
            <c:numRef>
              <c:f>Foglio1!$U$37:$U$42</c:f>
              <c:numCache>
                <c:formatCode>General</c:formatCode>
                <c:ptCount val="6"/>
                <c:pt idx="0">
                  <c:v>8335</c:v>
                </c:pt>
                <c:pt idx="1">
                  <c:v>12500</c:v>
                </c:pt>
                <c:pt idx="2">
                  <c:v>16665</c:v>
                </c:pt>
                <c:pt idx="3">
                  <c:v>20835</c:v>
                </c:pt>
                <c:pt idx="4">
                  <c:v>24996</c:v>
                </c:pt>
                <c:pt idx="5">
                  <c:v>33306</c:v>
                </c:pt>
              </c:numCache>
            </c:numRef>
          </c:yVal>
          <c:smooth val="0"/>
          <c:extLst>
            <c:ext xmlns:c16="http://schemas.microsoft.com/office/drawing/2014/chart" uri="{C3380CC4-5D6E-409C-BE32-E72D297353CC}">
              <c16:uniqueId val="{00000000-5A54-43B6-B91B-15C46893CB8B}"/>
            </c:ext>
          </c:extLst>
        </c:ser>
        <c:dLbls>
          <c:showLegendKey val="0"/>
          <c:showVal val="0"/>
          <c:showCatName val="0"/>
          <c:showSerName val="0"/>
          <c:showPercent val="0"/>
          <c:showBubbleSize val="0"/>
        </c:dLbls>
        <c:axId val="1527607343"/>
        <c:axId val="1527611919"/>
      </c:scatterChart>
      <c:valAx>
        <c:axId val="152760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11919"/>
        <c:crosses val="autoZero"/>
        <c:crossBetween val="midCat"/>
      </c:valAx>
      <c:valAx>
        <c:axId val="1527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073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035555555555554"/>
          <c:y val="3.6529680365296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Foglio1!$T$34</c:f>
              <c:strCache>
                <c:ptCount val="1"/>
                <c:pt idx="0">
                  <c:v>Is the calibration linear with intercept=0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260092488438945"/>
                  <c:y val="-6.7519025875190264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Foglio1!$T$37:$T$40</c:f>
              <c:numCache>
                <c:formatCode>General</c:formatCode>
                <c:ptCount val="4"/>
                <c:pt idx="0">
                  <c:v>1</c:v>
                </c:pt>
                <c:pt idx="1">
                  <c:v>1.5</c:v>
                </c:pt>
                <c:pt idx="2">
                  <c:v>2</c:v>
                </c:pt>
                <c:pt idx="3">
                  <c:v>2.5</c:v>
                </c:pt>
              </c:numCache>
            </c:numRef>
          </c:xVal>
          <c:yVal>
            <c:numRef>
              <c:f>Foglio1!$U$37:$U$40</c:f>
              <c:numCache>
                <c:formatCode>General</c:formatCode>
                <c:ptCount val="4"/>
                <c:pt idx="0">
                  <c:v>8335</c:v>
                </c:pt>
                <c:pt idx="1">
                  <c:v>12500</c:v>
                </c:pt>
                <c:pt idx="2">
                  <c:v>16665</c:v>
                </c:pt>
                <c:pt idx="3">
                  <c:v>20835</c:v>
                </c:pt>
              </c:numCache>
            </c:numRef>
          </c:yVal>
          <c:smooth val="0"/>
          <c:extLst>
            <c:ext xmlns:c16="http://schemas.microsoft.com/office/drawing/2014/chart" uri="{C3380CC4-5D6E-409C-BE32-E72D297353CC}">
              <c16:uniqueId val="{00000000-1E69-4959-A9FB-DF1E4ABF4F0E}"/>
            </c:ext>
          </c:extLst>
        </c:ser>
        <c:dLbls>
          <c:showLegendKey val="0"/>
          <c:showVal val="0"/>
          <c:showCatName val="0"/>
          <c:showSerName val="0"/>
          <c:showPercent val="0"/>
          <c:showBubbleSize val="0"/>
        </c:dLbls>
        <c:axId val="1527607343"/>
        <c:axId val="1527611919"/>
      </c:scatterChart>
      <c:valAx>
        <c:axId val="152760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11919"/>
        <c:crosses val="autoZero"/>
        <c:crossBetween val="midCat"/>
      </c:valAx>
      <c:valAx>
        <c:axId val="1527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073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Foglio1!$T$34</c:f>
              <c:strCache>
                <c:ptCount val="1"/>
                <c:pt idx="0">
                  <c:v>Is the calibration linear with intercept=0 ?</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260092488438945"/>
                  <c:y val="-6.7519025875190264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Foglio1!$W$37:$W$45</c:f>
              <c:numCache>
                <c:formatCode>General</c:formatCode>
                <c:ptCount val="9"/>
                <c:pt idx="0">
                  <c:v>1.6E-2</c:v>
                </c:pt>
                <c:pt idx="1">
                  <c:v>0.04</c:v>
                </c:pt>
                <c:pt idx="2">
                  <c:v>0.08</c:v>
                </c:pt>
                <c:pt idx="3">
                  <c:v>0.16</c:v>
                </c:pt>
                <c:pt idx="4">
                  <c:v>0.4</c:v>
                </c:pt>
                <c:pt idx="5">
                  <c:v>0.8</c:v>
                </c:pt>
                <c:pt idx="6">
                  <c:v>1.6</c:v>
                </c:pt>
                <c:pt idx="7">
                  <c:v>4</c:v>
                </c:pt>
                <c:pt idx="8">
                  <c:v>8</c:v>
                </c:pt>
              </c:numCache>
            </c:numRef>
          </c:xVal>
          <c:yVal>
            <c:numRef>
              <c:f>Foglio1!$V$37:$V$45</c:f>
              <c:numCache>
                <c:formatCode>General</c:formatCode>
                <c:ptCount val="9"/>
                <c:pt idx="0">
                  <c:v>118</c:v>
                </c:pt>
                <c:pt idx="1">
                  <c:v>293</c:v>
                </c:pt>
                <c:pt idx="2">
                  <c:v>585</c:v>
                </c:pt>
                <c:pt idx="3">
                  <c:v>1151</c:v>
                </c:pt>
                <c:pt idx="4">
                  <c:v>2895</c:v>
                </c:pt>
                <c:pt idx="5">
                  <c:v>5782</c:v>
                </c:pt>
                <c:pt idx="6">
                  <c:v>11356</c:v>
                </c:pt>
                <c:pt idx="7">
                  <c:v>28614</c:v>
                </c:pt>
                <c:pt idx="8">
                  <c:v>57018</c:v>
                </c:pt>
              </c:numCache>
            </c:numRef>
          </c:yVal>
          <c:smooth val="0"/>
          <c:extLst>
            <c:ext xmlns:c16="http://schemas.microsoft.com/office/drawing/2014/chart" uri="{C3380CC4-5D6E-409C-BE32-E72D297353CC}">
              <c16:uniqueId val="{00000000-8318-4628-9042-6D105F467F63}"/>
            </c:ext>
          </c:extLst>
        </c:ser>
        <c:dLbls>
          <c:showLegendKey val="0"/>
          <c:showVal val="0"/>
          <c:showCatName val="0"/>
          <c:showSerName val="0"/>
          <c:showPercent val="0"/>
          <c:showBubbleSize val="0"/>
        </c:dLbls>
        <c:axId val="1527607343"/>
        <c:axId val="1527611919"/>
      </c:scatterChart>
      <c:valAx>
        <c:axId val="152760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11919"/>
        <c:crosses val="autoZero"/>
        <c:crossBetween val="midCat"/>
      </c:valAx>
      <c:valAx>
        <c:axId val="1527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073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 test</a:t>
            </a:r>
            <a:r>
              <a:rPr lang="en-US"/>
              <a:t> Ecentroid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Foglio1!$A$415:$A$478</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Foglio1!$C$415:$C$478</c:f>
              <c:numCache>
                <c:formatCode>General</c:formatCode>
                <c:ptCount val="64"/>
                <c:pt idx="0">
                  <c:v>14235</c:v>
                </c:pt>
                <c:pt idx="1">
                  <c:v>14629</c:v>
                </c:pt>
                <c:pt idx="2">
                  <c:v>14383</c:v>
                </c:pt>
                <c:pt idx="3">
                  <c:v>14412</c:v>
                </c:pt>
                <c:pt idx="4">
                  <c:v>14253</c:v>
                </c:pt>
                <c:pt idx="5">
                  <c:v>14685</c:v>
                </c:pt>
                <c:pt idx="6">
                  <c:v>14318</c:v>
                </c:pt>
                <c:pt idx="7">
                  <c:v>14561</c:v>
                </c:pt>
                <c:pt idx="8">
                  <c:v>14319</c:v>
                </c:pt>
                <c:pt idx="9">
                  <c:v>15004</c:v>
                </c:pt>
                <c:pt idx="10">
                  <c:v>14276</c:v>
                </c:pt>
              </c:numCache>
            </c:numRef>
          </c:yVal>
          <c:smooth val="0"/>
          <c:extLst>
            <c:ext xmlns:c16="http://schemas.microsoft.com/office/drawing/2014/chart" uri="{C3380CC4-5D6E-409C-BE32-E72D297353CC}">
              <c16:uniqueId val="{00000000-A187-4B9D-9A5D-713EC920F727}"/>
            </c:ext>
          </c:extLst>
        </c:ser>
        <c:dLbls>
          <c:showLegendKey val="0"/>
          <c:showVal val="0"/>
          <c:showCatName val="0"/>
          <c:showSerName val="0"/>
          <c:showPercent val="0"/>
          <c:showBubbleSize val="0"/>
        </c:dLbls>
        <c:axId val="1266667504"/>
        <c:axId val="1266671664"/>
      </c:scatterChart>
      <c:valAx>
        <c:axId val="1266667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PA1 FWHM (ch)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Foglio1!$A$7:$A$70</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Foglio1!$D$7:$D$70</c:f>
              <c:numCache>
                <c:formatCode>General</c:formatCode>
                <c:ptCount val="64"/>
                <c:pt idx="0">
                  <c:v>14</c:v>
                </c:pt>
                <c:pt idx="1">
                  <c:v>13</c:v>
                </c:pt>
                <c:pt idx="2">
                  <c:v>11</c:v>
                </c:pt>
                <c:pt idx="3">
                  <c:v>14</c:v>
                </c:pt>
                <c:pt idx="4">
                  <c:v>11</c:v>
                </c:pt>
                <c:pt idx="5">
                  <c:v>12</c:v>
                </c:pt>
                <c:pt idx="6">
                  <c:v>13</c:v>
                </c:pt>
                <c:pt idx="7">
                  <c:v>14</c:v>
                </c:pt>
                <c:pt idx="8">
                  <c:v>11</c:v>
                </c:pt>
                <c:pt idx="9">
                  <c:v>12</c:v>
                </c:pt>
                <c:pt idx="10">
                  <c:v>16</c:v>
                </c:pt>
                <c:pt idx="11">
                  <c:v>12</c:v>
                </c:pt>
                <c:pt idx="12">
                  <c:v>12</c:v>
                </c:pt>
                <c:pt idx="13">
                  <c:v>13</c:v>
                </c:pt>
                <c:pt idx="14">
                  <c:v>13</c:v>
                </c:pt>
                <c:pt idx="15">
                  <c:v>14</c:v>
                </c:pt>
                <c:pt idx="16">
                  <c:v>14</c:v>
                </c:pt>
                <c:pt idx="17">
                  <c:v>13</c:v>
                </c:pt>
                <c:pt idx="18">
                  <c:v>13</c:v>
                </c:pt>
                <c:pt idx="19">
                  <c:v>13</c:v>
                </c:pt>
                <c:pt idx="20">
                  <c:v>14</c:v>
                </c:pt>
                <c:pt idx="21">
                  <c:v>14</c:v>
                </c:pt>
                <c:pt idx="22">
                  <c:v>11</c:v>
                </c:pt>
                <c:pt idx="23">
                  <c:v>12</c:v>
                </c:pt>
                <c:pt idx="24">
                  <c:v>12</c:v>
                </c:pt>
                <c:pt idx="25">
                  <c:v>12</c:v>
                </c:pt>
                <c:pt idx="26">
                  <c:v>12</c:v>
                </c:pt>
                <c:pt idx="27">
                  <c:v>12</c:v>
                </c:pt>
                <c:pt idx="28">
                  <c:v>12</c:v>
                </c:pt>
                <c:pt idx="29">
                  <c:v>12</c:v>
                </c:pt>
                <c:pt idx="30">
                  <c:v>14</c:v>
                </c:pt>
                <c:pt idx="31">
                  <c:v>13</c:v>
                </c:pt>
                <c:pt idx="32">
                  <c:v>11</c:v>
                </c:pt>
                <c:pt idx="33">
                  <c:v>12</c:v>
                </c:pt>
                <c:pt idx="34">
                  <c:v>11</c:v>
                </c:pt>
                <c:pt idx="35">
                  <c:v>11</c:v>
                </c:pt>
                <c:pt idx="36">
                  <c:v>12</c:v>
                </c:pt>
                <c:pt idx="37">
                  <c:v>11</c:v>
                </c:pt>
                <c:pt idx="38">
                  <c:v>11</c:v>
                </c:pt>
                <c:pt idx="39">
                  <c:v>12</c:v>
                </c:pt>
                <c:pt idx="40">
                  <c:v>12</c:v>
                </c:pt>
                <c:pt idx="41">
                  <c:v>11</c:v>
                </c:pt>
                <c:pt idx="42">
                  <c:v>12</c:v>
                </c:pt>
                <c:pt idx="43">
                  <c:v>12</c:v>
                </c:pt>
                <c:pt idx="44">
                  <c:v>12</c:v>
                </c:pt>
                <c:pt idx="45">
                  <c:v>13</c:v>
                </c:pt>
                <c:pt idx="46">
                  <c:v>11</c:v>
                </c:pt>
                <c:pt idx="47">
                  <c:v>13</c:v>
                </c:pt>
                <c:pt idx="48">
                  <c:v>12</c:v>
                </c:pt>
                <c:pt idx="49">
                  <c:v>12</c:v>
                </c:pt>
                <c:pt idx="50">
                  <c:v>14</c:v>
                </c:pt>
                <c:pt idx="51">
                  <c:v>13</c:v>
                </c:pt>
                <c:pt idx="52">
                  <c:v>11</c:v>
                </c:pt>
                <c:pt idx="53">
                  <c:v>13</c:v>
                </c:pt>
                <c:pt idx="54">
                  <c:v>12</c:v>
                </c:pt>
                <c:pt idx="55">
                  <c:v>13</c:v>
                </c:pt>
                <c:pt idx="56">
                  <c:v>12</c:v>
                </c:pt>
                <c:pt idx="57">
                  <c:v>13</c:v>
                </c:pt>
                <c:pt idx="58">
                  <c:v>12</c:v>
                </c:pt>
                <c:pt idx="59">
                  <c:v>13</c:v>
                </c:pt>
                <c:pt idx="60">
                  <c:v>12</c:v>
                </c:pt>
                <c:pt idx="61">
                  <c:v>13</c:v>
                </c:pt>
                <c:pt idx="62">
                  <c:v>13</c:v>
                </c:pt>
                <c:pt idx="63">
                  <c:v>12</c:v>
                </c:pt>
              </c:numCache>
            </c:numRef>
          </c:yVal>
          <c:smooth val="0"/>
          <c:extLst>
            <c:ext xmlns:c16="http://schemas.microsoft.com/office/drawing/2014/chart" uri="{C3380CC4-5D6E-409C-BE32-E72D297353CC}">
              <c16:uniqueId val="{00000000-2FAA-41A9-A8DF-2987E52E6893}"/>
            </c:ext>
          </c:extLst>
        </c:ser>
        <c:dLbls>
          <c:showLegendKey val="0"/>
          <c:showVal val="0"/>
          <c:showCatName val="0"/>
          <c:showSerName val="0"/>
          <c:showPercent val="0"/>
          <c:showBubbleSize val="0"/>
        </c:dLbls>
        <c:axId val="1266667504"/>
        <c:axId val="1266671664"/>
      </c:scatterChart>
      <c:valAx>
        <c:axId val="1266667504"/>
        <c:scaling>
          <c:orientation val="minMax"/>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PA2 Ecentroid (ch)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Foglio1!$A$82:$A$145</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Foglio1!$C$82:$C$145</c:f>
              <c:numCache>
                <c:formatCode>General</c:formatCode>
                <c:ptCount val="64"/>
                <c:pt idx="0">
                  <c:v>14392</c:v>
                </c:pt>
                <c:pt idx="1">
                  <c:v>14053</c:v>
                </c:pt>
                <c:pt idx="2">
                  <c:v>14196</c:v>
                </c:pt>
                <c:pt idx="3">
                  <c:v>14020</c:v>
                </c:pt>
                <c:pt idx="4">
                  <c:v>14222</c:v>
                </c:pt>
                <c:pt idx="5">
                  <c:v>14275</c:v>
                </c:pt>
                <c:pt idx="6">
                  <c:v>14193</c:v>
                </c:pt>
                <c:pt idx="7">
                  <c:v>13939</c:v>
                </c:pt>
                <c:pt idx="8">
                  <c:v>14296</c:v>
                </c:pt>
                <c:pt idx="9">
                  <c:v>13903</c:v>
                </c:pt>
                <c:pt idx="10">
                  <c:v>14584</c:v>
                </c:pt>
                <c:pt idx="11">
                  <c:v>14171</c:v>
                </c:pt>
                <c:pt idx="12">
                  <c:v>14565</c:v>
                </c:pt>
                <c:pt idx="13">
                  <c:v>13925</c:v>
                </c:pt>
                <c:pt idx="14">
                  <c:v>14536</c:v>
                </c:pt>
                <c:pt idx="15">
                  <c:v>14091.5</c:v>
                </c:pt>
                <c:pt idx="16">
                  <c:v>14314</c:v>
                </c:pt>
                <c:pt idx="17">
                  <c:v>13972</c:v>
                </c:pt>
                <c:pt idx="18">
                  <c:v>14320</c:v>
                </c:pt>
                <c:pt idx="19">
                  <c:v>14358</c:v>
                </c:pt>
                <c:pt idx="20">
                  <c:v>14211</c:v>
                </c:pt>
                <c:pt idx="21">
                  <c:v>14385</c:v>
                </c:pt>
                <c:pt idx="22">
                  <c:v>14506</c:v>
                </c:pt>
                <c:pt idx="23">
                  <c:v>14346</c:v>
                </c:pt>
                <c:pt idx="24">
                  <c:v>14765</c:v>
                </c:pt>
                <c:pt idx="25">
                  <c:v>13974.5</c:v>
                </c:pt>
                <c:pt idx="26">
                  <c:v>14309</c:v>
                </c:pt>
                <c:pt idx="27">
                  <c:v>14344</c:v>
                </c:pt>
                <c:pt idx="28">
                  <c:v>14234</c:v>
                </c:pt>
                <c:pt idx="29">
                  <c:v>14157</c:v>
                </c:pt>
                <c:pt idx="30">
                  <c:v>14261</c:v>
                </c:pt>
                <c:pt idx="31">
                  <c:v>14713</c:v>
                </c:pt>
                <c:pt idx="32">
                  <c:v>14413</c:v>
                </c:pt>
                <c:pt idx="33">
                  <c:v>14021</c:v>
                </c:pt>
                <c:pt idx="34">
                  <c:v>14608</c:v>
                </c:pt>
                <c:pt idx="35">
                  <c:v>14184</c:v>
                </c:pt>
                <c:pt idx="36">
                  <c:v>14619.5</c:v>
                </c:pt>
                <c:pt idx="37">
                  <c:v>14394</c:v>
                </c:pt>
                <c:pt idx="38">
                  <c:v>14741</c:v>
                </c:pt>
                <c:pt idx="39">
                  <c:v>14002</c:v>
                </c:pt>
                <c:pt idx="40">
                  <c:v>14607</c:v>
                </c:pt>
                <c:pt idx="41">
                  <c:v>14392</c:v>
                </c:pt>
                <c:pt idx="42">
                  <c:v>14488</c:v>
                </c:pt>
                <c:pt idx="43">
                  <c:v>14285</c:v>
                </c:pt>
                <c:pt idx="44">
                  <c:v>14265</c:v>
                </c:pt>
                <c:pt idx="45">
                  <c:v>14226</c:v>
                </c:pt>
                <c:pt idx="46">
                  <c:v>14498</c:v>
                </c:pt>
                <c:pt idx="47">
                  <c:v>14218</c:v>
                </c:pt>
                <c:pt idx="48">
                  <c:v>14248</c:v>
                </c:pt>
                <c:pt idx="49">
                  <c:v>14022</c:v>
                </c:pt>
                <c:pt idx="50">
                  <c:v>14523</c:v>
                </c:pt>
                <c:pt idx="51">
                  <c:v>14366</c:v>
                </c:pt>
                <c:pt idx="52">
                  <c:v>14175</c:v>
                </c:pt>
                <c:pt idx="53">
                  <c:v>14027</c:v>
                </c:pt>
                <c:pt idx="54">
                  <c:v>14114.5</c:v>
                </c:pt>
                <c:pt idx="55">
                  <c:v>14101</c:v>
                </c:pt>
                <c:pt idx="56">
                  <c:v>14262</c:v>
                </c:pt>
                <c:pt idx="57">
                  <c:v>14083</c:v>
                </c:pt>
                <c:pt idx="58">
                  <c:v>14278</c:v>
                </c:pt>
                <c:pt idx="59">
                  <c:v>13742</c:v>
                </c:pt>
                <c:pt idx="60">
                  <c:v>14049</c:v>
                </c:pt>
                <c:pt idx="61">
                  <c:v>13941</c:v>
                </c:pt>
                <c:pt idx="62">
                  <c:v>14346</c:v>
                </c:pt>
                <c:pt idx="63">
                  <c:v>14063</c:v>
                </c:pt>
              </c:numCache>
            </c:numRef>
          </c:yVal>
          <c:smooth val="0"/>
          <c:extLst>
            <c:ext xmlns:c16="http://schemas.microsoft.com/office/drawing/2014/chart" uri="{C3380CC4-5D6E-409C-BE32-E72D297353CC}">
              <c16:uniqueId val="{00000000-3C54-484D-8361-307628D71D96}"/>
            </c:ext>
          </c:extLst>
        </c:ser>
        <c:dLbls>
          <c:showLegendKey val="0"/>
          <c:showVal val="0"/>
          <c:showCatName val="0"/>
          <c:showSerName val="0"/>
          <c:showPercent val="0"/>
          <c:showBubbleSize val="0"/>
        </c:dLbls>
        <c:axId val="1266667504"/>
        <c:axId val="1266671664"/>
      </c:scatterChart>
      <c:valAx>
        <c:axId val="1266667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PA2 FWHM (ch)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Foglio1!$A$82:$A$145</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Foglio1!$D$82:$D$145</c:f>
              <c:numCache>
                <c:formatCode>General</c:formatCode>
                <c:ptCount val="64"/>
                <c:pt idx="0">
                  <c:v>15</c:v>
                </c:pt>
                <c:pt idx="1">
                  <c:v>14</c:v>
                </c:pt>
                <c:pt idx="2">
                  <c:v>15</c:v>
                </c:pt>
                <c:pt idx="3">
                  <c:v>14</c:v>
                </c:pt>
                <c:pt idx="4">
                  <c:v>13</c:v>
                </c:pt>
                <c:pt idx="5">
                  <c:v>14</c:v>
                </c:pt>
                <c:pt idx="6">
                  <c:v>13</c:v>
                </c:pt>
                <c:pt idx="7">
                  <c:v>16</c:v>
                </c:pt>
                <c:pt idx="8">
                  <c:v>15</c:v>
                </c:pt>
                <c:pt idx="9">
                  <c:v>12</c:v>
                </c:pt>
                <c:pt idx="10">
                  <c:v>13</c:v>
                </c:pt>
                <c:pt idx="11">
                  <c:v>13</c:v>
                </c:pt>
                <c:pt idx="12">
                  <c:v>12</c:v>
                </c:pt>
                <c:pt idx="13">
                  <c:v>14</c:v>
                </c:pt>
                <c:pt idx="14">
                  <c:v>14</c:v>
                </c:pt>
                <c:pt idx="15">
                  <c:v>13</c:v>
                </c:pt>
                <c:pt idx="16">
                  <c:v>14</c:v>
                </c:pt>
                <c:pt idx="17">
                  <c:v>12</c:v>
                </c:pt>
                <c:pt idx="18">
                  <c:v>11</c:v>
                </c:pt>
                <c:pt idx="19">
                  <c:v>12</c:v>
                </c:pt>
                <c:pt idx="20">
                  <c:v>13</c:v>
                </c:pt>
                <c:pt idx="21">
                  <c:v>13</c:v>
                </c:pt>
                <c:pt idx="22">
                  <c:v>12</c:v>
                </c:pt>
                <c:pt idx="23">
                  <c:v>15</c:v>
                </c:pt>
                <c:pt idx="24">
                  <c:v>12</c:v>
                </c:pt>
                <c:pt idx="25">
                  <c:v>15</c:v>
                </c:pt>
                <c:pt idx="26">
                  <c:v>16</c:v>
                </c:pt>
                <c:pt idx="27">
                  <c:v>13</c:v>
                </c:pt>
                <c:pt idx="28">
                  <c:v>11</c:v>
                </c:pt>
                <c:pt idx="29">
                  <c:v>14</c:v>
                </c:pt>
                <c:pt idx="30">
                  <c:v>10</c:v>
                </c:pt>
                <c:pt idx="31">
                  <c:v>12</c:v>
                </c:pt>
                <c:pt idx="32">
                  <c:v>12</c:v>
                </c:pt>
                <c:pt idx="33">
                  <c:v>12</c:v>
                </c:pt>
                <c:pt idx="34">
                  <c:v>12</c:v>
                </c:pt>
                <c:pt idx="35">
                  <c:v>12</c:v>
                </c:pt>
                <c:pt idx="36">
                  <c:v>11</c:v>
                </c:pt>
                <c:pt idx="37">
                  <c:v>12</c:v>
                </c:pt>
                <c:pt idx="38">
                  <c:v>13</c:v>
                </c:pt>
                <c:pt idx="39">
                  <c:v>11</c:v>
                </c:pt>
                <c:pt idx="40">
                  <c:v>12</c:v>
                </c:pt>
                <c:pt idx="41">
                  <c:v>12</c:v>
                </c:pt>
                <c:pt idx="42">
                  <c:v>12</c:v>
                </c:pt>
                <c:pt idx="43">
                  <c:v>11</c:v>
                </c:pt>
                <c:pt idx="44">
                  <c:v>11</c:v>
                </c:pt>
                <c:pt idx="45">
                  <c:v>12</c:v>
                </c:pt>
                <c:pt idx="46">
                  <c:v>12</c:v>
                </c:pt>
                <c:pt idx="47">
                  <c:v>12</c:v>
                </c:pt>
                <c:pt idx="48">
                  <c:v>14</c:v>
                </c:pt>
                <c:pt idx="49">
                  <c:v>12</c:v>
                </c:pt>
                <c:pt idx="50">
                  <c:v>12</c:v>
                </c:pt>
                <c:pt idx="51">
                  <c:v>13</c:v>
                </c:pt>
                <c:pt idx="52">
                  <c:v>12</c:v>
                </c:pt>
                <c:pt idx="53">
                  <c:v>11</c:v>
                </c:pt>
                <c:pt idx="54">
                  <c:v>12</c:v>
                </c:pt>
                <c:pt idx="55">
                  <c:v>13</c:v>
                </c:pt>
                <c:pt idx="56">
                  <c:v>14</c:v>
                </c:pt>
                <c:pt idx="57">
                  <c:v>12</c:v>
                </c:pt>
                <c:pt idx="58">
                  <c:v>14</c:v>
                </c:pt>
                <c:pt idx="59">
                  <c:v>14</c:v>
                </c:pt>
                <c:pt idx="60">
                  <c:v>13</c:v>
                </c:pt>
                <c:pt idx="61">
                  <c:v>13</c:v>
                </c:pt>
                <c:pt idx="62">
                  <c:v>13</c:v>
                </c:pt>
                <c:pt idx="63">
                  <c:v>14</c:v>
                </c:pt>
              </c:numCache>
            </c:numRef>
          </c:yVal>
          <c:smooth val="0"/>
          <c:extLst>
            <c:ext xmlns:c16="http://schemas.microsoft.com/office/drawing/2014/chart" uri="{C3380CC4-5D6E-409C-BE32-E72D297353CC}">
              <c16:uniqueId val="{00000000-FCF4-4C3B-9B3E-2D8BF6BD64D7}"/>
            </c:ext>
          </c:extLst>
        </c:ser>
        <c:dLbls>
          <c:showLegendKey val="0"/>
          <c:showVal val="0"/>
          <c:showCatName val="0"/>
          <c:showSerName val="0"/>
          <c:showPercent val="0"/>
          <c:showBubbleSize val="0"/>
        </c:dLbls>
        <c:axId val="1266667504"/>
        <c:axId val="1266671664"/>
      </c:scatterChart>
      <c:valAx>
        <c:axId val="1266667504"/>
        <c:scaling>
          <c:orientation val="minMax"/>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PA3 Ecentroid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Foglio1!$A$158:$A$221</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Foglio1!$C$158:$C$221</c:f>
              <c:numCache>
                <c:formatCode>General</c:formatCode>
                <c:ptCount val="64"/>
                <c:pt idx="1">
                  <c:v>14596</c:v>
                </c:pt>
                <c:pt idx="2">
                  <c:v>14209</c:v>
                </c:pt>
                <c:pt idx="3">
                  <c:v>14153</c:v>
                </c:pt>
                <c:pt idx="5">
                  <c:v>14515</c:v>
                </c:pt>
                <c:pt idx="6">
                  <c:v>14616.5</c:v>
                </c:pt>
                <c:pt idx="7">
                  <c:v>14397</c:v>
                </c:pt>
                <c:pt idx="8">
                  <c:v>14398</c:v>
                </c:pt>
                <c:pt idx="9">
                  <c:v>14094.5</c:v>
                </c:pt>
                <c:pt idx="11">
                  <c:v>13984.5</c:v>
                </c:pt>
                <c:pt idx="12">
                  <c:v>14130</c:v>
                </c:pt>
                <c:pt idx="13">
                  <c:v>14540</c:v>
                </c:pt>
                <c:pt idx="14">
                  <c:v>14450.5</c:v>
                </c:pt>
                <c:pt idx="15">
                  <c:v>14535.5</c:v>
                </c:pt>
                <c:pt idx="16">
                  <c:v>14082</c:v>
                </c:pt>
                <c:pt idx="17">
                  <c:v>14527</c:v>
                </c:pt>
                <c:pt idx="18">
                  <c:v>14595</c:v>
                </c:pt>
                <c:pt idx="19">
                  <c:v>14624</c:v>
                </c:pt>
                <c:pt idx="20">
                  <c:v>14245</c:v>
                </c:pt>
                <c:pt idx="21">
                  <c:v>14524</c:v>
                </c:pt>
                <c:pt idx="22">
                  <c:v>14572</c:v>
                </c:pt>
                <c:pt idx="23">
                  <c:v>14823</c:v>
                </c:pt>
                <c:pt idx="24">
                  <c:v>14472</c:v>
                </c:pt>
                <c:pt idx="25">
                  <c:v>14629</c:v>
                </c:pt>
                <c:pt idx="26">
                  <c:v>14591</c:v>
                </c:pt>
                <c:pt idx="27">
                  <c:v>14412</c:v>
                </c:pt>
                <c:pt idx="29">
                  <c:v>14843</c:v>
                </c:pt>
                <c:pt idx="31">
                  <c:v>14516</c:v>
                </c:pt>
                <c:pt idx="32">
                  <c:v>14358</c:v>
                </c:pt>
                <c:pt idx="33">
                  <c:v>14618</c:v>
                </c:pt>
                <c:pt idx="34">
                  <c:v>14603</c:v>
                </c:pt>
                <c:pt idx="35">
                  <c:v>14337</c:v>
                </c:pt>
                <c:pt idx="36">
                  <c:v>15008</c:v>
                </c:pt>
                <c:pt idx="46">
                  <c:v>14209</c:v>
                </c:pt>
                <c:pt idx="49">
                  <c:v>14507</c:v>
                </c:pt>
                <c:pt idx="51">
                  <c:v>14636</c:v>
                </c:pt>
                <c:pt idx="53">
                  <c:v>14397</c:v>
                </c:pt>
                <c:pt idx="55">
                  <c:v>14544.5</c:v>
                </c:pt>
                <c:pt idx="57">
                  <c:v>14850</c:v>
                </c:pt>
                <c:pt idx="59">
                  <c:v>14511</c:v>
                </c:pt>
                <c:pt idx="61">
                  <c:v>14254</c:v>
                </c:pt>
                <c:pt idx="63">
                  <c:v>14828</c:v>
                </c:pt>
              </c:numCache>
            </c:numRef>
          </c:yVal>
          <c:smooth val="0"/>
          <c:extLst>
            <c:ext xmlns:c16="http://schemas.microsoft.com/office/drawing/2014/chart" uri="{C3380CC4-5D6E-409C-BE32-E72D297353CC}">
              <c16:uniqueId val="{00000000-5C64-4BE2-B3F4-344A02466392}"/>
            </c:ext>
          </c:extLst>
        </c:ser>
        <c:dLbls>
          <c:showLegendKey val="0"/>
          <c:showVal val="0"/>
          <c:showCatName val="0"/>
          <c:showSerName val="0"/>
          <c:showPercent val="0"/>
          <c:showBubbleSize val="0"/>
        </c:dLbls>
        <c:axId val="1266667504"/>
        <c:axId val="1266671664"/>
      </c:scatterChart>
      <c:valAx>
        <c:axId val="1266667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PA3 FWHM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Foglio1!$A$158:$A$221</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Foglio1!$D$158:$D$221</c:f>
              <c:numCache>
                <c:formatCode>General</c:formatCode>
                <c:ptCount val="64"/>
                <c:pt idx="1">
                  <c:v>14</c:v>
                </c:pt>
                <c:pt idx="2">
                  <c:v>15</c:v>
                </c:pt>
                <c:pt idx="3">
                  <c:v>14</c:v>
                </c:pt>
                <c:pt idx="5">
                  <c:v>14</c:v>
                </c:pt>
                <c:pt idx="6">
                  <c:v>14</c:v>
                </c:pt>
                <c:pt idx="7">
                  <c:v>13</c:v>
                </c:pt>
                <c:pt idx="8">
                  <c:v>14</c:v>
                </c:pt>
                <c:pt idx="9">
                  <c:v>13</c:v>
                </c:pt>
                <c:pt idx="11">
                  <c:v>13</c:v>
                </c:pt>
                <c:pt idx="12">
                  <c:v>13</c:v>
                </c:pt>
                <c:pt idx="13">
                  <c:v>13</c:v>
                </c:pt>
                <c:pt idx="14">
                  <c:v>14</c:v>
                </c:pt>
                <c:pt idx="15">
                  <c:v>13</c:v>
                </c:pt>
                <c:pt idx="16">
                  <c:v>13</c:v>
                </c:pt>
                <c:pt idx="17">
                  <c:v>14</c:v>
                </c:pt>
                <c:pt idx="18">
                  <c:v>13</c:v>
                </c:pt>
                <c:pt idx="19">
                  <c:v>12</c:v>
                </c:pt>
                <c:pt idx="20">
                  <c:v>14</c:v>
                </c:pt>
                <c:pt idx="21">
                  <c:v>13</c:v>
                </c:pt>
                <c:pt idx="22">
                  <c:v>14</c:v>
                </c:pt>
                <c:pt idx="23">
                  <c:v>14</c:v>
                </c:pt>
                <c:pt idx="24">
                  <c:v>13</c:v>
                </c:pt>
                <c:pt idx="25">
                  <c:v>13</c:v>
                </c:pt>
                <c:pt idx="26">
                  <c:v>14</c:v>
                </c:pt>
                <c:pt idx="27">
                  <c:v>13</c:v>
                </c:pt>
                <c:pt idx="29">
                  <c:v>13</c:v>
                </c:pt>
                <c:pt idx="31">
                  <c:v>12</c:v>
                </c:pt>
                <c:pt idx="32">
                  <c:v>14</c:v>
                </c:pt>
                <c:pt idx="33">
                  <c:v>500</c:v>
                </c:pt>
                <c:pt idx="34">
                  <c:v>20</c:v>
                </c:pt>
                <c:pt idx="35">
                  <c:v>500</c:v>
                </c:pt>
                <c:pt idx="36">
                  <c:v>13</c:v>
                </c:pt>
                <c:pt idx="46">
                  <c:v>15</c:v>
                </c:pt>
                <c:pt idx="49">
                  <c:v>14</c:v>
                </c:pt>
                <c:pt idx="51">
                  <c:v>14</c:v>
                </c:pt>
                <c:pt idx="53">
                  <c:v>14</c:v>
                </c:pt>
                <c:pt idx="55">
                  <c:v>15</c:v>
                </c:pt>
                <c:pt idx="57">
                  <c:v>14</c:v>
                </c:pt>
                <c:pt idx="59">
                  <c:v>15</c:v>
                </c:pt>
                <c:pt idx="61">
                  <c:v>15</c:v>
                </c:pt>
                <c:pt idx="63">
                  <c:v>15</c:v>
                </c:pt>
              </c:numCache>
            </c:numRef>
          </c:yVal>
          <c:smooth val="0"/>
          <c:extLst>
            <c:ext xmlns:c16="http://schemas.microsoft.com/office/drawing/2014/chart" uri="{C3380CC4-5D6E-409C-BE32-E72D297353CC}">
              <c16:uniqueId val="{00000000-0B44-4734-8837-877CCFE54861}"/>
            </c:ext>
          </c:extLst>
        </c:ser>
        <c:dLbls>
          <c:showLegendKey val="0"/>
          <c:showVal val="0"/>
          <c:showCatName val="0"/>
          <c:showSerName val="0"/>
          <c:showPercent val="0"/>
          <c:showBubbleSize val="0"/>
        </c:dLbls>
        <c:axId val="1266667504"/>
        <c:axId val="1266671664"/>
      </c:scatterChart>
      <c:valAx>
        <c:axId val="1266667504"/>
        <c:scaling>
          <c:orientation val="minMax"/>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PA4 Ecentroid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Foglio1!$A$233:$A$296</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Foglio1!$C$233:$C$296</c:f>
              <c:numCache>
                <c:formatCode>General</c:formatCode>
                <c:ptCount val="64"/>
                <c:pt idx="0">
                  <c:v>14237</c:v>
                </c:pt>
                <c:pt idx="1">
                  <c:v>14285</c:v>
                </c:pt>
                <c:pt idx="2">
                  <c:v>14408</c:v>
                </c:pt>
                <c:pt idx="3">
                  <c:v>14583</c:v>
                </c:pt>
                <c:pt idx="4">
                  <c:v>14332</c:v>
                </c:pt>
                <c:pt idx="5">
                  <c:v>14735</c:v>
                </c:pt>
                <c:pt idx="6">
                  <c:v>14043</c:v>
                </c:pt>
                <c:pt idx="7">
                  <c:v>13898</c:v>
                </c:pt>
                <c:pt idx="8">
                  <c:v>14353.5</c:v>
                </c:pt>
                <c:pt idx="9">
                  <c:v>14728</c:v>
                </c:pt>
                <c:pt idx="10">
                  <c:v>14010</c:v>
                </c:pt>
                <c:pt idx="11">
                  <c:v>14601</c:v>
                </c:pt>
                <c:pt idx="12">
                  <c:v>14373</c:v>
                </c:pt>
                <c:pt idx="13">
                  <c:v>14460</c:v>
                </c:pt>
                <c:pt idx="14">
                  <c:v>14105</c:v>
                </c:pt>
                <c:pt idx="15">
                  <c:v>14502</c:v>
                </c:pt>
                <c:pt idx="16">
                  <c:v>14544</c:v>
                </c:pt>
                <c:pt idx="17">
                  <c:v>14567</c:v>
                </c:pt>
                <c:pt idx="18">
                  <c:v>14738</c:v>
                </c:pt>
                <c:pt idx="19">
                  <c:v>14552</c:v>
                </c:pt>
                <c:pt idx="20">
                  <c:v>14224</c:v>
                </c:pt>
                <c:pt idx="21">
                  <c:v>14618</c:v>
                </c:pt>
                <c:pt idx="22">
                  <c:v>14323</c:v>
                </c:pt>
                <c:pt idx="23">
                  <c:v>14459</c:v>
                </c:pt>
                <c:pt idx="24">
                  <c:v>14207</c:v>
                </c:pt>
                <c:pt idx="25">
                  <c:v>14755</c:v>
                </c:pt>
                <c:pt idx="26">
                  <c:v>14370</c:v>
                </c:pt>
                <c:pt idx="27">
                  <c:v>14762.5</c:v>
                </c:pt>
                <c:pt idx="28">
                  <c:v>14262</c:v>
                </c:pt>
                <c:pt idx="29">
                  <c:v>14884</c:v>
                </c:pt>
                <c:pt idx="30">
                  <c:v>14418</c:v>
                </c:pt>
                <c:pt idx="31">
                  <c:v>14421</c:v>
                </c:pt>
                <c:pt idx="32">
                  <c:v>14366</c:v>
                </c:pt>
                <c:pt idx="33">
                  <c:v>14404</c:v>
                </c:pt>
                <c:pt idx="34">
                  <c:v>14219.5</c:v>
                </c:pt>
                <c:pt idx="35">
                  <c:v>14851</c:v>
                </c:pt>
                <c:pt idx="36">
                  <c:v>14477</c:v>
                </c:pt>
                <c:pt idx="37">
                  <c:v>13999</c:v>
                </c:pt>
                <c:pt idx="38">
                  <c:v>14197</c:v>
                </c:pt>
                <c:pt idx="39">
                  <c:v>14624</c:v>
                </c:pt>
                <c:pt idx="40">
                  <c:v>14569</c:v>
                </c:pt>
                <c:pt idx="41">
                  <c:v>14395</c:v>
                </c:pt>
                <c:pt idx="42">
                  <c:v>14312</c:v>
                </c:pt>
                <c:pt idx="43">
                  <c:v>14957</c:v>
                </c:pt>
                <c:pt idx="44">
                  <c:v>14039.5</c:v>
                </c:pt>
                <c:pt idx="45">
                  <c:v>13550</c:v>
                </c:pt>
                <c:pt idx="46">
                  <c:v>14210.5</c:v>
                </c:pt>
                <c:pt idx="47">
                  <c:v>14638</c:v>
                </c:pt>
                <c:pt idx="48">
                  <c:v>14098</c:v>
                </c:pt>
                <c:pt idx="49">
                  <c:v>14284</c:v>
                </c:pt>
                <c:pt idx="50">
                  <c:v>14356</c:v>
                </c:pt>
                <c:pt idx="51">
                  <c:v>13984</c:v>
                </c:pt>
                <c:pt idx="52">
                  <c:v>14646</c:v>
                </c:pt>
                <c:pt idx="53">
                  <c:v>14401</c:v>
                </c:pt>
                <c:pt idx="54">
                  <c:v>14315</c:v>
                </c:pt>
                <c:pt idx="55">
                  <c:v>14448</c:v>
                </c:pt>
                <c:pt idx="56">
                  <c:v>14224</c:v>
                </c:pt>
                <c:pt idx="57">
                  <c:v>14651</c:v>
                </c:pt>
                <c:pt idx="58">
                  <c:v>13891</c:v>
                </c:pt>
                <c:pt idx="59">
                  <c:v>14237</c:v>
                </c:pt>
                <c:pt idx="60">
                  <c:v>14235</c:v>
                </c:pt>
                <c:pt idx="61">
                  <c:v>14254</c:v>
                </c:pt>
                <c:pt idx="62">
                  <c:v>14183</c:v>
                </c:pt>
                <c:pt idx="63">
                  <c:v>14497</c:v>
                </c:pt>
              </c:numCache>
            </c:numRef>
          </c:yVal>
          <c:smooth val="0"/>
          <c:extLst>
            <c:ext xmlns:c16="http://schemas.microsoft.com/office/drawing/2014/chart" uri="{C3380CC4-5D6E-409C-BE32-E72D297353CC}">
              <c16:uniqueId val="{00000000-D12C-4FDF-B711-132D24937D66}"/>
            </c:ext>
          </c:extLst>
        </c:ser>
        <c:dLbls>
          <c:showLegendKey val="0"/>
          <c:showVal val="0"/>
          <c:showCatName val="0"/>
          <c:showSerName val="0"/>
          <c:showPercent val="0"/>
          <c:showBubbleSize val="0"/>
        </c:dLbls>
        <c:axId val="1266667504"/>
        <c:axId val="1266671664"/>
      </c:scatterChart>
      <c:valAx>
        <c:axId val="1266667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PA4 FWHM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Foglio1!$A$233:$A$296</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Foglio1!$D$233:$D$296</c:f>
              <c:numCache>
                <c:formatCode>General</c:formatCode>
                <c:ptCount val="64"/>
                <c:pt idx="0">
                  <c:v>13</c:v>
                </c:pt>
                <c:pt idx="1">
                  <c:v>13</c:v>
                </c:pt>
                <c:pt idx="2">
                  <c:v>12</c:v>
                </c:pt>
                <c:pt idx="3">
                  <c:v>13</c:v>
                </c:pt>
                <c:pt idx="4">
                  <c:v>13</c:v>
                </c:pt>
                <c:pt idx="5">
                  <c:v>14</c:v>
                </c:pt>
                <c:pt idx="6">
                  <c:v>13</c:v>
                </c:pt>
                <c:pt idx="7">
                  <c:v>13</c:v>
                </c:pt>
                <c:pt idx="8">
                  <c:v>13</c:v>
                </c:pt>
                <c:pt idx="9">
                  <c:v>14</c:v>
                </c:pt>
                <c:pt idx="10">
                  <c:v>14</c:v>
                </c:pt>
                <c:pt idx="11">
                  <c:v>14</c:v>
                </c:pt>
                <c:pt idx="12">
                  <c:v>14</c:v>
                </c:pt>
                <c:pt idx="13">
                  <c:v>13</c:v>
                </c:pt>
                <c:pt idx="14">
                  <c:v>13</c:v>
                </c:pt>
                <c:pt idx="15">
                  <c:v>13</c:v>
                </c:pt>
                <c:pt idx="16">
                  <c:v>12</c:v>
                </c:pt>
                <c:pt idx="17">
                  <c:v>13</c:v>
                </c:pt>
                <c:pt idx="18">
                  <c:v>14</c:v>
                </c:pt>
                <c:pt idx="19">
                  <c:v>14</c:v>
                </c:pt>
                <c:pt idx="20">
                  <c:v>13</c:v>
                </c:pt>
                <c:pt idx="21">
                  <c:v>13</c:v>
                </c:pt>
                <c:pt idx="22">
                  <c:v>14</c:v>
                </c:pt>
                <c:pt idx="23">
                  <c:v>14</c:v>
                </c:pt>
                <c:pt idx="24">
                  <c:v>14</c:v>
                </c:pt>
                <c:pt idx="25">
                  <c:v>14</c:v>
                </c:pt>
                <c:pt idx="26">
                  <c:v>13</c:v>
                </c:pt>
                <c:pt idx="27">
                  <c:v>16</c:v>
                </c:pt>
                <c:pt idx="28">
                  <c:v>15</c:v>
                </c:pt>
                <c:pt idx="29">
                  <c:v>16</c:v>
                </c:pt>
                <c:pt idx="30">
                  <c:v>14</c:v>
                </c:pt>
                <c:pt idx="31">
                  <c:v>17</c:v>
                </c:pt>
                <c:pt idx="32">
                  <c:v>12</c:v>
                </c:pt>
                <c:pt idx="33">
                  <c:v>13</c:v>
                </c:pt>
                <c:pt idx="34">
                  <c:v>12</c:v>
                </c:pt>
                <c:pt idx="35">
                  <c:v>15</c:v>
                </c:pt>
                <c:pt idx="36">
                  <c:v>14</c:v>
                </c:pt>
                <c:pt idx="37">
                  <c:v>14</c:v>
                </c:pt>
                <c:pt idx="38">
                  <c:v>13</c:v>
                </c:pt>
                <c:pt idx="39">
                  <c:v>14</c:v>
                </c:pt>
                <c:pt idx="40">
                  <c:v>12</c:v>
                </c:pt>
                <c:pt idx="41">
                  <c:v>15</c:v>
                </c:pt>
                <c:pt idx="42">
                  <c:v>14</c:v>
                </c:pt>
                <c:pt idx="43">
                  <c:v>14</c:v>
                </c:pt>
                <c:pt idx="44">
                  <c:v>13</c:v>
                </c:pt>
                <c:pt idx="45">
                  <c:v>14</c:v>
                </c:pt>
                <c:pt idx="46">
                  <c:v>16</c:v>
                </c:pt>
                <c:pt idx="47">
                  <c:v>16</c:v>
                </c:pt>
                <c:pt idx="48">
                  <c:v>16</c:v>
                </c:pt>
                <c:pt idx="49">
                  <c:v>15</c:v>
                </c:pt>
                <c:pt idx="50">
                  <c:v>14</c:v>
                </c:pt>
                <c:pt idx="51">
                  <c:v>14</c:v>
                </c:pt>
                <c:pt idx="52">
                  <c:v>18</c:v>
                </c:pt>
                <c:pt idx="53">
                  <c:v>17</c:v>
                </c:pt>
                <c:pt idx="54">
                  <c:v>16</c:v>
                </c:pt>
                <c:pt idx="55">
                  <c:v>17</c:v>
                </c:pt>
                <c:pt idx="56">
                  <c:v>17</c:v>
                </c:pt>
                <c:pt idx="57">
                  <c:v>17</c:v>
                </c:pt>
                <c:pt idx="58">
                  <c:v>16</c:v>
                </c:pt>
                <c:pt idx="59">
                  <c:v>18</c:v>
                </c:pt>
                <c:pt idx="60">
                  <c:v>16</c:v>
                </c:pt>
                <c:pt idx="61">
                  <c:v>16</c:v>
                </c:pt>
                <c:pt idx="62">
                  <c:v>15</c:v>
                </c:pt>
                <c:pt idx="63">
                  <c:v>18</c:v>
                </c:pt>
              </c:numCache>
            </c:numRef>
          </c:yVal>
          <c:smooth val="0"/>
          <c:extLst>
            <c:ext xmlns:c16="http://schemas.microsoft.com/office/drawing/2014/chart" uri="{C3380CC4-5D6E-409C-BE32-E72D297353CC}">
              <c16:uniqueId val="{00000000-F8F7-4BB1-8CAF-B63606F195D8}"/>
            </c:ext>
          </c:extLst>
        </c:ser>
        <c:dLbls>
          <c:showLegendKey val="0"/>
          <c:showVal val="0"/>
          <c:showCatName val="0"/>
          <c:showSerName val="0"/>
          <c:showPercent val="0"/>
          <c:showBubbleSize val="0"/>
        </c:dLbls>
        <c:axId val="1266667504"/>
        <c:axId val="1266671664"/>
      </c:scatterChart>
      <c:valAx>
        <c:axId val="1266667504"/>
        <c:scaling>
          <c:orientation val="minMax"/>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PA5 Ecentroid (ch)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Foglio1!$A$306:$A$369</c:f>
              <c:strCache>
                <c:ptCount val="6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strCache>
            </c:strRef>
          </c:xVal>
          <c:yVal>
            <c:numRef>
              <c:f>Foglio1!$C$306:$C$369</c:f>
              <c:numCache>
                <c:formatCode>General</c:formatCode>
                <c:ptCount val="64"/>
                <c:pt idx="0">
                  <c:v>14211.5</c:v>
                </c:pt>
                <c:pt idx="1">
                  <c:v>14461</c:v>
                </c:pt>
                <c:pt idx="2">
                  <c:v>14613</c:v>
                </c:pt>
                <c:pt idx="3">
                  <c:v>14474</c:v>
                </c:pt>
                <c:pt idx="4">
                  <c:v>14354</c:v>
                </c:pt>
                <c:pt idx="5">
                  <c:v>14676</c:v>
                </c:pt>
                <c:pt idx="6">
                  <c:v>14367</c:v>
                </c:pt>
                <c:pt idx="7">
                  <c:v>14871</c:v>
                </c:pt>
                <c:pt idx="8">
                  <c:v>14485</c:v>
                </c:pt>
                <c:pt idx="9">
                  <c:v>14641</c:v>
                </c:pt>
                <c:pt idx="10">
                  <c:v>14071</c:v>
                </c:pt>
                <c:pt idx="11">
                  <c:v>14678</c:v>
                </c:pt>
                <c:pt idx="12">
                  <c:v>14410</c:v>
                </c:pt>
                <c:pt idx="13">
                  <c:v>14494</c:v>
                </c:pt>
                <c:pt idx="14">
                  <c:v>14354</c:v>
                </c:pt>
                <c:pt idx="15">
                  <c:v>14169</c:v>
                </c:pt>
                <c:pt idx="16">
                  <c:v>14299</c:v>
                </c:pt>
                <c:pt idx="17">
                  <c:v>14181</c:v>
                </c:pt>
                <c:pt idx="18">
                  <c:v>14596</c:v>
                </c:pt>
                <c:pt idx="19">
                  <c:v>14928</c:v>
                </c:pt>
                <c:pt idx="20">
                  <c:v>14413</c:v>
                </c:pt>
                <c:pt idx="21">
                  <c:v>14484</c:v>
                </c:pt>
                <c:pt idx="22">
                  <c:v>14412</c:v>
                </c:pt>
                <c:pt idx="23">
                  <c:v>14174</c:v>
                </c:pt>
                <c:pt idx="24">
                  <c:v>14229</c:v>
                </c:pt>
                <c:pt idx="25">
                  <c:v>14450</c:v>
                </c:pt>
                <c:pt idx="26">
                  <c:v>14217</c:v>
                </c:pt>
                <c:pt idx="27">
                  <c:v>14378</c:v>
                </c:pt>
                <c:pt idx="28">
                  <c:v>14373</c:v>
                </c:pt>
                <c:pt idx="29">
                  <c:v>14040</c:v>
                </c:pt>
                <c:pt idx="30">
                  <c:v>14518</c:v>
                </c:pt>
                <c:pt idx="31">
                  <c:v>14672</c:v>
                </c:pt>
                <c:pt idx="32">
                  <c:v>14714</c:v>
                </c:pt>
                <c:pt idx="33">
                  <c:v>14528</c:v>
                </c:pt>
                <c:pt idx="34">
                  <c:v>14410</c:v>
                </c:pt>
                <c:pt idx="35">
                  <c:v>14739</c:v>
                </c:pt>
                <c:pt idx="36">
                  <c:v>14364</c:v>
                </c:pt>
                <c:pt idx="37">
                  <c:v>14102</c:v>
                </c:pt>
                <c:pt idx="38">
                  <c:v>14663</c:v>
                </c:pt>
                <c:pt idx="39">
                  <c:v>14168</c:v>
                </c:pt>
                <c:pt idx="40">
                  <c:v>14643</c:v>
                </c:pt>
                <c:pt idx="41">
                  <c:v>14289</c:v>
                </c:pt>
                <c:pt idx="42">
                  <c:v>14242</c:v>
                </c:pt>
                <c:pt idx="43">
                  <c:v>14373</c:v>
                </c:pt>
                <c:pt idx="44">
                  <c:v>14456</c:v>
                </c:pt>
                <c:pt idx="45">
                  <c:v>14569</c:v>
                </c:pt>
                <c:pt idx="46">
                  <c:v>14595.5</c:v>
                </c:pt>
                <c:pt idx="47">
                  <c:v>14414</c:v>
                </c:pt>
                <c:pt idx="48">
                  <c:v>14311</c:v>
                </c:pt>
                <c:pt idx="49">
                  <c:v>14447</c:v>
                </c:pt>
                <c:pt idx="50">
                  <c:v>14372</c:v>
                </c:pt>
                <c:pt idx="51">
                  <c:v>14457</c:v>
                </c:pt>
                <c:pt idx="52">
                  <c:v>14326</c:v>
                </c:pt>
                <c:pt idx="53">
                  <c:v>14551</c:v>
                </c:pt>
                <c:pt idx="54">
                  <c:v>14248</c:v>
                </c:pt>
                <c:pt idx="55">
                  <c:v>14465</c:v>
                </c:pt>
                <c:pt idx="56">
                  <c:v>14751</c:v>
                </c:pt>
                <c:pt idx="57">
                  <c:v>14344</c:v>
                </c:pt>
                <c:pt idx="58">
                  <c:v>14272</c:v>
                </c:pt>
                <c:pt idx="59">
                  <c:v>14888</c:v>
                </c:pt>
                <c:pt idx="60">
                  <c:v>14098</c:v>
                </c:pt>
                <c:pt idx="61">
                  <c:v>14325</c:v>
                </c:pt>
                <c:pt idx="62">
                  <c:v>14060</c:v>
                </c:pt>
                <c:pt idx="63">
                  <c:v>14214</c:v>
                </c:pt>
              </c:numCache>
            </c:numRef>
          </c:yVal>
          <c:smooth val="0"/>
          <c:extLst>
            <c:ext xmlns:c16="http://schemas.microsoft.com/office/drawing/2014/chart" uri="{C3380CC4-5D6E-409C-BE32-E72D297353CC}">
              <c16:uniqueId val="{00000000-1665-45B7-B785-68E62570018B}"/>
            </c:ext>
          </c:extLst>
        </c:ser>
        <c:dLbls>
          <c:showLegendKey val="0"/>
          <c:showVal val="0"/>
          <c:showCatName val="0"/>
          <c:showSerName val="0"/>
          <c:showPercent val="0"/>
          <c:showBubbleSize val="0"/>
        </c:dLbls>
        <c:axId val="1266667504"/>
        <c:axId val="1266671664"/>
      </c:scatterChart>
      <c:valAx>
        <c:axId val="1266667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71664"/>
        <c:crosses val="autoZero"/>
        <c:crossBetween val="midCat"/>
      </c:valAx>
      <c:valAx>
        <c:axId val="12666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9</xdr:col>
      <xdr:colOff>495300</xdr:colOff>
      <xdr:row>9</xdr:row>
      <xdr:rowOff>47625</xdr:rowOff>
    </xdr:from>
    <xdr:to>
      <xdr:col>17</xdr:col>
      <xdr:colOff>257175</xdr:colOff>
      <xdr:row>23</xdr:row>
      <xdr:rowOff>152400</xdr:rowOff>
    </xdr:to>
    <xdr:graphicFrame macro="">
      <xdr:nvGraphicFramePr>
        <xdr:cNvPr id="2" name="Gra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26</xdr:row>
      <xdr:rowOff>152400</xdr:rowOff>
    </xdr:from>
    <xdr:to>
      <xdr:col>17</xdr:col>
      <xdr:colOff>581025</xdr:colOff>
      <xdr:row>41</xdr:row>
      <xdr:rowOff>38100</xdr:rowOff>
    </xdr:to>
    <xdr:graphicFrame macro="">
      <xdr:nvGraphicFramePr>
        <xdr:cNvPr id="3" name="Gra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85</xdr:row>
      <xdr:rowOff>57150</xdr:rowOff>
    </xdr:from>
    <xdr:to>
      <xdr:col>16</xdr:col>
      <xdr:colOff>219075</xdr:colOff>
      <xdr:row>99</xdr:row>
      <xdr:rowOff>133350</xdr:rowOff>
    </xdr:to>
    <xdr:graphicFrame macro="">
      <xdr:nvGraphicFramePr>
        <xdr:cNvPr id="4" name="Grafico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581025</xdr:colOff>
      <xdr:row>101</xdr:row>
      <xdr:rowOff>85725</xdr:rowOff>
    </xdr:from>
    <xdr:to>
      <xdr:col>16</xdr:col>
      <xdr:colOff>276225</xdr:colOff>
      <xdr:row>115</xdr:row>
      <xdr:rowOff>161925</xdr:rowOff>
    </xdr:to>
    <xdr:graphicFrame macro="">
      <xdr:nvGraphicFramePr>
        <xdr:cNvPr id="5" name="Grafico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160</xdr:row>
      <xdr:rowOff>0</xdr:rowOff>
    </xdr:from>
    <xdr:to>
      <xdr:col>19</xdr:col>
      <xdr:colOff>304800</xdr:colOff>
      <xdr:row>174</xdr:row>
      <xdr:rowOff>76200</xdr:rowOff>
    </xdr:to>
    <xdr:graphicFrame macro="">
      <xdr:nvGraphicFramePr>
        <xdr:cNvPr id="6" name="Grafico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xdr:colOff>
      <xdr:row>176</xdr:row>
      <xdr:rowOff>28575</xdr:rowOff>
    </xdr:from>
    <xdr:to>
      <xdr:col>19</xdr:col>
      <xdr:colOff>361950</xdr:colOff>
      <xdr:row>190</xdr:row>
      <xdr:rowOff>104775</xdr:rowOff>
    </xdr:to>
    <xdr:graphicFrame macro="">
      <xdr:nvGraphicFramePr>
        <xdr:cNvPr id="7" name="Gra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342900</xdr:colOff>
      <xdr:row>251</xdr:row>
      <xdr:rowOff>160020</xdr:rowOff>
    </xdr:from>
    <xdr:to>
      <xdr:col>20</xdr:col>
      <xdr:colOff>304800</xdr:colOff>
      <xdr:row>266</xdr:row>
      <xdr:rowOff>76200</xdr:rowOff>
    </xdr:to>
    <xdr:graphicFrame macro="">
      <xdr:nvGraphicFramePr>
        <xdr:cNvPr id="8" name="Grafico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487680</xdr:colOff>
      <xdr:row>268</xdr:row>
      <xdr:rowOff>53339</xdr:rowOff>
    </xdr:from>
    <xdr:to>
      <xdr:col>20</xdr:col>
      <xdr:colOff>361950</xdr:colOff>
      <xdr:row>282</xdr:row>
      <xdr:rowOff>104774</xdr:rowOff>
    </xdr:to>
    <xdr:graphicFrame macro="">
      <xdr:nvGraphicFramePr>
        <xdr:cNvPr id="9" name="Grafico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243840</xdr:colOff>
      <xdr:row>308</xdr:row>
      <xdr:rowOff>68580</xdr:rowOff>
    </xdr:from>
    <xdr:to>
      <xdr:col>20</xdr:col>
      <xdr:colOff>1146810</xdr:colOff>
      <xdr:row>323</xdr:row>
      <xdr:rowOff>30480</xdr:rowOff>
    </xdr:to>
    <xdr:graphicFrame macro="">
      <xdr:nvGraphicFramePr>
        <xdr:cNvPr id="10" name="Grafico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167639</xdr:colOff>
      <xdr:row>332</xdr:row>
      <xdr:rowOff>167639</xdr:rowOff>
    </xdr:from>
    <xdr:to>
      <xdr:col>21</xdr:col>
      <xdr:colOff>390524</xdr:colOff>
      <xdr:row>346</xdr:row>
      <xdr:rowOff>180974</xdr:rowOff>
    </xdr:to>
    <xdr:graphicFrame macro="">
      <xdr:nvGraphicFramePr>
        <xdr:cNvPr id="11" name="Grafico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428625</xdr:colOff>
      <xdr:row>50</xdr:row>
      <xdr:rowOff>150494</xdr:rowOff>
    </xdr:from>
    <xdr:to>
      <xdr:col>22</xdr:col>
      <xdr:colOff>323850</xdr:colOff>
      <xdr:row>61</xdr:row>
      <xdr:rowOff>140969</xdr:rowOff>
    </xdr:to>
    <xdr:graphicFrame macro="">
      <xdr:nvGraphicFramePr>
        <xdr:cNvPr id="12" name="Grafico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352425</xdr:colOff>
      <xdr:row>59</xdr:row>
      <xdr:rowOff>95250</xdr:rowOff>
    </xdr:from>
    <xdr:to>
      <xdr:col>22</xdr:col>
      <xdr:colOff>247650</xdr:colOff>
      <xdr:row>70</xdr:row>
      <xdr:rowOff>85725</xdr:rowOff>
    </xdr:to>
    <xdr:graphicFrame macro="">
      <xdr:nvGraphicFramePr>
        <xdr:cNvPr id="13" name="Grafico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60959</xdr:colOff>
      <xdr:row>50</xdr:row>
      <xdr:rowOff>74295</xdr:rowOff>
    </xdr:from>
    <xdr:to>
      <xdr:col>34</xdr:col>
      <xdr:colOff>403860</xdr:colOff>
      <xdr:row>65</xdr:row>
      <xdr:rowOff>112395</xdr:rowOff>
    </xdr:to>
    <xdr:graphicFrame macro="">
      <xdr:nvGraphicFramePr>
        <xdr:cNvPr id="14" name="Grafico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420</xdr:row>
      <xdr:rowOff>0</xdr:rowOff>
    </xdr:from>
    <xdr:to>
      <xdr:col>20</xdr:col>
      <xdr:colOff>293370</xdr:colOff>
      <xdr:row>434</xdr:row>
      <xdr:rowOff>152400</xdr:rowOff>
    </xdr:to>
    <xdr:graphicFrame macro="">
      <xdr:nvGraphicFramePr>
        <xdr:cNvPr id="15" name="Grafico 14">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3"/>
  <sheetViews>
    <sheetView tabSelected="1" topLeftCell="A190" workbookViewId="0">
      <selection activeCell="F220" sqref="F220"/>
    </sheetView>
  </sheetViews>
  <sheetFormatPr defaultRowHeight="15" x14ac:dyDescent="0.25"/>
  <cols>
    <col min="1" max="1" width="13.5703125" customWidth="1"/>
    <col min="2" max="2" width="16" bestFit="1" customWidth="1"/>
    <col min="3" max="3" width="13.85546875" bestFit="1" customWidth="1"/>
    <col min="4" max="4" width="11" style="2" bestFit="1" customWidth="1"/>
    <col min="5" max="5" width="11" style="2" customWidth="1"/>
    <col min="7" max="7" width="13.85546875" bestFit="1" customWidth="1"/>
    <col min="8" max="8" width="11" bestFit="1" customWidth="1"/>
    <col min="9" max="9" width="9.7109375" bestFit="1" customWidth="1"/>
    <col min="20" max="20" width="16.7109375" customWidth="1"/>
    <col min="21" max="21" width="23.140625" customWidth="1"/>
    <col min="22" max="22" width="14" customWidth="1"/>
  </cols>
  <sheetData>
    <row r="1" spans="1:23" x14ac:dyDescent="0.25">
      <c r="A1" s="25" t="s">
        <v>0</v>
      </c>
    </row>
    <row r="2" spans="1:23" x14ac:dyDescent="0.25">
      <c r="A2" s="1" t="s">
        <v>82</v>
      </c>
    </row>
    <row r="3" spans="1:23" x14ac:dyDescent="0.25">
      <c r="A3" t="s">
        <v>80</v>
      </c>
      <c r="R3" t="s">
        <v>1</v>
      </c>
      <c r="U3" t="s">
        <v>2</v>
      </c>
    </row>
    <row r="4" spans="1:23" x14ac:dyDescent="0.25">
      <c r="A4" s="1" t="s">
        <v>79</v>
      </c>
      <c r="R4" t="s">
        <v>70</v>
      </c>
      <c r="U4" t="s">
        <v>77</v>
      </c>
    </row>
    <row r="5" spans="1:23" x14ac:dyDescent="0.25">
      <c r="A5" s="24" t="s">
        <v>81</v>
      </c>
      <c r="G5" s="26" t="s">
        <v>127</v>
      </c>
      <c r="R5" t="s">
        <v>71</v>
      </c>
    </row>
    <row r="6" spans="1:23" ht="15.75" thickBot="1" x14ac:dyDescent="0.3">
      <c r="A6" s="4" t="s">
        <v>3</v>
      </c>
      <c r="B6" s="4" t="s">
        <v>68</v>
      </c>
      <c r="C6" s="4" t="s">
        <v>69</v>
      </c>
      <c r="D6" s="4" t="s">
        <v>78</v>
      </c>
      <c r="E6" s="4" t="s">
        <v>152</v>
      </c>
      <c r="G6" s="4" t="s">
        <v>69</v>
      </c>
      <c r="H6" s="4" t="s">
        <v>78</v>
      </c>
      <c r="I6" s="4" t="s">
        <v>126</v>
      </c>
      <c r="L6" s="11">
        <f>AVERAGE(C7:C70)</f>
        <v>14410.3125</v>
      </c>
      <c r="M6" t="s">
        <v>84</v>
      </c>
      <c r="R6" t="s">
        <v>72</v>
      </c>
    </row>
    <row r="7" spans="1:23" ht="15.75" thickTop="1" x14ac:dyDescent="0.25">
      <c r="A7" s="2" t="s">
        <v>4</v>
      </c>
      <c r="B7" s="2">
        <v>0</v>
      </c>
      <c r="C7" s="2">
        <v>14338.5</v>
      </c>
      <c r="D7" s="2">
        <f>14345-14331</f>
        <v>14</v>
      </c>
      <c r="E7" s="2">
        <f>$C$7/C7</f>
        <v>1</v>
      </c>
      <c r="G7" s="2">
        <v>14363</v>
      </c>
      <c r="H7" s="2">
        <f>14370-14356</f>
        <v>14</v>
      </c>
      <c r="I7" s="22">
        <f>(G7-C7)/C7</f>
        <v>1.7086864037381875E-3</v>
      </c>
      <c r="L7" s="10">
        <f>(13820-L6)/L6</f>
        <v>-4.0964586992821982E-2</v>
      </c>
      <c r="M7" t="s">
        <v>85</v>
      </c>
      <c r="R7" t="s">
        <v>76</v>
      </c>
    </row>
    <row r="8" spans="1:23" x14ac:dyDescent="0.25">
      <c r="A8" s="2" t="s">
        <v>5</v>
      </c>
      <c r="B8" s="2">
        <v>16</v>
      </c>
      <c r="C8" s="2">
        <v>14665.5</v>
      </c>
      <c r="D8" s="2">
        <f>14671-14658</f>
        <v>13</v>
      </c>
      <c r="E8" s="2">
        <f>$C$7/C8</f>
        <v>0.97770277181139409</v>
      </c>
      <c r="G8" s="2">
        <v>14696</v>
      </c>
      <c r="H8" s="2">
        <f>14704-14689</f>
        <v>15</v>
      </c>
      <c r="I8" s="22">
        <f t="shared" ref="I8:I38" si="0">(G8-C8)/C8</f>
        <v>2.0797108860932121E-3</v>
      </c>
      <c r="L8" s="10">
        <f>(14965-13820)/L6</f>
        <v>7.9456986099364607E-2</v>
      </c>
      <c r="M8" t="s">
        <v>87</v>
      </c>
      <c r="R8" t="s">
        <v>73</v>
      </c>
    </row>
    <row r="9" spans="1:23" x14ac:dyDescent="0.25">
      <c r="A9" s="2" t="s">
        <v>6</v>
      </c>
      <c r="B9" s="2">
        <v>1</v>
      </c>
      <c r="C9" s="2">
        <v>14163</v>
      </c>
      <c r="D9" s="2">
        <f>14168-14157</f>
        <v>11</v>
      </c>
      <c r="E9" s="2">
        <f>$C$7/C9</f>
        <v>1.0123914424909977</v>
      </c>
      <c r="G9" s="2">
        <v>14117</v>
      </c>
      <c r="H9" s="21">
        <f>14125-14109</f>
        <v>16</v>
      </c>
      <c r="I9" s="22">
        <f t="shared" si="0"/>
        <v>-3.2478994563298735E-3</v>
      </c>
      <c r="R9" t="s">
        <v>74</v>
      </c>
    </row>
    <row r="10" spans="1:23" x14ac:dyDescent="0.25">
      <c r="A10" s="2" t="s">
        <v>7</v>
      </c>
      <c r="B10" s="2">
        <v>17</v>
      </c>
      <c r="C10" s="2">
        <v>14632</v>
      </c>
      <c r="D10" s="2">
        <f>14638-14624</f>
        <v>14</v>
      </c>
      <c r="E10" s="2">
        <f t="shared" ref="E10:E70" si="1">$C$7/C10</f>
        <v>0.97994122471295786</v>
      </c>
      <c r="G10" s="2">
        <v>14577</v>
      </c>
      <c r="H10" s="21">
        <f>14586-14570</f>
        <v>16</v>
      </c>
      <c r="I10" s="22">
        <f>(G10-C10)/C10</f>
        <v>-3.7588846364133405E-3</v>
      </c>
      <c r="R10" t="s">
        <v>75</v>
      </c>
    </row>
    <row r="11" spans="1:23" x14ac:dyDescent="0.25">
      <c r="A11" s="2" t="s">
        <v>8</v>
      </c>
      <c r="B11" s="2">
        <v>2</v>
      </c>
      <c r="C11" s="2">
        <v>14261</v>
      </c>
      <c r="D11" s="2">
        <f>14267-14256</f>
        <v>11</v>
      </c>
      <c r="E11" s="2">
        <f t="shared" si="1"/>
        <v>1.0054344015146204</v>
      </c>
      <c r="G11" s="2">
        <v>14253</v>
      </c>
      <c r="H11" s="21">
        <f>14261-14245</f>
        <v>16</v>
      </c>
      <c r="I11" s="22">
        <f t="shared" si="0"/>
        <v>-5.6097047892854639E-4</v>
      </c>
    </row>
    <row r="12" spans="1:23" x14ac:dyDescent="0.25">
      <c r="A12" s="2" t="s">
        <v>9</v>
      </c>
      <c r="B12" s="2">
        <v>18</v>
      </c>
      <c r="C12" s="2">
        <v>14728.5</v>
      </c>
      <c r="D12" s="2">
        <f>14735-14723</f>
        <v>12</v>
      </c>
      <c r="E12" s="2">
        <f t="shared" si="1"/>
        <v>0.97352072512475807</v>
      </c>
      <c r="G12" s="2">
        <v>14755</v>
      </c>
      <c r="H12" s="21">
        <f>14763-14746</f>
        <v>17</v>
      </c>
      <c r="I12" s="22">
        <f t="shared" si="0"/>
        <v>1.7992327799843839E-3</v>
      </c>
    </row>
    <row r="13" spans="1:23" x14ac:dyDescent="0.25">
      <c r="A13" s="2" t="s">
        <v>10</v>
      </c>
      <c r="B13" s="2">
        <v>3</v>
      </c>
      <c r="C13" s="2">
        <v>14658</v>
      </c>
      <c r="D13" s="2">
        <f>14664-14651</f>
        <v>13</v>
      </c>
      <c r="E13" s="2">
        <f t="shared" si="1"/>
        <v>0.9782030290626279</v>
      </c>
      <c r="G13" s="2">
        <v>14609</v>
      </c>
      <c r="H13" s="21">
        <f>14618-14600</f>
        <v>18</v>
      </c>
      <c r="I13" s="22">
        <f t="shared" si="0"/>
        <v>-3.3428844317096467E-3</v>
      </c>
    </row>
    <row r="14" spans="1:23" x14ac:dyDescent="0.25">
      <c r="A14" s="2" t="s">
        <v>11</v>
      </c>
      <c r="B14" s="2">
        <v>19</v>
      </c>
      <c r="C14" s="2">
        <v>14709</v>
      </c>
      <c r="D14" s="2">
        <f>14717-14703</f>
        <v>14</v>
      </c>
      <c r="E14" s="2">
        <f t="shared" si="1"/>
        <v>0.97481133999592084</v>
      </c>
      <c r="G14" s="2">
        <v>14724</v>
      </c>
      <c r="H14" s="21">
        <f>14734-14715</f>
        <v>19</v>
      </c>
      <c r="I14" s="22">
        <f t="shared" si="0"/>
        <v>1.0197838058331635E-3</v>
      </c>
    </row>
    <row r="15" spans="1:23" x14ac:dyDescent="0.25">
      <c r="A15" s="2" t="s">
        <v>12</v>
      </c>
      <c r="B15" s="2">
        <v>4</v>
      </c>
      <c r="C15" s="2">
        <v>14413</v>
      </c>
      <c r="D15" s="2">
        <f>14418-14407</f>
        <v>11</v>
      </c>
      <c r="E15" s="2">
        <f t="shared" si="1"/>
        <v>0.99483105529730109</v>
      </c>
      <c r="G15" s="2">
        <v>14357</v>
      </c>
      <c r="H15" s="21">
        <f>14364-14350</f>
        <v>14</v>
      </c>
      <c r="I15" s="22">
        <f t="shared" si="0"/>
        <v>-3.885381253035454E-3</v>
      </c>
      <c r="T15" s="28" t="s">
        <v>131</v>
      </c>
    </row>
    <row r="16" spans="1:23" ht="15.75" thickBot="1" x14ac:dyDescent="0.3">
      <c r="A16" s="2" t="s">
        <v>13</v>
      </c>
      <c r="B16" s="2">
        <v>20</v>
      </c>
      <c r="C16" s="2">
        <v>14371.5</v>
      </c>
      <c r="D16" s="2">
        <f>14378-14366</f>
        <v>12</v>
      </c>
      <c r="E16" s="2">
        <f t="shared" si="1"/>
        <v>0.99770378874856491</v>
      </c>
      <c r="G16" s="2">
        <v>14373</v>
      </c>
      <c r="H16" s="21">
        <f>14379-14365</f>
        <v>14</v>
      </c>
      <c r="I16" s="22">
        <f t="shared" si="0"/>
        <v>1.0437323870159691E-4</v>
      </c>
      <c r="T16" s="4" t="s">
        <v>3</v>
      </c>
      <c r="U16" s="4" t="s">
        <v>68</v>
      </c>
      <c r="V16" s="4" t="s">
        <v>69</v>
      </c>
      <c r="W16" s="31" t="s">
        <v>151</v>
      </c>
    </row>
    <row r="17" spans="1:23" ht="15.75" thickTop="1" x14ac:dyDescent="0.25">
      <c r="A17" s="2" t="s">
        <v>14</v>
      </c>
      <c r="B17" s="2">
        <v>5</v>
      </c>
      <c r="C17" s="2">
        <v>14227</v>
      </c>
      <c r="D17" s="2">
        <f>14235-14219</f>
        <v>16</v>
      </c>
      <c r="E17" s="2">
        <f t="shared" si="1"/>
        <v>1.0078372109369509</v>
      </c>
      <c r="G17" s="2">
        <v>14208</v>
      </c>
      <c r="H17" s="21">
        <f>14214-14201</f>
        <v>13</v>
      </c>
      <c r="I17" s="22">
        <f t="shared" si="0"/>
        <v>-1.3354888592113587E-3</v>
      </c>
      <c r="T17" s="2" t="s">
        <v>4</v>
      </c>
      <c r="U17" s="2">
        <v>0</v>
      </c>
      <c r="V17" s="2">
        <v>16660</v>
      </c>
      <c r="W17" s="27">
        <f>V17/C7</f>
        <v>1.1619067545419675</v>
      </c>
    </row>
    <row r="18" spans="1:23" x14ac:dyDescent="0.25">
      <c r="A18" s="2" t="s">
        <v>15</v>
      </c>
      <c r="B18" s="2">
        <v>21</v>
      </c>
      <c r="C18" s="2">
        <v>14700</v>
      </c>
      <c r="D18" s="2">
        <f>14706-14694</f>
        <v>12</v>
      </c>
      <c r="E18" s="2">
        <f t="shared" si="1"/>
        <v>0.97540816326530611</v>
      </c>
      <c r="G18" s="2">
        <v>14634</v>
      </c>
      <c r="H18" s="21">
        <f>14641-14628</f>
        <v>13</v>
      </c>
      <c r="I18" s="22">
        <f t="shared" si="0"/>
        <v>-4.489795918367347E-3</v>
      </c>
      <c r="T18" s="2" t="s">
        <v>5</v>
      </c>
      <c r="U18" s="2">
        <v>16</v>
      </c>
      <c r="V18" s="2">
        <v>17179</v>
      </c>
      <c r="W18" s="27">
        <f t="shared" ref="W18:W21" si="2">V18/C8</f>
        <v>1.1713886331867307</v>
      </c>
    </row>
    <row r="19" spans="1:23" x14ac:dyDescent="0.25">
      <c r="A19" s="2" t="s">
        <v>16</v>
      </c>
      <c r="B19" s="2">
        <v>6</v>
      </c>
      <c r="C19" s="2">
        <v>14075</v>
      </c>
      <c r="D19" s="2">
        <f>14081-14069</f>
        <v>12</v>
      </c>
      <c r="E19" s="2">
        <f t="shared" si="1"/>
        <v>1.0187211367673179</v>
      </c>
      <c r="G19" s="2">
        <v>14138</v>
      </c>
      <c r="H19" s="21">
        <f>14145-14131</f>
        <v>14</v>
      </c>
      <c r="I19" s="22">
        <f t="shared" si="0"/>
        <v>4.4760213143872117E-3</v>
      </c>
      <c r="T19" s="2" t="s">
        <v>6</v>
      </c>
      <c r="U19" s="2">
        <v>1</v>
      </c>
      <c r="V19" s="2">
        <v>16326</v>
      </c>
      <c r="W19" s="27">
        <f t="shared" si="2"/>
        <v>1.1527218809574242</v>
      </c>
    </row>
    <row r="20" spans="1:23" x14ac:dyDescent="0.25">
      <c r="A20" s="2" t="s">
        <v>17</v>
      </c>
      <c r="B20" s="2">
        <v>22</v>
      </c>
      <c r="C20" s="2">
        <v>14366</v>
      </c>
      <c r="D20" s="2">
        <f>14372-14359</f>
        <v>13</v>
      </c>
      <c r="E20" s="2">
        <f t="shared" si="1"/>
        <v>0.99808575803981625</v>
      </c>
      <c r="G20" s="2">
        <v>14312</v>
      </c>
      <c r="H20" s="21">
        <f>14318-14305</f>
        <v>13</v>
      </c>
      <c r="I20" s="22">
        <f t="shared" si="0"/>
        <v>-3.7588751218153977E-3</v>
      </c>
      <c r="T20" s="2" t="s">
        <v>7</v>
      </c>
      <c r="U20" s="2">
        <v>17</v>
      </c>
      <c r="V20" s="2">
        <v>17757</v>
      </c>
      <c r="W20" s="27">
        <f>V20/C10</f>
        <v>1.2135729907053034</v>
      </c>
    </row>
    <row r="21" spans="1:23" x14ac:dyDescent="0.25">
      <c r="A21" s="2" t="s">
        <v>18</v>
      </c>
      <c r="B21" s="5">
        <v>7</v>
      </c>
      <c r="C21" s="5">
        <v>14329.5</v>
      </c>
      <c r="D21" s="5">
        <f>14336-14323</f>
        <v>13</v>
      </c>
      <c r="E21" s="2">
        <f>$C$7/C21</f>
        <v>1.0006280749502774</v>
      </c>
      <c r="G21" s="2">
        <v>14346</v>
      </c>
      <c r="H21" s="21">
        <f>14353-14339</f>
        <v>14</v>
      </c>
      <c r="I21" s="22">
        <f t="shared" si="0"/>
        <v>1.1514707421752329E-3</v>
      </c>
      <c r="T21" s="2" t="s">
        <v>8</v>
      </c>
      <c r="U21" s="2">
        <v>2</v>
      </c>
      <c r="V21" s="2">
        <v>16549</v>
      </c>
      <c r="W21" s="27">
        <f t="shared" si="2"/>
        <v>1.1604375569735643</v>
      </c>
    </row>
    <row r="22" spans="1:23" x14ac:dyDescent="0.25">
      <c r="A22" s="3" t="s">
        <v>19</v>
      </c>
      <c r="B22" s="3">
        <v>23</v>
      </c>
      <c r="C22" s="3">
        <v>14665</v>
      </c>
      <c r="D22" s="3">
        <f>14671-14657</f>
        <v>14</v>
      </c>
      <c r="E22" s="2">
        <f t="shared" si="1"/>
        <v>0.9777361063757245</v>
      </c>
      <c r="G22" s="2">
        <v>14653.5</v>
      </c>
      <c r="H22" s="21">
        <f>14661-14645</f>
        <v>16</v>
      </c>
      <c r="I22" s="22">
        <f t="shared" si="0"/>
        <v>-7.8418002045687013E-4</v>
      </c>
    </row>
    <row r="23" spans="1:23" x14ac:dyDescent="0.25">
      <c r="A23" s="2" t="s">
        <v>20</v>
      </c>
      <c r="B23" s="2">
        <v>8</v>
      </c>
      <c r="C23" s="2">
        <v>14351</v>
      </c>
      <c r="D23" s="2">
        <f>14358-14344</f>
        <v>14</v>
      </c>
      <c r="E23" s="2">
        <f t="shared" si="1"/>
        <v>0.99912898055884602</v>
      </c>
      <c r="G23" s="2">
        <v>14247</v>
      </c>
      <c r="H23" s="21">
        <f>14255-14240</f>
        <v>15</v>
      </c>
      <c r="I23" s="22">
        <f t="shared" si="0"/>
        <v>-7.2468817504006688E-3</v>
      </c>
      <c r="T23" s="2"/>
    </row>
    <row r="24" spans="1:23" x14ac:dyDescent="0.25">
      <c r="A24" s="2" t="s">
        <v>21</v>
      </c>
      <c r="B24" s="2">
        <v>24</v>
      </c>
      <c r="C24" s="2">
        <v>14504</v>
      </c>
      <c r="D24" s="2">
        <f>14511-14498</f>
        <v>13</v>
      </c>
      <c r="E24" s="2">
        <f t="shared" si="1"/>
        <v>0.98858935466078324</v>
      </c>
      <c r="G24" s="2">
        <v>14608</v>
      </c>
      <c r="H24" s="21">
        <f>14616-14601</f>
        <v>15</v>
      </c>
      <c r="I24" s="22">
        <f t="shared" si="0"/>
        <v>7.1704357418643132E-3</v>
      </c>
      <c r="T24" s="14" t="s">
        <v>136</v>
      </c>
    </row>
    <row r="25" spans="1:23" ht="15.75" thickBot="1" x14ac:dyDescent="0.3">
      <c r="A25" s="2" t="s">
        <v>22</v>
      </c>
      <c r="B25" s="2">
        <v>9</v>
      </c>
      <c r="C25" s="2">
        <v>14528.5</v>
      </c>
      <c r="D25" s="2">
        <f>14535-14522</f>
        <v>13</v>
      </c>
      <c r="E25" s="2">
        <f t="shared" si="1"/>
        <v>0.98692225625494723</v>
      </c>
      <c r="G25" s="2">
        <v>14445</v>
      </c>
      <c r="H25" s="21">
        <f>14452-14438</f>
        <v>14</v>
      </c>
      <c r="I25" s="22">
        <f t="shared" si="0"/>
        <v>-5.7473242247995321E-3</v>
      </c>
      <c r="T25" s="4" t="s">
        <v>3</v>
      </c>
      <c r="U25" s="4" t="s">
        <v>68</v>
      </c>
      <c r="V25" s="4" t="s">
        <v>69</v>
      </c>
    </row>
    <row r="26" spans="1:23" ht="15.75" thickTop="1" x14ac:dyDescent="0.25">
      <c r="A26" s="2" t="s">
        <v>23</v>
      </c>
      <c r="B26" s="2">
        <v>25</v>
      </c>
      <c r="C26" s="2">
        <v>14495</v>
      </c>
      <c r="D26" s="2">
        <f>14502-14489</f>
        <v>13</v>
      </c>
      <c r="E26" s="2">
        <f t="shared" si="1"/>
        <v>0.98920317350810627</v>
      </c>
      <c r="G26" s="2">
        <v>14562</v>
      </c>
      <c r="H26" s="21">
        <f>14569-14555</f>
        <v>14</v>
      </c>
      <c r="I26" s="22">
        <f t="shared" si="0"/>
        <v>4.6222835460503625E-3</v>
      </c>
      <c r="T26" s="2" t="s">
        <v>4</v>
      </c>
      <c r="U26" s="2">
        <v>0</v>
      </c>
      <c r="V26" s="7">
        <v>14335</v>
      </c>
      <c r="W26" s="27">
        <f>V26/C7</f>
        <v>0.99975590194232311</v>
      </c>
    </row>
    <row r="27" spans="1:23" x14ac:dyDescent="0.25">
      <c r="A27" s="2" t="s">
        <v>24</v>
      </c>
      <c r="B27" s="2">
        <v>10</v>
      </c>
      <c r="C27" s="2">
        <v>14383</v>
      </c>
      <c r="D27" s="2">
        <f>14390-14376</f>
        <v>14</v>
      </c>
      <c r="E27" s="2">
        <f t="shared" si="1"/>
        <v>0.99690606966557738</v>
      </c>
      <c r="G27" s="2">
        <v>14359</v>
      </c>
      <c r="H27" s="21">
        <f>14366-14352</f>
        <v>14</v>
      </c>
      <c r="I27" s="22">
        <f t="shared" si="0"/>
        <v>-1.6686365848571231E-3</v>
      </c>
      <c r="T27" s="2" t="s">
        <v>5</v>
      </c>
      <c r="U27" s="2">
        <v>16</v>
      </c>
      <c r="V27" s="7">
        <v>14779</v>
      </c>
      <c r="W27" s="27">
        <f t="shared" ref="W27:W29" si="3">V27/C8</f>
        <v>1.0077392519859534</v>
      </c>
    </row>
    <row r="28" spans="1:23" x14ac:dyDescent="0.25">
      <c r="A28" s="2" t="s">
        <v>25</v>
      </c>
      <c r="B28" s="2">
        <v>26</v>
      </c>
      <c r="C28" s="2">
        <v>14793</v>
      </c>
      <c r="D28" s="2">
        <f>14800-14786</f>
        <v>14</v>
      </c>
      <c r="E28" s="2">
        <f t="shared" si="1"/>
        <v>0.96927600892313936</v>
      </c>
      <c r="G28" s="2">
        <v>14856</v>
      </c>
      <c r="H28" s="21">
        <f>14864-14850</f>
        <v>14</v>
      </c>
      <c r="I28" s="22">
        <f t="shared" si="0"/>
        <v>4.2587710403569259E-3</v>
      </c>
      <c r="T28" s="2" t="s">
        <v>6</v>
      </c>
      <c r="U28" s="2">
        <v>1</v>
      </c>
      <c r="V28" s="7">
        <v>14047</v>
      </c>
      <c r="W28" s="27">
        <f t="shared" si="3"/>
        <v>0.99180964484925516</v>
      </c>
    </row>
    <row r="29" spans="1:23" x14ac:dyDescent="0.25">
      <c r="A29" s="2" t="s">
        <v>26</v>
      </c>
      <c r="B29" s="2">
        <v>11</v>
      </c>
      <c r="C29" s="2">
        <v>14222</v>
      </c>
      <c r="D29" s="2">
        <f>14227-14216</f>
        <v>11</v>
      </c>
      <c r="E29" s="2">
        <f t="shared" si="1"/>
        <v>1.0081915342427226</v>
      </c>
      <c r="G29" s="2">
        <v>14227</v>
      </c>
      <c r="H29" s="21">
        <f>14235-14221</f>
        <v>14</v>
      </c>
      <c r="I29" s="22">
        <f t="shared" si="0"/>
        <v>3.5156799324989455E-4</v>
      </c>
      <c r="T29" s="2" t="s">
        <v>7</v>
      </c>
      <c r="U29" s="2">
        <v>17</v>
      </c>
      <c r="V29" s="7">
        <v>15278</v>
      </c>
      <c r="W29" s="27">
        <f t="shared" si="3"/>
        <v>1.0441498086386003</v>
      </c>
    </row>
    <row r="30" spans="1:23" x14ac:dyDescent="0.25">
      <c r="A30" s="2" t="s">
        <v>27</v>
      </c>
      <c r="B30" s="2">
        <v>27</v>
      </c>
      <c r="C30" s="2">
        <v>14724.5</v>
      </c>
      <c r="D30" s="2">
        <f>14730-14718</f>
        <v>12</v>
      </c>
      <c r="E30" s="2">
        <f t="shared" si="1"/>
        <v>0.97378518795205271</v>
      </c>
      <c r="G30" s="2">
        <v>14720</v>
      </c>
      <c r="H30" s="21">
        <f>14727-14713</f>
        <v>14</v>
      </c>
      <c r="I30" s="22">
        <f t="shared" si="0"/>
        <v>-3.056130938232198E-4</v>
      </c>
      <c r="T30" s="2" t="s">
        <v>8</v>
      </c>
      <c r="U30" s="2">
        <v>2</v>
      </c>
      <c r="V30" s="7">
        <v>14237</v>
      </c>
      <c r="W30" s="27">
        <f>V30/C11</f>
        <v>0.99831708856321433</v>
      </c>
    </row>
    <row r="31" spans="1:23" x14ac:dyDescent="0.25">
      <c r="A31" s="2" t="s">
        <v>28</v>
      </c>
      <c r="B31" s="2">
        <v>12</v>
      </c>
      <c r="C31" s="2">
        <v>14251</v>
      </c>
      <c r="D31" s="2">
        <f>14256-14244</f>
        <v>12</v>
      </c>
      <c r="E31" s="2">
        <f t="shared" si="1"/>
        <v>1.0061399200056136</v>
      </c>
      <c r="G31" s="2">
        <v>14267</v>
      </c>
      <c r="H31" s="21">
        <f>14274-14260</f>
        <v>14</v>
      </c>
      <c r="I31" s="22">
        <f t="shared" si="0"/>
        <v>1.1227282295979231E-3</v>
      </c>
    </row>
    <row r="32" spans="1:23" x14ac:dyDescent="0.25">
      <c r="A32" s="2" t="s">
        <v>29</v>
      </c>
      <c r="B32" s="2">
        <v>28</v>
      </c>
      <c r="C32" s="2">
        <v>14599</v>
      </c>
      <c r="D32" s="2">
        <f>14605-14593</f>
        <v>12</v>
      </c>
      <c r="E32" s="2">
        <f t="shared" si="1"/>
        <v>0.9821563120761696</v>
      </c>
      <c r="G32" s="2">
        <v>14646</v>
      </c>
      <c r="H32" s="21">
        <f>14654-14638</f>
        <v>16</v>
      </c>
      <c r="I32" s="22">
        <f t="shared" si="0"/>
        <v>3.2193985889444484E-3</v>
      </c>
    </row>
    <row r="33" spans="1:23" x14ac:dyDescent="0.25">
      <c r="A33" s="2" t="s">
        <v>30</v>
      </c>
      <c r="B33" s="2">
        <v>13</v>
      </c>
      <c r="C33" s="2">
        <v>14514</v>
      </c>
      <c r="D33" s="2">
        <f>14520-14508</f>
        <v>12</v>
      </c>
      <c r="E33" s="2">
        <f t="shared" si="1"/>
        <v>0.98790822653989252</v>
      </c>
      <c r="G33" s="2">
        <v>14506</v>
      </c>
      <c r="H33" s="21">
        <f>14513-14499</f>
        <v>14</v>
      </c>
      <c r="I33" s="22">
        <f t="shared" si="0"/>
        <v>-5.5119195259749213E-4</v>
      </c>
    </row>
    <row r="34" spans="1:23" x14ac:dyDescent="0.25">
      <c r="A34" s="2" t="s">
        <v>31</v>
      </c>
      <c r="B34" s="2">
        <v>29</v>
      </c>
      <c r="C34" s="2">
        <v>14480</v>
      </c>
      <c r="D34" s="2">
        <f>14486-14474</f>
        <v>12</v>
      </c>
      <c r="E34" s="2">
        <f t="shared" si="1"/>
        <v>0.99022790055248622</v>
      </c>
      <c r="G34" s="2">
        <v>14459</v>
      </c>
      <c r="H34" s="21">
        <f>14465-14451</f>
        <v>14</v>
      </c>
      <c r="I34" s="22">
        <f t="shared" si="0"/>
        <v>-1.4502762430939227E-3</v>
      </c>
      <c r="T34" s="29" t="s">
        <v>132</v>
      </c>
    </row>
    <row r="35" spans="1:23" x14ac:dyDescent="0.25">
      <c r="A35" s="2" t="s">
        <v>32</v>
      </c>
      <c r="B35" s="2">
        <v>14</v>
      </c>
      <c r="C35" s="2">
        <v>14359</v>
      </c>
      <c r="D35" s="2">
        <f>14365-14353</f>
        <v>12</v>
      </c>
      <c r="E35" s="2">
        <f t="shared" si="1"/>
        <v>0.99857232397799289</v>
      </c>
      <c r="G35" s="2">
        <v>14396</v>
      </c>
      <c r="H35" s="21">
        <f>14402-14389</f>
        <v>13</v>
      </c>
      <c r="I35" s="22">
        <f t="shared" si="0"/>
        <v>2.57678111289087E-3</v>
      </c>
      <c r="T35" t="s">
        <v>133</v>
      </c>
      <c r="U35" t="s">
        <v>143</v>
      </c>
      <c r="V35" t="s">
        <v>145</v>
      </c>
    </row>
    <row r="36" spans="1:23" x14ac:dyDescent="0.25">
      <c r="A36" s="2" t="s">
        <v>33</v>
      </c>
      <c r="B36" s="2">
        <v>30</v>
      </c>
      <c r="C36" s="2">
        <v>14414</v>
      </c>
      <c r="D36" s="2">
        <f>14419-14407</f>
        <v>12</v>
      </c>
      <c r="E36" s="2">
        <f t="shared" si="1"/>
        <v>0.99476203690856113</v>
      </c>
      <c r="G36" s="2">
        <v>14422.5</v>
      </c>
      <c r="H36" s="21">
        <f>14430-14415</f>
        <v>15</v>
      </c>
      <c r="I36" s="22">
        <f t="shared" si="0"/>
        <v>5.8970445400305263E-4</v>
      </c>
      <c r="T36" s="2" t="s">
        <v>134</v>
      </c>
      <c r="U36" s="2" t="s">
        <v>135</v>
      </c>
      <c r="V36" t="s">
        <v>142</v>
      </c>
      <c r="W36" t="s">
        <v>144</v>
      </c>
    </row>
    <row r="37" spans="1:23" x14ac:dyDescent="0.25">
      <c r="A37" s="2" t="s">
        <v>34</v>
      </c>
      <c r="B37" s="2">
        <v>15</v>
      </c>
      <c r="C37" s="2">
        <v>14419</v>
      </c>
      <c r="D37" s="2">
        <f>14426-14412</f>
        <v>14</v>
      </c>
      <c r="E37" s="2">
        <f t="shared" si="1"/>
        <v>0.9944170885637007</v>
      </c>
      <c r="G37" s="2">
        <v>14378</v>
      </c>
      <c r="H37" s="21">
        <f>14386-14370</f>
        <v>16</v>
      </c>
      <c r="I37" s="22">
        <f t="shared" si="0"/>
        <v>-2.843470420972328E-3</v>
      </c>
      <c r="T37" s="2">
        <v>1</v>
      </c>
      <c r="U37" s="2">
        <v>8335</v>
      </c>
      <c r="V37" s="2">
        <v>118</v>
      </c>
      <c r="W37" s="2">
        <v>1.6E-2</v>
      </c>
    </row>
    <row r="38" spans="1:23" x14ac:dyDescent="0.25">
      <c r="A38" s="3" t="s">
        <v>35</v>
      </c>
      <c r="B38" s="3">
        <v>31</v>
      </c>
      <c r="C38" s="3">
        <v>14641</v>
      </c>
      <c r="D38" s="3">
        <f>14648-14635</f>
        <v>13</v>
      </c>
      <c r="E38" s="2">
        <f t="shared" si="1"/>
        <v>0.97933884297520657</v>
      </c>
      <c r="G38" s="2">
        <v>14645</v>
      </c>
      <c r="H38" s="2">
        <f>14653-14637</f>
        <v>16</v>
      </c>
      <c r="I38" s="22">
        <f t="shared" si="0"/>
        <v>2.7320538214602825E-4</v>
      </c>
      <c r="T38" s="2">
        <v>1.5</v>
      </c>
      <c r="U38" s="2">
        <v>12500</v>
      </c>
      <c r="V38" s="2">
        <v>293</v>
      </c>
      <c r="W38" s="2">
        <v>0.04</v>
      </c>
    </row>
    <row r="39" spans="1:23" x14ac:dyDescent="0.25">
      <c r="A39" s="2" t="s">
        <v>36</v>
      </c>
      <c r="B39" s="2">
        <v>32</v>
      </c>
      <c r="C39" s="2">
        <v>14260</v>
      </c>
      <c r="D39" s="2">
        <f>14265-14254</f>
        <v>11</v>
      </c>
      <c r="E39" s="2">
        <f t="shared" si="1"/>
        <v>1.0055049088359047</v>
      </c>
      <c r="T39" s="2">
        <v>2</v>
      </c>
      <c r="U39" s="2">
        <v>16665</v>
      </c>
      <c r="V39" s="2">
        <v>585</v>
      </c>
      <c r="W39" s="2">
        <v>0.08</v>
      </c>
    </row>
    <row r="40" spans="1:23" x14ac:dyDescent="0.25">
      <c r="A40" s="2" t="s">
        <v>37</v>
      </c>
      <c r="B40" s="2">
        <v>48</v>
      </c>
      <c r="C40" s="2">
        <v>14761</v>
      </c>
      <c r="D40" s="2">
        <f>14767-14755</f>
        <v>12</v>
      </c>
      <c r="E40" s="2">
        <f t="shared" si="1"/>
        <v>0.97137727796219764</v>
      </c>
      <c r="T40" s="2">
        <v>2.5</v>
      </c>
      <c r="U40" s="2">
        <v>20835</v>
      </c>
      <c r="V40" s="2">
        <v>1151</v>
      </c>
      <c r="W40" s="2">
        <v>0.16</v>
      </c>
    </row>
    <row r="41" spans="1:23" x14ac:dyDescent="0.25">
      <c r="A41" s="2" t="s">
        <v>38</v>
      </c>
      <c r="B41" s="2">
        <v>33</v>
      </c>
      <c r="C41" s="2">
        <v>14965</v>
      </c>
      <c r="D41" s="2">
        <f>14971-14960</f>
        <v>11</v>
      </c>
      <c r="E41" s="2">
        <f t="shared" si="1"/>
        <v>0.95813564984964916</v>
      </c>
      <c r="T41" s="2">
        <v>3</v>
      </c>
      <c r="U41" s="2">
        <v>24996</v>
      </c>
      <c r="V41" s="2">
        <v>2895</v>
      </c>
      <c r="W41" s="2">
        <v>0.4</v>
      </c>
    </row>
    <row r="42" spans="1:23" x14ac:dyDescent="0.25">
      <c r="A42" s="2" t="s">
        <v>39</v>
      </c>
      <c r="B42" s="2">
        <v>49</v>
      </c>
      <c r="C42" s="2">
        <v>14688</v>
      </c>
      <c r="D42" s="2">
        <f>14693-14682</f>
        <v>11</v>
      </c>
      <c r="E42" s="2">
        <f t="shared" si="1"/>
        <v>0.97620506535947715</v>
      </c>
      <c r="I42" s="23"/>
      <c r="T42" s="2">
        <v>4</v>
      </c>
      <c r="U42" s="2">
        <v>33306</v>
      </c>
      <c r="V42" s="2">
        <v>5782</v>
      </c>
      <c r="W42" s="2">
        <v>0.8</v>
      </c>
    </row>
    <row r="43" spans="1:23" x14ac:dyDescent="0.25">
      <c r="A43" s="2" t="s">
        <v>40</v>
      </c>
      <c r="B43" s="2">
        <v>34</v>
      </c>
      <c r="C43" s="2">
        <v>14296</v>
      </c>
      <c r="D43" s="2">
        <f>14301-14289</f>
        <v>12</v>
      </c>
      <c r="E43" s="2">
        <f t="shared" si="1"/>
        <v>1.0029728595411305</v>
      </c>
      <c r="I43" s="23"/>
      <c r="S43" t="s">
        <v>137</v>
      </c>
      <c r="V43" s="2">
        <v>11356</v>
      </c>
      <c r="W43" s="2">
        <v>1.6</v>
      </c>
    </row>
    <row r="44" spans="1:23" x14ac:dyDescent="0.25">
      <c r="A44" s="2" t="s">
        <v>41</v>
      </c>
      <c r="B44" s="2">
        <v>50</v>
      </c>
      <c r="C44" s="2">
        <v>14448</v>
      </c>
      <c r="D44" s="2">
        <f>14453-14442</f>
        <v>11</v>
      </c>
      <c r="E44" s="2">
        <f t="shared" si="1"/>
        <v>0.9924210963455149</v>
      </c>
      <c r="V44" s="2">
        <v>28614</v>
      </c>
      <c r="W44" s="2">
        <v>4</v>
      </c>
    </row>
    <row r="45" spans="1:23" x14ac:dyDescent="0.25">
      <c r="A45" s="2" t="s">
        <v>42</v>
      </c>
      <c r="B45" s="2">
        <v>35</v>
      </c>
      <c r="C45" s="2">
        <v>14172</v>
      </c>
      <c r="D45" s="2">
        <f>14178-14167</f>
        <v>11</v>
      </c>
      <c r="E45" s="2">
        <f t="shared" si="1"/>
        <v>1.0117485182049111</v>
      </c>
      <c r="V45" s="2">
        <v>57018</v>
      </c>
      <c r="W45" s="2">
        <v>8</v>
      </c>
    </row>
    <row r="46" spans="1:23" x14ac:dyDescent="0.25">
      <c r="A46" s="2" t="s">
        <v>43</v>
      </c>
      <c r="B46" s="2">
        <v>51</v>
      </c>
      <c r="C46" s="2">
        <v>13959</v>
      </c>
      <c r="D46" s="2">
        <f>13965-13953</f>
        <v>12</v>
      </c>
      <c r="E46" s="2">
        <f t="shared" si="1"/>
        <v>1.0271867612293144</v>
      </c>
      <c r="T46" t="s">
        <v>138</v>
      </c>
      <c r="U46" t="s">
        <v>141</v>
      </c>
      <c r="V46" t="s">
        <v>138</v>
      </c>
      <c r="W46" t="s">
        <v>146</v>
      </c>
    </row>
    <row r="47" spans="1:23" x14ac:dyDescent="0.25">
      <c r="A47" s="2" t="s">
        <v>44</v>
      </c>
      <c r="B47" s="2">
        <v>36</v>
      </c>
      <c r="C47" s="2">
        <v>14307</v>
      </c>
      <c r="D47" s="2">
        <f>14313-14301</f>
        <v>12</v>
      </c>
      <c r="E47" s="2">
        <f t="shared" si="1"/>
        <v>1.0022017194380373</v>
      </c>
      <c r="T47" t="s">
        <v>139</v>
      </c>
      <c r="U47" t="s">
        <v>140</v>
      </c>
      <c r="V47" t="s">
        <v>139</v>
      </c>
      <c r="W47" t="s">
        <v>147</v>
      </c>
    </row>
    <row r="48" spans="1:23" x14ac:dyDescent="0.25">
      <c r="A48" s="2" t="s">
        <v>45</v>
      </c>
      <c r="B48" s="2">
        <v>52</v>
      </c>
      <c r="C48" s="2">
        <v>14440</v>
      </c>
      <c r="D48" s="2">
        <f>14446-14435</f>
        <v>11</v>
      </c>
      <c r="E48" s="2">
        <f t="shared" si="1"/>
        <v>0.99297091412742378</v>
      </c>
    </row>
    <row r="49" spans="1:5" x14ac:dyDescent="0.25">
      <c r="A49" s="2" t="s">
        <v>46</v>
      </c>
      <c r="B49" s="2">
        <v>37</v>
      </c>
      <c r="C49" s="2">
        <v>14226</v>
      </c>
      <c r="D49" s="2">
        <f>14232-14220</f>
        <v>12</v>
      </c>
      <c r="E49" s="2">
        <f t="shared" si="1"/>
        <v>1.007908055672712</v>
      </c>
    </row>
    <row r="50" spans="1:5" x14ac:dyDescent="0.25">
      <c r="A50" s="2" t="s">
        <v>47</v>
      </c>
      <c r="B50" s="2">
        <v>53</v>
      </c>
      <c r="C50" s="2">
        <v>14417.5</v>
      </c>
      <c r="D50" s="2">
        <f>14423-14411</f>
        <v>12</v>
      </c>
      <c r="E50" s="2">
        <f t="shared" si="1"/>
        <v>0.9945205479452055</v>
      </c>
    </row>
    <row r="51" spans="1:5" x14ac:dyDescent="0.25">
      <c r="A51" s="2" t="s">
        <v>48</v>
      </c>
      <c r="B51" s="2">
        <v>38</v>
      </c>
      <c r="C51" s="2">
        <v>14471</v>
      </c>
      <c r="D51" s="2">
        <f>14477-14465</f>
        <v>12</v>
      </c>
      <c r="E51" s="2">
        <f t="shared" si="1"/>
        <v>0.99084375647847422</v>
      </c>
    </row>
    <row r="52" spans="1:5" x14ac:dyDescent="0.25">
      <c r="A52" s="2" t="s">
        <v>49</v>
      </c>
      <c r="B52" s="2">
        <v>54</v>
      </c>
      <c r="C52" s="2">
        <v>14607</v>
      </c>
      <c r="D52" s="2">
        <f>14614-14601</f>
        <v>13</v>
      </c>
      <c r="E52" s="2">
        <f t="shared" si="1"/>
        <v>0.98161840213596219</v>
      </c>
    </row>
    <row r="53" spans="1:5" x14ac:dyDescent="0.25">
      <c r="A53" s="2" t="s">
        <v>50</v>
      </c>
      <c r="B53" s="2">
        <v>39</v>
      </c>
      <c r="C53" s="2">
        <v>14592</v>
      </c>
      <c r="D53" s="2">
        <f>14597-14586</f>
        <v>11</v>
      </c>
      <c r="E53" s="2">
        <f t="shared" si="1"/>
        <v>0.98262746710526316</v>
      </c>
    </row>
    <row r="54" spans="1:5" x14ac:dyDescent="0.25">
      <c r="A54" s="3" t="s">
        <v>51</v>
      </c>
      <c r="B54" s="3">
        <v>55</v>
      </c>
      <c r="C54" s="3">
        <v>14263</v>
      </c>
      <c r="D54" s="3">
        <f>14269-14256</f>
        <v>13</v>
      </c>
      <c r="E54" s="2">
        <f t="shared" si="1"/>
        <v>1.0052934165322864</v>
      </c>
    </row>
    <row r="55" spans="1:5" x14ac:dyDescent="0.25">
      <c r="A55" s="2" t="s">
        <v>52</v>
      </c>
      <c r="B55" s="2">
        <v>40</v>
      </c>
      <c r="C55" s="2">
        <v>14283</v>
      </c>
      <c r="D55" s="2">
        <f>14289-14277</f>
        <v>12</v>
      </c>
      <c r="E55" s="2">
        <f t="shared" si="1"/>
        <v>1.0038857382902751</v>
      </c>
    </row>
    <row r="56" spans="1:5" x14ac:dyDescent="0.25">
      <c r="A56" s="2" t="s">
        <v>53</v>
      </c>
      <c r="B56" s="2">
        <v>56</v>
      </c>
      <c r="C56" s="2">
        <v>13820</v>
      </c>
      <c r="D56" s="2">
        <f>13826-13814</f>
        <v>12</v>
      </c>
      <c r="E56" s="2">
        <f t="shared" si="1"/>
        <v>1.0375180897250362</v>
      </c>
    </row>
    <row r="57" spans="1:5" x14ac:dyDescent="0.25">
      <c r="A57" s="2" t="s">
        <v>54</v>
      </c>
      <c r="B57" s="2">
        <v>41</v>
      </c>
      <c r="C57" s="2">
        <v>14197</v>
      </c>
      <c r="D57" s="2">
        <f>14204-14190</f>
        <v>14</v>
      </c>
      <c r="E57" s="2">
        <f t="shared" si="1"/>
        <v>1.009966894414313</v>
      </c>
    </row>
    <row r="58" spans="1:5" x14ac:dyDescent="0.25">
      <c r="A58" s="2" t="s">
        <v>55</v>
      </c>
      <c r="B58" s="2">
        <v>57</v>
      </c>
      <c r="C58" s="2">
        <v>14775</v>
      </c>
      <c r="D58" s="2">
        <f>14781-14768</f>
        <v>13</v>
      </c>
      <c r="E58" s="2">
        <f t="shared" si="1"/>
        <v>0.97045685279187821</v>
      </c>
    </row>
    <row r="59" spans="1:5" x14ac:dyDescent="0.25">
      <c r="A59" s="2" t="s">
        <v>56</v>
      </c>
      <c r="B59" s="2">
        <v>42</v>
      </c>
      <c r="C59" s="2">
        <v>14302</v>
      </c>
      <c r="D59" s="2">
        <f>14308-14297</f>
        <v>11</v>
      </c>
      <c r="E59" s="2">
        <f t="shared" si="1"/>
        <v>1.0025520906166969</v>
      </c>
    </row>
    <row r="60" spans="1:5" x14ac:dyDescent="0.25">
      <c r="A60" s="2" t="s">
        <v>57</v>
      </c>
      <c r="B60" s="2">
        <v>58</v>
      </c>
      <c r="C60" s="2">
        <v>14026</v>
      </c>
      <c r="D60" s="2">
        <f>14032-14019</f>
        <v>13</v>
      </c>
      <c r="E60" s="2">
        <f t="shared" si="1"/>
        <v>1.0222800513332382</v>
      </c>
    </row>
    <row r="61" spans="1:5" x14ac:dyDescent="0.25">
      <c r="A61" s="2" t="s">
        <v>58</v>
      </c>
      <c r="B61" s="2">
        <v>43</v>
      </c>
      <c r="C61" s="2">
        <v>14160</v>
      </c>
      <c r="D61" s="2">
        <f>14166-14154</f>
        <v>12</v>
      </c>
      <c r="E61" s="2">
        <f t="shared" si="1"/>
        <v>1.0126059322033898</v>
      </c>
    </row>
    <row r="62" spans="1:5" x14ac:dyDescent="0.25">
      <c r="A62" s="2" t="s">
        <v>59</v>
      </c>
      <c r="B62" s="2">
        <v>59</v>
      </c>
      <c r="C62" s="2">
        <v>14603</v>
      </c>
      <c r="D62" s="2">
        <f>14609-14596</f>
        <v>13</v>
      </c>
      <c r="E62" s="2">
        <f t="shared" si="1"/>
        <v>0.98188728343491061</v>
      </c>
    </row>
    <row r="63" spans="1:5" x14ac:dyDescent="0.25">
      <c r="A63" s="2" t="s">
        <v>60</v>
      </c>
      <c r="B63" s="2">
        <v>44</v>
      </c>
      <c r="C63" s="2">
        <v>14415</v>
      </c>
      <c r="D63" s="2">
        <f>14421-14409</f>
        <v>12</v>
      </c>
      <c r="E63" s="2">
        <f t="shared" si="1"/>
        <v>0.99469302809573357</v>
      </c>
    </row>
    <row r="64" spans="1:5" x14ac:dyDescent="0.25">
      <c r="A64" s="2" t="s">
        <v>61</v>
      </c>
      <c r="B64" s="2">
        <v>60</v>
      </c>
      <c r="C64" s="2">
        <v>14167</v>
      </c>
      <c r="D64" s="2">
        <f>14173-14160</f>
        <v>13</v>
      </c>
      <c r="E64" s="2">
        <f t="shared" si="1"/>
        <v>1.0121055975153526</v>
      </c>
    </row>
    <row r="65" spans="1:5" x14ac:dyDescent="0.25">
      <c r="A65" s="2" t="s">
        <v>62</v>
      </c>
      <c r="B65" s="2">
        <v>45</v>
      </c>
      <c r="C65" s="2">
        <v>14510</v>
      </c>
      <c r="D65" s="2">
        <f>14516-14504</f>
        <v>12</v>
      </c>
      <c r="E65" s="2">
        <f t="shared" si="1"/>
        <v>0.9881805651274983</v>
      </c>
    </row>
    <row r="66" spans="1:5" x14ac:dyDescent="0.25">
      <c r="A66" s="2" t="s">
        <v>63</v>
      </c>
      <c r="B66" s="2">
        <v>61</v>
      </c>
      <c r="C66" s="2">
        <v>14541</v>
      </c>
      <c r="D66" s="2">
        <f>14547-14534</f>
        <v>13</v>
      </c>
      <c r="E66" s="2">
        <f t="shared" si="1"/>
        <v>0.98607386011966169</v>
      </c>
    </row>
    <row r="67" spans="1:5" x14ac:dyDescent="0.25">
      <c r="A67" s="2" t="s">
        <v>64</v>
      </c>
      <c r="B67" s="2">
        <v>46</v>
      </c>
      <c r="C67" s="2">
        <v>14158</v>
      </c>
      <c r="D67" s="2">
        <f>14164-14152</f>
        <v>12</v>
      </c>
      <c r="E67" s="2">
        <f t="shared" si="1"/>
        <v>1.0127489758440458</v>
      </c>
    </row>
    <row r="68" spans="1:5" x14ac:dyDescent="0.25">
      <c r="A68" s="2" t="s">
        <v>65</v>
      </c>
      <c r="B68" s="2">
        <v>62</v>
      </c>
      <c r="C68" s="2">
        <v>13956</v>
      </c>
      <c r="D68" s="2">
        <f>13963-13950</f>
        <v>13</v>
      </c>
      <c r="E68" s="2">
        <f t="shared" si="1"/>
        <v>1.0274075666380051</v>
      </c>
    </row>
    <row r="69" spans="1:5" x14ac:dyDescent="0.25">
      <c r="A69" s="2" t="s">
        <v>66</v>
      </c>
      <c r="B69" s="2">
        <v>47</v>
      </c>
      <c r="C69" s="2">
        <v>14086</v>
      </c>
      <c r="D69" s="2">
        <f>14092-14079</f>
        <v>13</v>
      </c>
      <c r="E69" s="2">
        <f t="shared" si="1"/>
        <v>1.0179255998864121</v>
      </c>
    </row>
    <row r="70" spans="1:5" x14ac:dyDescent="0.25">
      <c r="A70" s="3" t="s">
        <v>67</v>
      </c>
      <c r="B70" s="3">
        <v>63</v>
      </c>
      <c r="C70" s="3">
        <v>14408</v>
      </c>
      <c r="D70" s="3">
        <f>14414-14402</f>
        <v>12</v>
      </c>
      <c r="E70" s="2">
        <f t="shared" si="1"/>
        <v>0.99517629094947246</v>
      </c>
    </row>
    <row r="71" spans="1:5" x14ac:dyDescent="0.25">
      <c r="A71" s="6" t="s">
        <v>90</v>
      </c>
    </row>
    <row r="72" spans="1:5" x14ac:dyDescent="0.25">
      <c r="A72" s="6" t="s">
        <v>91</v>
      </c>
    </row>
    <row r="73" spans="1:5" x14ac:dyDescent="0.25">
      <c r="A73" s="14" t="s">
        <v>92</v>
      </c>
    </row>
    <row r="74" spans="1:5" x14ac:dyDescent="0.25">
      <c r="A74" s="6" t="s">
        <v>89</v>
      </c>
    </row>
    <row r="75" spans="1:5" x14ac:dyDescent="0.25">
      <c r="A75" s="6" t="s">
        <v>128</v>
      </c>
    </row>
    <row r="80" spans="1:5" x14ac:dyDescent="0.25">
      <c r="A80" s="24" t="s">
        <v>83</v>
      </c>
    </row>
    <row r="81" spans="1:10" ht="15.75" thickBot="1" x14ac:dyDescent="0.3">
      <c r="A81" s="4" t="s">
        <v>3</v>
      </c>
      <c r="B81" s="4" t="s">
        <v>68</v>
      </c>
      <c r="C81" s="4" t="s">
        <v>69</v>
      </c>
      <c r="D81" s="4" t="s">
        <v>78</v>
      </c>
      <c r="E81" s="4" t="s">
        <v>152</v>
      </c>
      <c r="I81" s="18">
        <f>AVERAGE(C82:C145)</f>
        <v>14263.015625</v>
      </c>
      <c r="J81" t="s">
        <v>84</v>
      </c>
    </row>
    <row r="82" spans="1:10" ht="15.75" thickTop="1" x14ac:dyDescent="0.25">
      <c r="A82" s="2" t="s">
        <v>4</v>
      </c>
      <c r="B82" s="7">
        <v>0</v>
      </c>
      <c r="C82" s="7">
        <v>14392</v>
      </c>
      <c r="D82" s="7">
        <f>14399-14384</f>
        <v>15</v>
      </c>
      <c r="E82" s="2">
        <f>$C$7/C82</f>
        <v>0.99628265703168428</v>
      </c>
      <c r="I82" s="12">
        <f>(13742-I81)/I81</f>
        <v>-3.6529135121101008E-2</v>
      </c>
      <c r="J82" t="s">
        <v>85</v>
      </c>
    </row>
    <row r="83" spans="1:10" x14ac:dyDescent="0.25">
      <c r="A83" s="2" t="s">
        <v>5</v>
      </c>
      <c r="B83" s="7">
        <v>16</v>
      </c>
      <c r="C83" s="7">
        <v>14053</v>
      </c>
      <c r="D83" s="7">
        <f>14060-14046</f>
        <v>14</v>
      </c>
      <c r="E83" s="2">
        <f>$C$7/C83</f>
        <v>1.020315946772931</v>
      </c>
      <c r="I83" s="12">
        <f>(14765-13742)/I81</f>
        <v>7.1723962652533377E-2</v>
      </c>
      <c r="J83" t="s">
        <v>87</v>
      </c>
    </row>
    <row r="84" spans="1:10" x14ac:dyDescent="0.25">
      <c r="A84" s="2" t="s">
        <v>6</v>
      </c>
      <c r="B84" s="7">
        <v>1</v>
      </c>
      <c r="C84" s="7">
        <v>14196</v>
      </c>
      <c r="D84" s="7">
        <f>14204-14189</f>
        <v>15</v>
      </c>
      <c r="E84" s="2">
        <f t="shared" ref="E84:E145" si="4">$C$7/C84</f>
        <v>1.0100380388841927</v>
      </c>
    </row>
    <row r="85" spans="1:10" x14ac:dyDescent="0.25">
      <c r="A85" s="2" t="s">
        <v>7</v>
      </c>
      <c r="B85" s="7">
        <v>17</v>
      </c>
      <c r="C85" s="7">
        <v>14020</v>
      </c>
      <c r="D85" s="7">
        <f>14027-14013</f>
        <v>14</v>
      </c>
      <c r="E85" s="2">
        <f t="shared" si="4"/>
        <v>1.0227175463623395</v>
      </c>
    </row>
    <row r="86" spans="1:10" x14ac:dyDescent="0.25">
      <c r="A86" s="2" t="s">
        <v>8</v>
      </c>
      <c r="B86" s="7">
        <v>2</v>
      </c>
      <c r="C86" s="7">
        <v>14222</v>
      </c>
      <c r="D86" s="7">
        <f>14229-14216</f>
        <v>13</v>
      </c>
      <c r="E86" s="2">
        <f t="shared" si="4"/>
        <v>1.0081915342427226</v>
      </c>
    </row>
    <row r="87" spans="1:10" x14ac:dyDescent="0.25">
      <c r="A87" s="2" t="s">
        <v>9</v>
      </c>
      <c r="B87" s="7">
        <v>18</v>
      </c>
      <c r="C87" s="7">
        <v>14275</v>
      </c>
      <c r="D87" s="7">
        <f>14282-14268</f>
        <v>14</v>
      </c>
      <c r="E87" s="2">
        <f t="shared" si="4"/>
        <v>1.0044483362521892</v>
      </c>
    </row>
    <row r="88" spans="1:10" x14ac:dyDescent="0.25">
      <c r="A88" s="2" t="s">
        <v>10</v>
      </c>
      <c r="B88" s="7">
        <v>3</v>
      </c>
      <c r="C88" s="7">
        <v>14193</v>
      </c>
      <c r="D88" s="7">
        <f>14199-14186</f>
        <v>13</v>
      </c>
      <c r="E88" s="2">
        <f t="shared" si="4"/>
        <v>1.0102515324455719</v>
      </c>
    </row>
    <row r="89" spans="1:10" x14ac:dyDescent="0.25">
      <c r="A89" s="2" t="s">
        <v>11</v>
      </c>
      <c r="B89" s="7">
        <v>19</v>
      </c>
      <c r="C89" s="7">
        <v>13939</v>
      </c>
      <c r="D89" s="7">
        <f>13947-13931</f>
        <v>16</v>
      </c>
      <c r="E89" s="2">
        <f t="shared" si="4"/>
        <v>1.0286605925819643</v>
      </c>
    </row>
    <row r="90" spans="1:10" x14ac:dyDescent="0.25">
      <c r="A90" s="2" t="s">
        <v>12</v>
      </c>
      <c r="B90" s="7">
        <v>4</v>
      </c>
      <c r="C90" s="7">
        <v>14296</v>
      </c>
      <c r="D90" s="7">
        <f>14303-14288</f>
        <v>15</v>
      </c>
      <c r="E90" s="2">
        <f t="shared" si="4"/>
        <v>1.0029728595411305</v>
      </c>
    </row>
    <row r="91" spans="1:10" x14ac:dyDescent="0.25">
      <c r="A91" s="2" t="s">
        <v>13</v>
      </c>
      <c r="B91" s="7">
        <v>20</v>
      </c>
      <c r="C91" s="7">
        <v>13903</v>
      </c>
      <c r="D91" s="7">
        <f>13910-13898</f>
        <v>12</v>
      </c>
      <c r="E91" s="2">
        <f t="shared" si="4"/>
        <v>1.0313241746385673</v>
      </c>
    </row>
    <row r="92" spans="1:10" x14ac:dyDescent="0.25">
      <c r="A92" s="2" t="s">
        <v>14</v>
      </c>
      <c r="B92" s="7">
        <v>5</v>
      </c>
      <c r="C92" s="7">
        <v>14584</v>
      </c>
      <c r="D92" s="7">
        <f>14591-14578</f>
        <v>13</v>
      </c>
      <c r="E92" s="2">
        <f t="shared" si="4"/>
        <v>0.98316648381788263</v>
      </c>
    </row>
    <row r="93" spans="1:10" x14ac:dyDescent="0.25">
      <c r="A93" s="2" t="s">
        <v>15</v>
      </c>
      <c r="B93" s="7">
        <v>21</v>
      </c>
      <c r="C93" s="7">
        <v>14171</v>
      </c>
      <c r="D93" s="7">
        <f>14178-14165</f>
        <v>13</v>
      </c>
      <c r="E93" s="2">
        <f t="shared" si="4"/>
        <v>1.0118199139086868</v>
      </c>
    </row>
    <row r="94" spans="1:10" x14ac:dyDescent="0.25">
      <c r="A94" s="2" t="s">
        <v>16</v>
      </c>
      <c r="B94" s="7">
        <v>6</v>
      </c>
      <c r="C94" s="7">
        <v>14565</v>
      </c>
      <c r="D94" s="7">
        <f>14571-14559</f>
        <v>12</v>
      </c>
      <c r="E94" s="2">
        <f t="shared" si="4"/>
        <v>0.9844490216271885</v>
      </c>
    </row>
    <row r="95" spans="1:10" x14ac:dyDescent="0.25">
      <c r="A95" s="2" t="s">
        <v>17</v>
      </c>
      <c r="B95" s="7">
        <v>22</v>
      </c>
      <c r="C95" s="7">
        <v>13925</v>
      </c>
      <c r="D95" s="7">
        <f>13933-13919</f>
        <v>14</v>
      </c>
      <c r="E95" s="2">
        <f t="shared" si="4"/>
        <v>1.0296947935368044</v>
      </c>
    </row>
    <row r="96" spans="1:10" x14ac:dyDescent="0.25">
      <c r="A96" s="2" t="s">
        <v>18</v>
      </c>
      <c r="B96" s="9">
        <v>7</v>
      </c>
      <c r="C96" s="9">
        <v>14536</v>
      </c>
      <c r="D96" s="9">
        <f>14543-14529</f>
        <v>14</v>
      </c>
      <c r="E96" s="2">
        <f t="shared" si="4"/>
        <v>0.98641304347826086</v>
      </c>
    </row>
    <row r="97" spans="1:5" x14ac:dyDescent="0.25">
      <c r="A97" s="3" t="s">
        <v>19</v>
      </c>
      <c r="B97" s="8">
        <v>23</v>
      </c>
      <c r="C97" s="8">
        <v>14091.5</v>
      </c>
      <c r="D97" s="8">
        <f>14098-14085</f>
        <v>13</v>
      </c>
      <c r="E97" s="2">
        <f t="shared" si="4"/>
        <v>1.01752829720044</v>
      </c>
    </row>
    <row r="98" spans="1:5" x14ac:dyDescent="0.25">
      <c r="A98" s="2" t="s">
        <v>20</v>
      </c>
      <c r="B98" s="7">
        <v>8</v>
      </c>
      <c r="C98" s="7">
        <v>14314</v>
      </c>
      <c r="D98" s="7">
        <f>14321-14307</f>
        <v>14</v>
      </c>
      <c r="E98" s="2">
        <f t="shared" si="4"/>
        <v>1.0017116110101998</v>
      </c>
    </row>
    <row r="99" spans="1:5" x14ac:dyDescent="0.25">
      <c r="A99" s="2" t="s">
        <v>21</v>
      </c>
      <c r="B99" s="7">
        <v>24</v>
      </c>
      <c r="C99" s="7">
        <v>13972</v>
      </c>
      <c r="D99" s="7">
        <f>13978-13966</f>
        <v>12</v>
      </c>
      <c r="E99" s="2">
        <f t="shared" si="4"/>
        <v>1.0262310334955627</v>
      </c>
    </row>
    <row r="100" spans="1:5" x14ac:dyDescent="0.25">
      <c r="A100" s="2" t="s">
        <v>22</v>
      </c>
      <c r="B100" s="7">
        <v>9</v>
      </c>
      <c r="C100" s="7">
        <v>14320</v>
      </c>
      <c r="D100" s="7">
        <f>14325-14314</f>
        <v>11</v>
      </c>
      <c r="E100" s="2">
        <f t="shared" si="4"/>
        <v>1.0012918994413407</v>
      </c>
    </row>
    <row r="101" spans="1:5" x14ac:dyDescent="0.25">
      <c r="A101" s="2" t="s">
        <v>23</v>
      </c>
      <c r="B101" s="7">
        <v>25</v>
      </c>
      <c r="C101" s="7">
        <v>14358</v>
      </c>
      <c r="D101" s="7">
        <f>14364-14352</f>
        <v>12</v>
      </c>
      <c r="E101" s="2">
        <f t="shared" si="4"/>
        <v>0.99864187212703714</v>
      </c>
    </row>
    <row r="102" spans="1:5" x14ac:dyDescent="0.25">
      <c r="A102" s="2" t="s">
        <v>24</v>
      </c>
      <c r="B102" s="7">
        <v>10</v>
      </c>
      <c r="C102" s="7">
        <v>14211</v>
      </c>
      <c r="D102" s="7">
        <f>14218-14205</f>
        <v>13</v>
      </c>
      <c r="E102" s="2">
        <f t="shared" si="4"/>
        <v>1.0089719231581169</v>
      </c>
    </row>
    <row r="103" spans="1:5" x14ac:dyDescent="0.25">
      <c r="A103" s="2" t="s">
        <v>25</v>
      </c>
      <c r="B103" s="7">
        <v>26</v>
      </c>
      <c r="C103" s="7">
        <v>14385</v>
      </c>
      <c r="D103" s="7">
        <f>14391-14378</f>
        <v>13</v>
      </c>
      <c r="E103" s="2">
        <f t="shared" si="4"/>
        <v>0.9967674661105318</v>
      </c>
    </row>
    <row r="104" spans="1:5" x14ac:dyDescent="0.25">
      <c r="A104" s="2" t="s">
        <v>26</v>
      </c>
      <c r="B104" s="7">
        <v>11</v>
      </c>
      <c r="C104" s="7">
        <v>14506</v>
      </c>
      <c r="D104" s="7">
        <f>14512-14500</f>
        <v>12</v>
      </c>
      <c r="E104" s="2">
        <f t="shared" si="4"/>
        <v>0.9884530539087274</v>
      </c>
    </row>
    <row r="105" spans="1:5" x14ac:dyDescent="0.25">
      <c r="A105" s="2" t="s">
        <v>27</v>
      </c>
      <c r="B105" s="7">
        <v>27</v>
      </c>
      <c r="C105" s="7">
        <v>14346</v>
      </c>
      <c r="D105" s="7">
        <f>14354-14339</f>
        <v>15</v>
      </c>
      <c r="E105" s="2">
        <f t="shared" si="4"/>
        <v>0.99947720618987868</v>
      </c>
    </row>
    <row r="106" spans="1:5" x14ac:dyDescent="0.25">
      <c r="A106" s="2" t="s">
        <v>28</v>
      </c>
      <c r="B106" s="7">
        <v>12</v>
      </c>
      <c r="C106" s="7">
        <v>14765</v>
      </c>
      <c r="D106" s="7">
        <f>14771-14759</f>
        <v>12</v>
      </c>
      <c r="E106" s="2">
        <f t="shared" si="4"/>
        <v>0.97111412123264473</v>
      </c>
    </row>
    <row r="107" spans="1:5" x14ac:dyDescent="0.25">
      <c r="A107" s="2" t="s">
        <v>29</v>
      </c>
      <c r="B107" s="7">
        <v>28</v>
      </c>
      <c r="C107" s="7">
        <v>13974.5</v>
      </c>
      <c r="D107" s="7">
        <f>13982-13967</f>
        <v>15</v>
      </c>
      <c r="E107" s="2">
        <f t="shared" si="4"/>
        <v>1.026047443557909</v>
      </c>
    </row>
    <row r="108" spans="1:5" x14ac:dyDescent="0.25">
      <c r="A108" s="2" t="s">
        <v>30</v>
      </c>
      <c r="B108" s="7">
        <v>13</v>
      </c>
      <c r="C108" s="7">
        <v>14309</v>
      </c>
      <c r="D108" s="7">
        <f>14317-14301</f>
        <v>16</v>
      </c>
      <c r="E108" s="2">
        <f t="shared" si="4"/>
        <v>1.0020616395275701</v>
      </c>
    </row>
    <row r="109" spans="1:5" x14ac:dyDescent="0.25">
      <c r="A109" s="2" t="s">
        <v>31</v>
      </c>
      <c r="B109" s="7">
        <v>29</v>
      </c>
      <c r="C109" s="7">
        <v>14344</v>
      </c>
      <c r="D109" s="7">
        <f>14350-14337</f>
        <v>13</v>
      </c>
      <c r="E109" s="2">
        <f t="shared" si="4"/>
        <v>0.99961656441717794</v>
      </c>
    </row>
    <row r="110" spans="1:5" x14ac:dyDescent="0.25">
      <c r="A110" s="2" t="s">
        <v>32</v>
      </c>
      <c r="B110" s="7">
        <v>14</v>
      </c>
      <c r="C110" s="7">
        <v>14234</v>
      </c>
      <c r="D110" s="7">
        <f>14239-14228</f>
        <v>11</v>
      </c>
      <c r="E110" s="2">
        <f t="shared" si="4"/>
        <v>1.0073415765069551</v>
      </c>
    </row>
    <row r="111" spans="1:5" x14ac:dyDescent="0.25">
      <c r="A111" s="2" t="s">
        <v>33</v>
      </c>
      <c r="B111" s="7">
        <v>30</v>
      </c>
      <c r="C111" s="7">
        <v>14157</v>
      </c>
      <c r="D111" s="7">
        <f>14164-14150</f>
        <v>14</v>
      </c>
      <c r="E111" s="2">
        <f t="shared" si="4"/>
        <v>1.0128205128205128</v>
      </c>
    </row>
    <row r="112" spans="1:5" x14ac:dyDescent="0.25">
      <c r="A112" s="2" t="s">
        <v>34</v>
      </c>
      <c r="B112" s="7">
        <v>15</v>
      </c>
      <c r="C112" s="7">
        <v>14261</v>
      </c>
      <c r="D112" s="7">
        <f>14266-14256</f>
        <v>10</v>
      </c>
      <c r="E112" s="2">
        <f t="shared" si="4"/>
        <v>1.0054344015146204</v>
      </c>
    </row>
    <row r="113" spans="1:5" x14ac:dyDescent="0.25">
      <c r="A113" s="3" t="s">
        <v>35</v>
      </c>
      <c r="B113" s="8">
        <v>31</v>
      </c>
      <c r="C113" s="8">
        <v>14713</v>
      </c>
      <c r="D113" s="8">
        <f>14719-14707</f>
        <v>12</v>
      </c>
      <c r="E113" s="2">
        <f t="shared" si="4"/>
        <v>0.97454631958132265</v>
      </c>
    </row>
    <row r="114" spans="1:5" x14ac:dyDescent="0.25">
      <c r="A114" s="2" t="s">
        <v>36</v>
      </c>
      <c r="B114" s="2">
        <v>32</v>
      </c>
      <c r="C114" s="7">
        <v>14413</v>
      </c>
      <c r="D114" s="7">
        <f>14419-14407</f>
        <v>12</v>
      </c>
      <c r="E114" s="2">
        <f t="shared" si="4"/>
        <v>0.99483105529730109</v>
      </c>
    </row>
    <row r="115" spans="1:5" x14ac:dyDescent="0.25">
      <c r="A115" s="2" t="s">
        <v>37</v>
      </c>
      <c r="B115" s="2">
        <v>48</v>
      </c>
      <c r="C115" s="7">
        <v>14021</v>
      </c>
      <c r="D115" s="7">
        <f>14027-14015</f>
        <v>12</v>
      </c>
      <c r="E115" s="2">
        <f t="shared" si="4"/>
        <v>1.0226446045217887</v>
      </c>
    </row>
    <row r="116" spans="1:5" x14ac:dyDescent="0.25">
      <c r="A116" s="2" t="s">
        <v>38</v>
      </c>
      <c r="B116" s="2">
        <v>33</v>
      </c>
      <c r="C116" s="7">
        <v>14608</v>
      </c>
      <c r="D116" s="7">
        <f>14614-14602</f>
        <v>12</v>
      </c>
      <c r="E116" s="2">
        <f t="shared" si="4"/>
        <v>0.98155120481927716</v>
      </c>
    </row>
    <row r="117" spans="1:5" x14ac:dyDescent="0.25">
      <c r="A117" s="2" t="s">
        <v>39</v>
      </c>
      <c r="B117" s="2">
        <v>49</v>
      </c>
      <c r="C117" s="7">
        <v>14184</v>
      </c>
      <c r="D117" s="7">
        <f>14189-14177</f>
        <v>12</v>
      </c>
      <c r="E117" s="2">
        <f t="shared" si="4"/>
        <v>1.0108925549915397</v>
      </c>
    </row>
    <row r="118" spans="1:5" x14ac:dyDescent="0.25">
      <c r="A118" s="2" t="s">
        <v>40</v>
      </c>
      <c r="B118" s="2">
        <v>34</v>
      </c>
      <c r="C118" s="7">
        <v>14619.5</v>
      </c>
      <c r="D118" s="7">
        <f>14625-14614</f>
        <v>11</v>
      </c>
      <c r="E118" s="2">
        <f t="shared" si="4"/>
        <v>0.98077909641232597</v>
      </c>
    </row>
    <row r="119" spans="1:5" x14ac:dyDescent="0.25">
      <c r="A119" s="2" t="s">
        <v>41</v>
      </c>
      <c r="B119" s="2">
        <v>50</v>
      </c>
      <c r="C119" s="7">
        <v>14394</v>
      </c>
      <c r="D119" s="7">
        <f>14399-14387</f>
        <v>12</v>
      </c>
      <c r="E119" s="2">
        <f t="shared" si="4"/>
        <v>0.99614422676115044</v>
      </c>
    </row>
    <row r="120" spans="1:5" x14ac:dyDescent="0.25">
      <c r="A120" s="2" t="s">
        <v>42</v>
      </c>
      <c r="B120" s="2">
        <v>35</v>
      </c>
      <c r="C120" s="7">
        <v>14741</v>
      </c>
      <c r="D120" s="7">
        <f>14747-14734</f>
        <v>13</v>
      </c>
      <c r="E120" s="2">
        <f t="shared" si="4"/>
        <v>0.97269520385319852</v>
      </c>
    </row>
    <row r="121" spans="1:5" x14ac:dyDescent="0.25">
      <c r="A121" s="2" t="s">
        <v>43</v>
      </c>
      <c r="B121" s="2">
        <v>51</v>
      </c>
      <c r="C121" s="7">
        <v>14002</v>
      </c>
      <c r="D121" s="7">
        <f>14007.5-13996.5</f>
        <v>11</v>
      </c>
      <c r="E121" s="2">
        <f t="shared" si="4"/>
        <v>1.0240322811026996</v>
      </c>
    </row>
    <row r="122" spans="1:5" x14ac:dyDescent="0.25">
      <c r="A122" s="2" t="s">
        <v>44</v>
      </c>
      <c r="B122" s="2">
        <v>36</v>
      </c>
      <c r="C122" s="7">
        <v>14607</v>
      </c>
      <c r="D122" s="7">
        <f>14613-14601</f>
        <v>12</v>
      </c>
      <c r="E122" s="2">
        <f t="shared" si="4"/>
        <v>0.98161840213596219</v>
      </c>
    </row>
    <row r="123" spans="1:5" x14ac:dyDescent="0.25">
      <c r="A123" s="2" t="s">
        <v>45</v>
      </c>
      <c r="B123" s="2">
        <v>52</v>
      </c>
      <c r="C123" s="7">
        <v>14392</v>
      </c>
      <c r="D123" s="7">
        <f>14399-14387</f>
        <v>12</v>
      </c>
      <c r="E123" s="2">
        <f t="shared" si="4"/>
        <v>0.99628265703168428</v>
      </c>
    </row>
    <row r="124" spans="1:5" x14ac:dyDescent="0.25">
      <c r="A124" s="2" t="s">
        <v>46</v>
      </c>
      <c r="B124" s="2">
        <v>37</v>
      </c>
      <c r="C124" s="7">
        <v>14488</v>
      </c>
      <c r="D124" s="7">
        <f>14494-14482</f>
        <v>12</v>
      </c>
      <c r="E124" s="2">
        <f t="shared" si="4"/>
        <v>0.98968111540585313</v>
      </c>
    </row>
    <row r="125" spans="1:5" x14ac:dyDescent="0.25">
      <c r="A125" s="2" t="s">
        <v>47</v>
      </c>
      <c r="B125" s="2">
        <v>53</v>
      </c>
      <c r="C125" s="7">
        <v>14285</v>
      </c>
      <c r="D125" s="7">
        <f>14290-14279</f>
        <v>11</v>
      </c>
      <c r="E125" s="2">
        <f t="shared" si="4"/>
        <v>1.003745187259363</v>
      </c>
    </row>
    <row r="126" spans="1:5" x14ac:dyDescent="0.25">
      <c r="A126" s="2" t="s">
        <v>48</v>
      </c>
      <c r="B126" s="2">
        <v>38</v>
      </c>
      <c r="C126" s="7">
        <v>14265</v>
      </c>
      <c r="D126" s="7">
        <f>14270-14259</f>
        <v>11</v>
      </c>
      <c r="E126" s="2">
        <f t="shared" si="4"/>
        <v>1.0051524710830704</v>
      </c>
    </row>
    <row r="127" spans="1:5" x14ac:dyDescent="0.25">
      <c r="A127" s="2" t="s">
        <v>49</v>
      </c>
      <c r="B127" s="2">
        <v>54</v>
      </c>
      <c r="C127" s="7">
        <v>14226</v>
      </c>
      <c r="D127" s="7">
        <f>14233-14221</f>
        <v>12</v>
      </c>
      <c r="E127" s="2">
        <f t="shared" si="4"/>
        <v>1.007908055672712</v>
      </c>
    </row>
    <row r="128" spans="1:5" x14ac:dyDescent="0.25">
      <c r="A128" s="2" t="s">
        <v>50</v>
      </c>
      <c r="B128" s="2">
        <v>39</v>
      </c>
      <c r="C128" s="7">
        <v>14498</v>
      </c>
      <c r="D128" s="7">
        <f>14504-14492</f>
        <v>12</v>
      </c>
      <c r="E128" s="2">
        <f t="shared" si="4"/>
        <v>0.9889984825493171</v>
      </c>
    </row>
    <row r="129" spans="1:5" x14ac:dyDescent="0.25">
      <c r="A129" s="13" t="s">
        <v>51</v>
      </c>
      <c r="B129" s="3">
        <v>55</v>
      </c>
      <c r="C129" s="8">
        <v>14218</v>
      </c>
      <c r="D129" s="8">
        <f>14224-14212</f>
        <v>12</v>
      </c>
      <c r="E129" s="2">
        <f t="shared" si="4"/>
        <v>1.0084751723167815</v>
      </c>
    </row>
    <row r="130" spans="1:5" x14ac:dyDescent="0.25">
      <c r="A130" s="2" t="s">
        <v>52</v>
      </c>
      <c r="B130" s="2">
        <v>40</v>
      </c>
      <c r="C130" s="7">
        <v>14248</v>
      </c>
      <c r="D130" s="7">
        <f>14255-14241</f>
        <v>14</v>
      </c>
      <c r="E130" s="2">
        <f t="shared" si="4"/>
        <v>1.0063517686692869</v>
      </c>
    </row>
    <row r="131" spans="1:5" x14ac:dyDescent="0.25">
      <c r="A131" s="2" t="s">
        <v>53</v>
      </c>
      <c r="B131" s="2">
        <v>56</v>
      </c>
      <c r="C131" s="7">
        <v>14022</v>
      </c>
      <c r="D131" s="7">
        <f>14028-14016</f>
        <v>12</v>
      </c>
      <c r="E131" s="2">
        <f t="shared" si="4"/>
        <v>1.022571673085152</v>
      </c>
    </row>
    <row r="132" spans="1:5" x14ac:dyDescent="0.25">
      <c r="A132" s="2" t="s">
        <v>54</v>
      </c>
      <c r="B132" s="2">
        <v>41</v>
      </c>
      <c r="C132" s="7">
        <v>14523</v>
      </c>
      <c r="D132" s="7">
        <f>14529-14517</f>
        <v>12</v>
      </c>
      <c r="E132" s="2">
        <f t="shared" si="4"/>
        <v>0.98729601322040905</v>
      </c>
    </row>
    <row r="133" spans="1:5" x14ac:dyDescent="0.25">
      <c r="A133" s="2" t="s">
        <v>55</v>
      </c>
      <c r="B133" s="2">
        <v>57</v>
      </c>
      <c r="C133" s="7">
        <v>14366</v>
      </c>
      <c r="D133" s="7">
        <f>14373-14360</f>
        <v>13</v>
      </c>
      <c r="E133" s="2">
        <f t="shared" si="4"/>
        <v>0.99808575803981625</v>
      </c>
    </row>
    <row r="134" spans="1:5" x14ac:dyDescent="0.25">
      <c r="A134" s="2" t="s">
        <v>56</v>
      </c>
      <c r="B134" s="2">
        <v>42</v>
      </c>
      <c r="C134" s="7">
        <v>14175</v>
      </c>
      <c r="D134" s="7">
        <f>14181-14169</f>
        <v>12</v>
      </c>
      <c r="E134" s="2">
        <f t="shared" si="4"/>
        <v>1.0115343915343915</v>
      </c>
    </row>
    <row r="135" spans="1:5" x14ac:dyDescent="0.25">
      <c r="A135" s="2" t="s">
        <v>57</v>
      </c>
      <c r="B135" s="2">
        <v>58</v>
      </c>
      <c r="C135" s="7">
        <v>14027</v>
      </c>
      <c r="D135" s="7">
        <f>14033-14022</f>
        <v>11</v>
      </c>
      <c r="E135" s="2">
        <f t="shared" si="4"/>
        <v>1.0222071718827974</v>
      </c>
    </row>
    <row r="136" spans="1:5" x14ac:dyDescent="0.25">
      <c r="A136" s="2" t="s">
        <v>58</v>
      </c>
      <c r="B136" s="2">
        <v>43</v>
      </c>
      <c r="C136" s="7">
        <v>14114.5</v>
      </c>
      <c r="D136" s="7">
        <f>14120-14108</f>
        <v>12</v>
      </c>
      <c r="E136" s="2">
        <f t="shared" si="4"/>
        <v>1.0158702043997307</v>
      </c>
    </row>
    <row r="137" spans="1:5" x14ac:dyDescent="0.25">
      <c r="A137" s="2" t="s">
        <v>59</v>
      </c>
      <c r="B137" s="2">
        <v>59</v>
      </c>
      <c r="C137" s="7">
        <v>14101</v>
      </c>
      <c r="D137" s="7">
        <f>14107-14094</f>
        <v>13</v>
      </c>
      <c r="E137" s="2">
        <f>$C$7/C137</f>
        <v>1.0168427771080066</v>
      </c>
    </row>
    <row r="138" spans="1:5" x14ac:dyDescent="0.25">
      <c r="A138" s="2" t="s">
        <v>60</v>
      </c>
      <c r="B138" s="2">
        <v>44</v>
      </c>
      <c r="C138" s="7">
        <v>14262</v>
      </c>
      <c r="D138" s="7">
        <f>14269-14255</f>
        <v>14</v>
      </c>
      <c r="E138" s="2">
        <f t="shared" si="4"/>
        <v>1.005363904080774</v>
      </c>
    </row>
    <row r="139" spans="1:5" x14ac:dyDescent="0.25">
      <c r="A139" s="2" t="s">
        <v>61</v>
      </c>
      <c r="B139" s="2">
        <v>60</v>
      </c>
      <c r="C139" s="7">
        <v>14083</v>
      </c>
      <c r="D139" s="7">
        <f>14089-14077</f>
        <v>12</v>
      </c>
      <c r="E139" s="2">
        <f t="shared" si="4"/>
        <v>1.0181424412412128</v>
      </c>
    </row>
    <row r="140" spans="1:5" x14ac:dyDescent="0.25">
      <c r="A140" s="2" t="s">
        <v>62</v>
      </c>
      <c r="B140" s="2">
        <v>45</v>
      </c>
      <c r="C140" s="7">
        <v>14278</v>
      </c>
      <c r="D140" s="7">
        <f>14285-14271</f>
        <v>14</v>
      </c>
      <c r="E140" s="2">
        <f t="shared" si="4"/>
        <v>1.0042372881355932</v>
      </c>
    </row>
    <row r="141" spans="1:5" x14ac:dyDescent="0.25">
      <c r="A141" s="2" t="s">
        <v>63</v>
      </c>
      <c r="B141" s="2">
        <v>61</v>
      </c>
      <c r="C141" s="7">
        <v>13742</v>
      </c>
      <c r="D141" s="7">
        <f>13749-13735</f>
        <v>14</v>
      </c>
      <c r="E141" s="2">
        <f t="shared" si="4"/>
        <v>1.0434070732062291</v>
      </c>
    </row>
    <row r="142" spans="1:5" x14ac:dyDescent="0.25">
      <c r="A142" s="2" t="s">
        <v>64</v>
      </c>
      <c r="B142" s="2">
        <v>46</v>
      </c>
      <c r="C142" s="7">
        <v>14049</v>
      </c>
      <c r="D142" s="7">
        <f>14055-14042</f>
        <v>13</v>
      </c>
      <c r="E142" s="2">
        <f t="shared" si="4"/>
        <v>1.0206064488575699</v>
      </c>
    </row>
    <row r="143" spans="1:5" x14ac:dyDescent="0.25">
      <c r="A143" s="2" t="s">
        <v>65</v>
      </c>
      <c r="B143" s="2">
        <v>62</v>
      </c>
      <c r="C143" s="7">
        <v>13941</v>
      </c>
      <c r="D143" s="7">
        <f>13948-13935</f>
        <v>13</v>
      </c>
      <c r="E143" s="2">
        <f t="shared" si="4"/>
        <v>1.0285130191521412</v>
      </c>
    </row>
    <row r="144" spans="1:5" x14ac:dyDescent="0.25">
      <c r="A144" s="2" t="s">
        <v>66</v>
      </c>
      <c r="B144" s="2">
        <v>47</v>
      </c>
      <c r="C144" s="7">
        <v>14346</v>
      </c>
      <c r="D144" s="7">
        <f>14352-14339</f>
        <v>13</v>
      </c>
      <c r="E144" s="2">
        <f>$C$7/C144</f>
        <v>0.99947720618987868</v>
      </c>
    </row>
    <row r="145" spans="1:15" x14ac:dyDescent="0.25">
      <c r="A145" s="3" t="s">
        <v>67</v>
      </c>
      <c r="B145" s="3">
        <v>63</v>
      </c>
      <c r="C145" s="8">
        <v>14063</v>
      </c>
      <c r="D145" s="8">
        <f>14070-14056</f>
        <v>14</v>
      </c>
      <c r="E145" s="2">
        <f t="shared" si="4"/>
        <v>1.0195904145630377</v>
      </c>
    </row>
    <row r="146" spans="1:15" x14ac:dyDescent="0.25">
      <c r="A146" s="6" t="s">
        <v>93</v>
      </c>
    </row>
    <row r="147" spans="1:15" x14ac:dyDescent="0.25">
      <c r="A147" s="6" t="s">
        <v>94</v>
      </c>
    </row>
    <row r="148" spans="1:15" x14ac:dyDescent="0.25">
      <c r="A148" s="6" t="s">
        <v>95</v>
      </c>
    </row>
    <row r="149" spans="1:15" x14ac:dyDescent="0.25">
      <c r="A149" s="6" t="s">
        <v>96</v>
      </c>
    </row>
    <row r="150" spans="1:15" x14ac:dyDescent="0.25">
      <c r="A150" s="14" t="s">
        <v>106</v>
      </c>
    </row>
    <row r="151" spans="1:15" x14ac:dyDescent="0.25">
      <c r="A151" s="14" t="s">
        <v>105</v>
      </c>
    </row>
    <row r="152" spans="1:15" x14ac:dyDescent="0.25">
      <c r="A152" s="6" t="s">
        <v>107</v>
      </c>
    </row>
    <row r="154" spans="1:15" x14ac:dyDescent="0.25">
      <c r="A154" s="6"/>
    </row>
    <row r="156" spans="1:15" x14ac:dyDescent="0.25">
      <c r="A156" s="24" t="s">
        <v>86</v>
      </c>
      <c r="C156" s="33" t="s">
        <v>163</v>
      </c>
    </row>
    <row r="157" spans="1:15" ht="15.75" thickBot="1" x14ac:dyDescent="0.3">
      <c r="A157" s="4" t="s">
        <v>3</v>
      </c>
      <c r="B157" s="4" t="s">
        <v>68</v>
      </c>
      <c r="C157" s="4" t="s">
        <v>69</v>
      </c>
      <c r="D157" s="4" t="s">
        <v>78</v>
      </c>
      <c r="E157" s="4" t="s">
        <v>152</v>
      </c>
      <c r="K157" s="1" t="s">
        <v>161</v>
      </c>
      <c r="N157" s="18">
        <f>AVERAGE(C158:C221)</f>
        <v>14481.341463414634</v>
      </c>
      <c r="O157" s="30" t="s">
        <v>84</v>
      </c>
    </row>
    <row r="158" spans="1:15" ht="15.75" thickTop="1" x14ac:dyDescent="0.25">
      <c r="A158" s="2" t="s">
        <v>4</v>
      </c>
      <c r="B158" s="7">
        <v>0</v>
      </c>
      <c r="C158" s="7"/>
      <c r="E158" s="2" t="e">
        <f>$C$7/C158</f>
        <v>#DIV/0!</v>
      </c>
      <c r="F158" s="16" t="s">
        <v>160</v>
      </c>
      <c r="K158" t="s">
        <v>162</v>
      </c>
      <c r="N158" s="12">
        <f>(13984-N157)/N157</f>
        <v>-3.4343604470007644E-2</v>
      </c>
      <c r="O158" s="30" t="s">
        <v>85</v>
      </c>
    </row>
    <row r="159" spans="1:15" x14ac:dyDescent="0.25">
      <c r="A159" s="2" t="s">
        <v>5</v>
      </c>
      <c r="B159" s="7">
        <v>16</v>
      </c>
      <c r="C159" s="7">
        <v>14596</v>
      </c>
      <c r="D159" s="7">
        <f>14603-14589</f>
        <v>14</v>
      </c>
      <c r="E159" s="2">
        <f t="shared" ref="E159:E220" si="5">$C$7/C159</f>
        <v>0.9823581803233763</v>
      </c>
      <c r="K159" t="s">
        <v>157</v>
      </c>
      <c r="N159" s="12">
        <f>(14850-13984)/N157</f>
        <v>5.9801089711740085E-2</v>
      </c>
      <c r="O159" s="30" t="s">
        <v>87</v>
      </c>
    </row>
    <row r="160" spans="1:15" x14ac:dyDescent="0.25">
      <c r="A160" s="2" t="s">
        <v>6</v>
      </c>
      <c r="B160" s="7">
        <v>1</v>
      </c>
      <c r="C160" s="7">
        <v>14209</v>
      </c>
      <c r="D160" s="7">
        <f>14216-14201</f>
        <v>15</v>
      </c>
      <c r="E160" s="2">
        <f t="shared" si="5"/>
        <v>1.0091139418678303</v>
      </c>
      <c r="K160" t="s">
        <v>157</v>
      </c>
    </row>
    <row r="161" spans="1:11" x14ac:dyDescent="0.25">
      <c r="A161" s="2" t="s">
        <v>7</v>
      </c>
      <c r="B161" s="7">
        <v>17</v>
      </c>
      <c r="C161" s="7">
        <v>14153</v>
      </c>
      <c r="D161" s="7">
        <f>14160-14146</f>
        <v>14</v>
      </c>
      <c r="E161" s="2">
        <f t="shared" si="5"/>
        <v>1.0131067618172827</v>
      </c>
      <c r="K161" t="s">
        <v>157</v>
      </c>
    </row>
    <row r="162" spans="1:11" x14ac:dyDescent="0.25">
      <c r="A162" s="2" t="s">
        <v>8</v>
      </c>
      <c r="B162" s="7">
        <v>2</v>
      </c>
      <c r="C162" s="7"/>
      <c r="E162" s="2" t="e">
        <f t="shared" si="5"/>
        <v>#DIV/0!</v>
      </c>
      <c r="F162" s="7" t="s">
        <v>88</v>
      </c>
      <c r="K162" t="s">
        <v>162</v>
      </c>
    </row>
    <row r="163" spans="1:11" x14ac:dyDescent="0.25">
      <c r="A163" s="2" t="s">
        <v>9</v>
      </c>
      <c r="B163" s="7">
        <v>18</v>
      </c>
      <c r="C163" s="7">
        <v>14515</v>
      </c>
      <c r="D163" s="7">
        <f>14522-14508</f>
        <v>14</v>
      </c>
      <c r="E163" s="2">
        <f t="shared" si="5"/>
        <v>0.98784016534619357</v>
      </c>
      <c r="K163" t="s">
        <v>157</v>
      </c>
    </row>
    <row r="164" spans="1:11" x14ac:dyDescent="0.25">
      <c r="A164" s="2" t="s">
        <v>10</v>
      </c>
      <c r="B164" s="7">
        <v>3</v>
      </c>
      <c r="C164" s="7">
        <v>14616.5</v>
      </c>
      <c r="D164" s="7">
        <f>14623-14609</f>
        <v>14</v>
      </c>
      <c r="E164" s="2">
        <f t="shared" si="5"/>
        <v>0.98098039886429722</v>
      </c>
      <c r="K164" t="s">
        <v>157</v>
      </c>
    </row>
    <row r="165" spans="1:11" x14ac:dyDescent="0.25">
      <c r="A165" s="2" t="s">
        <v>11</v>
      </c>
      <c r="B165" s="7">
        <v>19</v>
      </c>
      <c r="C165" s="7">
        <v>14397</v>
      </c>
      <c r="D165" s="7">
        <f>14404-14391</f>
        <v>13</v>
      </c>
      <c r="E165" s="2">
        <f t="shared" si="5"/>
        <v>0.9959366534694728</v>
      </c>
      <c r="K165" t="s">
        <v>157</v>
      </c>
    </row>
    <row r="166" spans="1:11" x14ac:dyDescent="0.25">
      <c r="A166" s="2" t="s">
        <v>12</v>
      </c>
      <c r="B166" s="7">
        <v>4</v>
      </c>
      <c r="C166" s="7">
        <v>14398</v>
      </c>
      <c r="D166" s="7">
        <f>14405-14391</f>
        <v>14</v>
      </c>
      <c r="E166" s="2">
        <f t="shared" si="5"/>
        <v>0.99586748159466587</v>
      </c>
      <c r="K166" t="s">
        <v>157</v>
      </c>
    </row>
    <row r="167" spans="1:11" x14ac:dyDescent="0.25">
      <c r="A167" s="2" t="s">
        <v>13</v>
      </c>
      <c r="B167" s="7">
        <v>20</v>
      </c>
      <c r="C167" s="7">
        <v>14094.5</v>
      </c>
      <c r="D167" s="7">
        <f>14101-14088</f>
        <v>13</v>
      </c>
      <c r="E167" s="2">
        <f t="shared" si="5"/>
        <v>1.0173117173365498</v>
      </c>
      <c r="K167" t="s">
        <v>157</v>
      </c>
    </row>
    <row r="168" spans="1:11" x14ac:dyDescent="0.25">
      <c r="A168" s="2" t="s">
        <v>14</v>
      </c>
      <c r="B168" s="7">
        <v>5</v>
      </c>
      <c r="C168" s="7"/>
      <c r="D168" s="7"/>
      <c r="E168" s="2" t="e">
        <f t="shared" si="5"/>
        <v>#DIV/0!</v>
      </c>
      <c r="F168" s="7" t="s">
        <v>88</v>
      </c>
      <c r="K168" t="s">
        <v>162</v>
      </c>
    </row>
    <row r="169" spans="1:11" x14ac:dyDescent="0.25">
      <c r="A169" s="2" t="s">
        <v>15</v>
      </c>
      <c r="B169" s="7">
        <v>21</v>
      </c>
      <c r="C169" s="7">
        <v>13984.5</v>
      </c>
      <c r="D169" s="7">
        <f>13991-13978</f>
        <v>13</v>
      </c>
      <c r="E169" s="2">
        <f t="shared" si="5"/>
        <v>1.025313740212378</v>
      </c>
      <c r="K169" t="s">
        <v>157</v>
      </c>
    </row>
    <row r="170" spans="1:11" x14ac:dyDescent="0.25">
      <c r="A170" s="2" t="s">
        <v>16</v>
      </c>
      <c r="B170" s="7">
        <v>6</v>
      </c>
      <c r="C170" s="7">
        <v>14130</v>
      </c>
      <c r="D170" s="7">
        <f>14136-14123</f>
        <v>13</v>
      </c>
      <c r="E170" s="2">
        <f t="shared" si="5"/>
        <v>1.014755838641189</v>
      </c>
      <c r="K170" t="s">
        <v>157</v>
      </c>
    </row>
    <row r="171" spans="1:11" x14ac:dyDescent="0.25">
      <c r="A171" s="2" t="s">
        <v>17</v>
      </c>
      <c r="B171" s="7">
        <v>22</v>
      </c>
      <c r="C171" s="7">
        <v>14540</v>
      </c>
      <c r="D171" s="7">
        <f>14546-14533</f>
        <v>13</v>
      </c>
      <c r="E171" s="2">
        <f t="shared" si="5"/>
        <v>0.98614167812929854</v>
      </c>
      <c r="K171" t="s">
        <v>157</v>
      </c>
    </row>
    <row r="172" spans="1:11" x14ac:dyDescent="0.25">
      <c r="A172" s="2" t="s">
        <v>18</v>
      </c>
      <c r="B172" s="9">
        <v>7</v>
      </c>
      <c r="C172" s="9">
        <v>14450.5</v>
      </c>
      <c r="D172" s="9">
        <f>14457-14443</f>
        <v>14</v>
      </c>
      <c r="E172" s="2">
        <f t="shared" si="5"/>
        <v>0.99224940313483967</v>
      </c>
      <c r="K172" t="s">
        <v>157</v>
      </c>
    </row>
    <row r="173" spans="1:11" x14ac:dyDescent="0.25">
      <c r="A173" s="3" t="s">
        <v>19</v>
      </c>
      <c r="B173" s="8">
        <v>23</v>
      </c>
      <c r="C173" s="8">
        <v>14535.5</v>
      </c>
      <c r="D173" s="8">
        <f>14542-14529</f>
        <v>13</v>
      </c>
      <c r="E173" s="2">
        <f t="shared" si="5"/>
        <v>0.98644697464827491</v>
      </c>
      <c r="K173" t="s">
        <v>157</v>
      </c>
    </row>
    <row r="174" spans="1:11" x14ac:dyDescent="0.25">
      <c r="A174" s="2" t="s">
        <v>20</v>
      </c>
      <c r="B174" s="7">
        <v>8</v>
      </c>
      <c r="C174" s="7">
        <v>14082</v>
      </c>
      <c r="D174" s="7">
        <f>14088-14075</f>
        <v>13</v>
      </c>
      <c r="E174" s="2">
        <f t="shared" si="5"/>
        <v>1.0182147422241159</v>
      </c>
      <c r="K174" t="s">
        <v>157</v>
      </c>
    </row>
    <row r="175" spans="1:11" x14ac:dyDescent="0.25">
      <c r="A175" s="2" t="s">
        <v>21</v>
      </c>
      <c r="B175" s="7">
        <v>24</v>
      </c>
      <c r="C175" s="7">
        <v>14527</v>
      </c>
      <c r="D175" s="7">
        <f>14534-14520</f>
        <v>14</v>
      </c>
      <c r="E175" s="2">
        <f t="shared" si="5"/>
        <v>0.98702416190541753</v>
      </c>
      <c r="K175" t="s">
        <v>157</v>
      </c>
    </row>
    <row r="176" spans="1:11" x14ac:dyDescent="0.25">
      <c r="A176" s="2" t="s">
        <v>22</v>
      </c>
      <c r="B176" s="7">
        <v>9</v>
      </c>
      <c r="C176" s="7">
        <v>14595</v>
      </c>
      <c r="D176" s="7">
        <f>14602-14589</f>
        <v>13</v>
      </c>
      <c r="E176" s="2">
        <f t="shared" si="5"/>
        <v>0.98242548818088382</v>
      </c>
      <c r="K176" t="s">
        <v>157</v>
      </c>
    </row>
    <row r="177" spans="1:11" x14ac:dyDescent="0.25">
      <c r="A177" s="2" t="s">
        <v>23</v>
      </c>
      <c r="B177" s="7">
        <v>25</v>
      </c>
      <c r="C177" s="7">
        <v>14624</v>
      </c>
      <c r="D177" s="7">
        <f>14631-14619</f>
        <v>12</v>
      </c>
      <c r="E177" s="2">
        <f t="shared" si="5"/>
        <v>0.98047729759299784</v>
      </c>
      <c r="K177" t="s">
        <v>157</v>
      </c>
    </row>
    <row r="178" spans="1:11" x14ac:dyDescent="0.25">
      <c r="A178" s="2" t="s">
        <v>24</v>
      </c>
      <c r="B178" s="7">
        <v>10</v>
      </c>
      <c r="C178" s="7">
        <v>14245</v>
      </c>
      <c r="D178" s="7">
        <f>14252-14238</f>
        <v>14</v>
      </c>
      <c r="E178" s="2">
        <f t="shared" si="5"/>
        <v>1.0065637065637065</v>
      </c>
      <c r="K178" t="s">
        <v>157</v>
      </c>
    </row>
    <row r="179" spans="1:11" x14ac:dyDescent="0.25">
      <c r="A179" s="2" t="s">
        <v>25</v>
      </c>
      <c r="B179" s="7">
        <v>26</v>
      </c>
      <c r="C179" s="7">
        <v>14524</v>
      </c>
      <c r="D179" s="7">
        <f>14530-14517</f>
        <v>13</v>
      </c>
      <c r="E179" s="2">
        <f t="shared" si="5"/>
        <v>0.98722803635362155</v>
      </c>
      <c r="K179" t="s">
        <v>157</v>
      </c>
    </row>
    <row r="180" spans="1:11" x14ac:dyDescent="0.25">
      <c r="A180" s="2" t="s">
        <v>26</v>
      </c>
      <c r="B180" s="7">
        <v>11</v>
      </c>
      <c r="C180" s="7">
        <v>14572</v>
      </c>
      <c r="D180" s="7">
        <f>14579-14565</f>
        <v>14</v>
      </c>
      <c r="E180" s="2">
        <f t="shared" si="5"/>
        <v>0.98397611858358491</v>
      </c>
      <c r="K180" t="s">
        <v>157</v>
      </c>
    </row>
    <row r="181" spans="1:11" x14ac:dyDescent="0.25">
      <c r="A181" s="2" t="s">
        <v>27</v>
      </c>
      <c r="B181" s="7">
        <v>27</v>
      </c>
      <c r="C181" s="7">
        <v>14823</v>
      </c>
      <c r="D181" s="7">
        <f>14830-14816</f>
        <v>14</v>
      </c>
      <c r="E181" s="2">
        <f t="shared" si="5"/>
        <v>0.96731430884436354</v>
      </c>
      <c r="K181" t="s">
        <v>157</v>
      </c>
    </row>
    <row r="182" spans="1:11" x14ac:dyDescent="0.25">
      <c r="A182" s="2" t="s">
        <v>28</v>
      </c>
      <c r="B182" s="7">
        <v>12</v>
      </c>
      <c r="C182" s="7">
        <v>14472</v>
      </c>
      <c r="D182" s="7">
        <f>14478-14465</f>
        <v>13</v>
      </c>
      <c r="E182" s="2">
        <f t="shared" si="5"/>
        <v>0.99077529021558874</v>
      </c>
      <c r="K182" t="s">
        <v>157</v>
      </c>
    </row>
    <row r="183" spans="1:11" x14ac:dyDescent="0.25">
      <c r="A183" s="2" t="s">
        <v>29</v>
      </c>
      <c r="B183" s="7">
        <v>28</v>
      </c>
      <c r="C183" s="7">
        <v>14629</v>
      </c>
      <c r="D183" s="7">
        <f>14635-14622</f>
        <v>13</v>
      </c>
      <c r="E183" s="2">
        <f t="shared" si="5"/>
        <v>0.98014218333447267</v>
      </c>
      <c r="K183" t="s">
        <v>157</v>
      </c>
    </row>
    <row r="184" spans="1:11" x14ac:dyDescent="0.25">
      <c r="A184" s="2" t="s">
        <v>30</v>
      </c>
      <c r="B184" s="7">
        <v>13</v>
      </c>
      <c r="C184" s="7">
        <v>14591</v>
      </c>
      <c r="D184" s="7">
        <f>14598-14584</f>
        <v>14</v>
      </c>
      <c r="E184" s="2">
        <f t="shared" si="5"/>
        <v>0.98269481187033103</v>
      </c>
      <c r="K184" t="s">
        <v>157</v>
      </c>
    </row>
    <row r="185" spans="1:11" x14ac:dyDescent="0.25">
      <c r="A185" s="2" t="s">
        <v>31</v>
      </c>
      <c r="B185" s="7">
        <v>29</v>
      </c>
      <c r="C185" s="7">
        <v>14412</v>
      </c>
      <c r="D185" s="7">
        <f>14418-14405</f>
        <v>13</v>
      </c>
      <c r="E185" s="2">
        <f t="shared" si="5"/>
        <v>0.99490008326394674</v>
      </c>
      <c r="K185" t="s">
        <v>157</v>
      </c>
    </row>
    <row r="186" spans="1:11" x14ac:dyDescent="0.25">
      <c r="A186" s="2" t="s">
        <v>32</v>
      </c>
      <c r="B186" s="7">
        <v>14</v>
      </c>
      <c r="C186" s="7"/>
      <c r="D186" s="7"/>
      <c r="E186" s="2" t="e">
        <f t="shared" si="5"/>
        <v>#DIV/0!</v>
      </c>
      <c r="F186" s="7" t="s">
        <v>88</v>
      </c>
      <c r="K186" t="s">
        <v>162</v>
      </c>
    </row>
    <row r="187" spans="1:11" x14ac:dyDescent="0.25">
      <c r="A187" s="2" t="s">
        <v>33</v>
      </c>
      <c r="B187" s="7">
        <v>30</v>
      </c>
      <c r="C187" s="7">
        <v>14843</v>
      </c>
      <c r="D187" s="7">
        <f>14849-14836</f>
        <v>13</v>
      </c>
      <c r="E187" s="2">
        <f t="shared" si="5"/>
        <v>0.96601091423566665</v>
      </c>
      <c r="K187" t="s">
        <v>157</v>
      </c>
    </row>
    <row r="188" spans="1:11" x14ac:dyDescent="0.25">
      <c r="A188" s="2" t="s">
        <v>34</v>
      </c>
      <c r="B188" s="7">
        <v>15</v>
      </c>
      <c r="C188" s="7"/>
      <c r="D188" s="7"/>
      <c r="E188" s="2" t="e">
        <f t="shared" si="5"/>
        <v>#DIV/0!</v>
      </c>
      <c r="F188" s="7" t="s">
        <v>88</v>
      </c>
      <c r="K188" t="s">
        <v>162</v>
      </c>
    </row>
    <row r="189" spans="1:11" x14ac:dyDescent="0.25">
      <c r="A189" s="3" t="s">
        <v>35</v>
      </c>
      <c r="B189" s="8">
        <v>31</v>
      </c>
      <c r="C189" s="8">
        <v>14516</v>
      </c>
      <c r="D189" s="8">
        <f>14522-14510</f>
        <v>12</v>
      </c>
      <c r="E189" s="2">
        <f t="shared" si="5"/>
        <v>0.98777211352989802</v>
      </c>
      <c r="K189" t="s">
        <v>157</v>
      </c>
    </row>
    <row r="190" spans="1:11" x14ac:dyDescent="0.25">
      <c r="A190" s="2" t="s">
        <v>36</v>
      </c>
      <c r="B190" s="2">
        <v>32</v>
      </c>
      <c r="C190" s="7">
        <v>14358</v>
      </c>
      <c r="D190" s="7">
        <f>14364-14350</f>
        <v>14</v>
      </c>
      <c r="E190" s="2">
        <f t="shared" si="5"/>
        <v>0.99864187212703714</v>
      </c>
      <c r="K190" t="s">
        <v>157</v>
      </c>
    </row>
    <row r="191" spans="1:11" x14ac:dyDescent="0.25">
      <c r="A191" s="2" t="s">
        <v>37</v>
      </c>
      <c r="B191" s="2">
        <v>48</v>
      </c>
      <c r="C191" s="34">
        <v>14618</v>
      </c>
      <c r="D191" s="34">
        <v>500</v>
      </c>
      <c r="E191" s="2">
        <f t="shared" si="5"/>
        <v>0.98087973731016553</v>
      </c>
      <c r="F191" s="33" t="s">
        <v>164</v>
      </c>
      <c r="K191" t="s">
        <v>157</v>
      </c>
    </row>
    <row r="192" spans="1:11" x14ac:dyDescent="0.25">
      <c r="A192" s="2" t="s">
        <v>38</v>
      </c>
      <c r="B192" s="2">
        <v>33</v>
      </c>
      <c r="C192" s="7">
        <v>14603</v>
      </c>
      <c r="D192" s="7">
        <f>14613-14593</f>
        <v>20</v>
      </c>
      <c r="E192" s="2">
        <f t="shared" si="5"/>
        <v>0.98188728343491061</v>
      </c>
      <c r="K192" t="s">
        <v>157</v>
      </c>
    </row>
    <row r="193" spans="1:11" x14ac:dyDescent="0.25">
      <c r="A193" s="2" t="s">
        <v>39</v>
      </c>
      <c r="B193" s="2">
        <v>49</v>
      </c>
      <c r="C193" s="34">
        <v>14337</v>
      </c>
      <c r="D193" s="34">
        <v>500</v>
      </c>
      <c r="E193" s="2">
        <f t="shared" si="5"/>
        <v>1.0001046243984097</v>
      </c>
      <c r="F193" s="33" t="s">
        <v>164</v>
      </c>
      <c r="K193" t="s">
        <v>157</v>
      </c>
    </row>
    <row r="194" spans="1:11" x14ac:dyDescent="0.25">
      <c r="A194" s="2" t="s">
        <v>40</v>
      </c>
      <c r="B194" s="2">
        <v>34</v>
      </c>
      <c r="C194" s="7">
        <v>15008</v>
      </c>
      <c r="D194" s="7">
        <f>15015-15002</f>
        <v>13</v>
      </c>
      <c r="E194" s="2">
        <f t="shared" si="5"/>
        <v>0.95539045842217485</v>
      </c>
      <c r="K194" t="s">
        <v>157</v>
      </c>
    </row>
    <row r="195" spans="1:11" x14ac:dyDescent="0.25">
      <c r="A195" s="2" t="s">
        <v>41</v>
      </c>
      <c r="B195" s="2">
        <v>50</v>
      </c>
      <c r="C195" s="7"/>
      <c r="D195" s="7"/>
      <c r="E195" s="2" t="e">
        <f t="shared" si="5"/>
        <v>#DIV/0!</v>
      </c>
      <c r="F195" s="33" t="s">
        <v>164</v>
      </c>
      <c r="K195" t="s">
        <v>157</v>
      </c>
    </row>
    <row r="196" spans="1:11" x14ac:dyDescent="0.25">
      <c r="A196" s="2" t="s">
        <v>42</v>
      </c>
      <c r="B196" s="2">
        <v>35</v>
      </c>
      <c r="C196" s="7"/>
      <c r="D196" s="7"/>
      <c r="E196" s="2" t="e">
        <f t="shared" si="5"/>
        <v>#DIV/0!</v>
      </c>
      <c r="F196" s="33" t="s">
        <v>157</v>
      </c>
      <c r="K196" t="s">
        <v>157</v>
      </c>
    </row>
    <row r="197" spans="1:11" x14ac:dyDescent="0.25">
      <c r="A197" s="2" t="s">
        <v>43</v>
      </c>
      <c r="B197" s="2">
        <v>51</v>
      </c>
      <c r="C197" s="7"/>
      <c r="D197" s="7"/>
      <c r="E197" s="2" t="e">
        <f t="shared" si="5"/>
        <v>#DIV/0!</v>
      </c>
      <c r="F197" s="33" t="s">
        <v>164</v>
      </c>
      <c r="K197" t="s">
        <v>157</v>
      </c>
    </row>
    <row r="198" spans="1:11" x14ac:dyDescent="0.25">
      <c r="A198" s="2" t="s">
        <v>44</v>
      </c>
      <c r="B198" s="2">
        <v>36</v>
      </c>
      <c r="C198" s="7"/>
      <c r="D198" s="7"/>
      <c r="E198" s="2" t="e">
        <f t="shared" si="5"/>
        <v>#DIV/0!</v>
      </c>
      <c r="F198" s="33" t="s">
        <v>157</v>
      </c>
      <c r="K198" t="s">
        <v>157</v>
      </c>
    </row>
    <row r="199" spans="1:11" x14ac:dyDescent="0.25">
      <c r="A199" s="2" t="s">
        <v>45</v>
      </c>
      <c r="B199" s="2">
        <v>52</v>
      </c>
      <c r="C199" s="7"/>
      <c r="D199" s="7"/>
      <c r="E199" s="2" t="e">
        <f t="shared" si="5"/>
        <v>#DIV/0!</v>
      </c>
      <c r="F199" s="33" t="s">
        <v>164</v>
      </c>
      <c r="K199" t="s">
        <v>157</v>
      </c>
    </row>
    <row r="200" spans="1:11" x14ac:dyDescent="0.25">
      <c r="A200" s="2" t="s">
        <v>46</v>
      </c>
      <c r="B200" s="2">
        <v>37</v>
      </c>
      <c r="C200" s="7"/>
      <c r="D200" s="7"/>
      <c r="E200" s="2" t="e">
        <f t="shared" si="5"/>
        <v>#DIV/0!</v>
      </c>
      <c r="F200" s="33" t="s">
        <v>157</v>
      </c>
      <c r="K200" t="s">
        <v>157</v>
      </c>
    </row>
    <row r="201" spans="1:11" x14ac:dyDescent="0.25">
      <c r="A201" s="2" t="s">
        <v>47</v>
      </c>
      <c r="B201" s="2">
        <v>53</v>
      </c>
      <c r="C201" s="7"/>
      <c r="D201" s="7"/>
      <c r="E201" s="2" t="e">
        <f t="shared" si="5"/>
        <v>#DIV/0!</v>
      </c>
      <c r="F201" s="33" t="s">
        <v>164</v>
      </c>
      <c r="K201" t="s">
        <v>157</v>
      </c>
    </row>
    <row r="202" spans="1:11" x14ac:dyDescent="0.25">
      <c r="A202" s="2" t="s">
        <v>48</v>
      </c>
      <c r="B202" s="2">
        <v>38</v>
      </c>
      <c r="C202" s="7"/>
      <c r="D202" s="7"/>
      <c r="E202" s="2" t="e">
        <f t="shared" si="5"/>
        <v>#DIV/0!</v>
      </c>
      <c r="F202" s="33" t="s">
        <v>157</v>
      </c>
      <c r="K202" t="s">
        <v>157</v>
      </c>
    </row>
    <row r="203" spans="1:11" x14ac:dyDescent="0.25">
      <c r="A203" s="2" t="s">
        <v>49</v>
      </c>
      <c r="B203" s="2">
        <v>54</v>
      </c>
      <c r="C203" s="7"/>
      <c r="D203" s="7"/>
      <c r="E203" s="2" t="e">
        <f t="shared" si="5"/>
        <v>#DIV/0!</v>
      </c>
      <c r="F203" s="33" t="s">
        <v>164</v>
      </c>
      <c r="K203" t="s">
        <v>157</v>
      </c>
    </row>
    <row r="204" spans="1:11" x14ac:dyDescent="0.25">
      <c r="A204" s="2" t="s">
        <v>50</v>
      </c>
      <c r="B204" s="2">
        <v>39</v>
      </c>
      <c r="C204" s="7">
        <v>14209</v>
      </c>
      <c r="D204" s="7">
        <f>14217-14202</f>
        <v>15</v>
      </c>
      <c r="E204" s="2">
        <f t="shared" si="5"/>
        <v>1.0091139418678303</v>
      </c>
      <c r="K204" t="s">
        <v>157</v>
      </c>
    </row>
    <row r="205" spans="1:11" x14ac:dyDescent="0.25">
      <c r="A205" s="13" t="s">
        <v>51</v>
      </c>
      <c r="B205" s="3">
        <v>55</v>
      </c>
      <c r="C205" s="8"/>
      <c r="D205" s="8"/>
      <c r="E205" s="2" t="e">
        <f t="shared" si="5"/>
        <v>#DIV/0!</v>
      </c>
      <c r="F205" s="33" t="s">
        <v>164</v>
      </c>
      <c r="K205" t="s">
        <v>157</v>
      </c>
    </row>
    <row r="206" spans="1:11" x14ac:dyDescent="0.25">
      <c r="A206" s="2" t="s">
        <v>52</v>
      </c>
      <c r="B206" s="2">
        <v>40</v>
      </c>
      <c r="C206" s="7"/>
      <c r="D206" s="7"/>
      <c r="E206" s="2" t="e">
        <f t="shared" si="5"/>
        <v>#DIV/0!</v>
      </c>
      <c r="F206" s="33" t="s">
        <v>164</v>
      </c>
      <c r="K206" t="s">
        <v>157</v>
      </c>
    </row>
    <row r="207" spans="1:11" x14ac:dyDescent="0.25">
      <c r="A207" s="2" t="s">
        <v>53</v>
      </c>
      <c r="B207" s="2">
        <v>56</v>
      </c>
      <c r="C207" s="7">
        <v>14507</v>
      </c>
      <c r="D207" s="7">
        <f>14514-14500</f>
        <v>14</v>
      </c>
      <c r="E207" s="2">
        <f t="shared" si="5"/>
        <v>0.98838491762597369</v>
      </c>
      <c r="K207" t="s">
        <v>157</v>
      </c>
    </row>
    <row r="208" spans="1:11" x14ac:dyDescent="0.25">
      <c r="A208" s="2" t="s">
        <v>54</v>
      </c>
      <c r="B208" s="2">
        <v>41</v>
      </c>
      <c r="C208" s="7"/>
      <c r="D208" s="7"/>
      <c r="E208" s="2" t="e">
        <f t="shared" si="5"/>
        <v>#DIV/0!</v>
      </c>
      <c r="F208" s="33" t="s">
        <v>164</v>
      </c>
      <c r="K208" t="s">
        <v>157</v>
      </c>
    </row>
    <row r="209" spans="1:11" x14ac:dyDescent="0.25">
      <c r="A209" s="2" t="s">
        <v>55</v>
      </c>
      <c r="B209" s="2">
        <v>57</v>
      </c>
      <c r="C209" s="7">
        <v>14636</v>
      </c>
      <c r="D209" s="7">
        <f>14642-14628</f>
        <v>14</v>
      </c>
      <c r="E209" s="2">
        <f t="shared" si="5"/>
        <v>0.97967340803498226</v>
      </c>
      <c r="K209" t="s">
        <v>157</v>
      </c>
    </row>
    <row r="210" spans="1:11" x14ac:dyDescent="0.25">
      <c r="A210" s="2" t="s">
        <v>56</v>
      </c>
      <c r="B210" s="2">
        <v>42</v>
      </c>
      <c r="C210" s="7"/>
      <c r="D210" s="7"/>
      <c r="E210" s="2" t="e">
        <f t="shared" si="5"/>
        <v>#DIV/0!</v>
      </c>
      <c r="F210" s="33" t="s">
        <v>164</v>
      </c>
      <c r="K210" t="s">
        <v>157</v>
      </c>
    </row>
    <row r="211" spans="1:11" x14ac:dyDescent="0.25">
      <c r="A211" s="2" t="s">
        <v>57</v>
      </c>
      <c r="B211" s="2">
        <v>58</v>
      </c>
      <c r="C211" s="7">
        <v>14397</v>
      </c>
      <c r="D211" s="7">
        <f>14404-14390</f>
        <v>14</v>
      </c>
      <c r="E211" s="2">
        <f t="shared" si="5"/>
        <v>0.9959366534694728</v>
      </c>
      <c r="K211" t="s">
        <v>157</v>
      </c>
    </row>
    <row r="212" spans="1:11" x14ac:dyDescent="0.25">
      <c r="A212" s="2" t="s">
        <v>58</v>
      </c>
      <c r="B212" s="2">
        <v>43</v>
      </c>
      <c r="C212" s="7"/>
      <c r="D212" s="7"/>
      <c r="E212" s="2" t="e">
        <f t="shared" si="5"/>
        <v>#DIV/0!</v>
      </c>
      <c r="F212" s="33" t="s">
        <v>164</v>
      </c>
      <c r="K212" t="s">
        <v>157</v>
      </c>
    </row>
    <row r="213" spans="1:11" x14ac:dyDescent="0.25">
      <c r="A213" s="2" t="s">
        <v>59</v>
      </c>
      <c r="B213" s="2">
        <v>59</v>
      </c>
      <c r="C213" s="7">
        <v>14544.5</v>
      </c>
      <c r="D213" s="7">
        <f>14552-14537</f>
        <v>15</v>
      </c>
      <c r="E213" s="2">
        <f t="shared" si="5"/>
        <v>0.98583657052494067</v>
      </c>
      <c r="K213" t="s">
        <v>157</v>
      </c>
    </row>
    <row r="214" spans="1:11" x14ac:dyDescent="0.25">
      <c r="A214" s="2" t="s">
        <v>60</v>
      </c>
      <c r="B214" s="2">
        <v>44</v>
      </c>
      <c r="C214" s="7"/>
      <c r="D214" s="7"/>
      <c r="E214" s="2" t="e">
        <f t="shared" si="5"/>
        <v>#DIV/0!</v>
      </c>
      <c r="F214" s="33" t="s">
        <v>164</v>
      </c>
      <c r="K214" t="s">
        <v>157</v>
      </c>
    </row>
    <row r="215" spans="1:11" x14ac:dyDescent="0.25">
      <c r="A215" s="2" t="s">
        <v>61</v>
      </c>
      <c r="B215" s="2">
        <v>60</v>
      </c>
      <c r="C215" s="7">
        <v>14850</v>
      </c>
      <c r="D215" s="7">
        <f>14857-14843</f>
        <v>14</v>
      </c>
      <c r="E215" s="2">
        <f t="shared" si="5"/>
        <v>0.9655555555555555</v>
      </c>
      <c r="K215" t="s">
        <v>157</v>
      </c>
    </row>
    <row r="216" spans="1:11" x14ac:dyDescent="0.25">
      <c r="A216" s="2" t="s">
        <v>62</v>
      </c>
      <c r="B216" s="2">
        <v>45</v>
      </c>
      <c r="C216" s="7"/>
      <c r="D216" s="7"/>
      <c r="E216" s="2" t="e">
        <f t="shared" si="5"/>
        <v>#DIV/0!</v>
      </c>
      <c r="F216" s="33" t="s">
        <v>164</v>
      </c>
      <c r="K216" t="s">
        <v>157</v>
      </c>
    </row>
    <row r="217" spans="1:11" x14ac:dyDescent="0.25">
      <c r="A217" s="2" t="s">
        <v>63</v>
      </c>
      <c r="B217" s="2">
        <v>61</v>
      </c>
      <c r="C217" s="7">
        <v>14511</v>
      </c>
      <c r="D217" s="7">
        <f>14518-14503</f>
        <v>15</v>
      </c>
      <c r="E217" s="2">
        <f t="shared" si="5"/>
        <v>0.98811246640479633</v>
      </c>
      <c r="K217" t="s">
        <v>157</v>
      </c>
    </row>
    <row r="218" spans="1:11" x14ac:dyDescent="0.25">
      <c r="A218" s="2" t="s">
        <v>64</v>
      </c>
      <c r="B218" s="2">
        <v>46</v>
      </c>
      <c r="C218" s="7"/>
      <c r="D218" s="7"/>
      <c r="E218" s="2" t="e">
        <f t="shared" si="5"/>
        <v>#DIV/0!</v>
      </c>
      <c r="F218" s="33" t="s">
        <v>164</v>
      </c>
      <c r="K218" t="s">
        <v>157</v>
      </c>
    </row>
    <row r="219" spans="1:11" x14ac:dyDescent="0.25">
      <c r="A219" s="2" t="s">
        <v>65</v>
      </c>
      <c r="B219" s="2">
        <v>62</v>
      </c>
      <c r="C219" s="7">
        <v>14254</v>
      </c>
      <c r="D219" s="7">
        <f>14261-14246</f>
        <v>15</v>
      </c>
      <c r="E219" s="2">
        <f t="shared" si="5"/>
        <v>1.0059281605163464</v>
      </c>
      <c r="K219" t="s">
        <v>157</v>
      </c>
    </row>
    <row r="220" spans="1:11" x14ac:dyDescent="0.25">
      <c r="A220" s="2" t="s">
        <v>66</v>
      </c>
      <c r="B220" s="2">
        <v>47</v>
      </c>
      <c r="C220" s="7"/>
      <c r="D220" s="7"/>
      <c r="E220" s="2" t="e">
        <f t="shared" si="5"/>
        <v>#DIV/0!</v>
      </c>
      <c r="F220" s="33" t="s">
        <v>164</v>
      </c>
      <c r="K220" t="s">
        <v>157</v>
      </c>
    </row>
    <row r="221" spans="1:11" x14ac:dyDescent="0.25">
      <c r="A221" s="3" t="s">
        <v>67</v>
      </c>
      <c r="B221" s="3">
        <v>63</v>
      </c>
      <c r="C221" s="8">
        <v>14828</v>
      </c>
      <c r="D221" s="8">
        <f>14836-14821</f>
        <v>15</v>
      </c>
      <c r="E221" s="2">
        <f>$C$7/C221</f>
        <v>0.96698813056379818</v>
      </c>
      <c r="K221" t="s">
        <v>157</v>
      </c>
    </row>
    <row r="222" spans="1:11" x14ac:dyDescent="0.25">
      <c r="A222" s="6" t="s">
        <v>97</v>
      </c>
    </row>
    <row r="223" spans="1:11" x14ac:dyDescent="0.25">
      <c r="A223" s="6" t="s">
        <v>98</v>
      </c>
    </row>
    <row r="224" spans="1:11" x14ac:dyDescent="0.25">
      <c r="A224" s="6" t="s">
        <v>99</v>
      </c>
    </row>
    <row r="225" spans="1:10" x14ac:dyDescent="0.25">
      <c r="A225" s="15" t="s">
        <v>129</v>
      </c>
    </row>
    <row r="226" spans="1:10" x14ac:dyDescent="0.25">
      <c r="A226" s="15" t="s">
        <v>130</v>
      </c>
    </row>
    <row r="227" spans="1:10" x14ac:dyDescent="0.25">
      <c r="A227" s="33" t="s">
        <v>165</v>
      </c>
    </row>
    <row r="228" spans="1:10" x14ac:dyDescent="0.25">
      <c r="A228" s="33"/>
    </row>
    <row r="231" spans="1:10" x14ac:dyDescent="0.25">
      <c r="A231" s="24" t="s">
        <v>100</v>
      </c>
    </row>
    <row r="232" spans="1:10" ht="15.75" thickBot="1" x14ac:dyDescent="0.3">
      <c r="A232" s="4" t="s">
        <v>3</v>
      </c>
      <c r="B232" s="4" t="s">
        <v>68</v>
      </c>
      <c r="C232" s="4" t="s">
        <v>69</v>
      </c>
      <c r="D232" s="4" t="s">
        <v>78</v>
      </c>
      <c r="E232" s="4" t="s">
        <v>152</v>
      </c>
      <c r="I232" s="11">
        <f>AVERAGE(C233:C296)</f>
        <v>14379.2265625</v>
      </c>
      <c r="J232" t="s">
        <v>84</v>
      </c>
    </row>
    <row r="233" spans="1:10" ht="15.75" thickTop="1" x14ac:dyDescent="0.25">
      <c r="A233" s="2" t="s">
        <v>4</v>
      </c>
      <c r="B233" s="7">
        <v>0</v>
      </c>
      <c r="C233" s="7">
        <v>14237</v>
      </c>
      <c r="D233" s="2">
        <f>14244-14231</f>
        <v>13</v>
      </c>
      <c r="E233" s="2">
        <f>$C$7/C233</f>
        <v>1.0071293109503408</v>
      </c>
      <c r="F233" s="7"/>
      <c r="I233" s="12">
        <f>(13550-I232)/I232</f>
        <v>-5.7668370332418568E-2</v>
      </c>
      <c r="J233" t="s">
        <v>85</v>
      </c>
    </row>
    <row r="234" spans="1:10" x14ac:dyDescent="0.25">
      <c r="A234" s="2" t="s">
        <v>5</v>
      </c>
      <c r="B234" s="7">
        <v>16</v>
      </c>
      <c r="C234" s="7">
        <v>14285</v>
      </c>
      <c r="D234" s="7">
        <f>14292-14279</f>
        <v>13</v>
      </c>
      <c r="E234" s="2">
        <f t="shared" ref="E234:E296" si="6">$C$7/C234</f>
        <v>1.003745187259363</v>
      </c>
      <c r="I234" s="12">
        <f>(14957-13550)/I232</f>
        <v>9.7849490992050703E-2</v>
      </c>
      <c r="J234" t="s">
        <v>87</v>
      </c>
    </row>
    <row r="235" spans="1:10" x14ac:dyDescent="0.25">
      <c r="A235" s="2" t="s">
        <v>6</v>
      </c>
      <c r="B235" s="7">
        <v>1</v>
      </c>
      <c r="C235" s="7">
        <v>14408</v>
      </c>
      <c r="D235" s="7">
        <f>14414-14402</f>
        <v>12</v>
      </c>
      <c r="E235" s="2">
        <f t="shared" si="6"/>
        <v>0.99517629094947246</v>
      </c>
    </row>
    <row r="236" spans="1:10" x14ac:dyDescent="0.25">
      <c r="A236" s="2" t="s">
        <v>7</v>
      </c>
      <c r="B236" s="7">
        <v>17</v>
      </c>
      <c r="C236" s="7">
        <v>14583</v>
      </c>
      <c r="D236" s="7">
        <f>14589-14576</f>
        <v>13</v>
      </c>
      <c r="E236" s="2">
        <f t="shared" si="6"/>
        <v>0.98323390248919973</v>
      </c>
    </row>
    <row r="237" spans="1:10" x14ac:dyDescent="0.25">
      <c r="A237" s="2" t="s">
        <v>8</v>
      </c>
      <c r="B237" s="7">
        <v>2</v>
      </c>
      <c r="C237" s="7">
        <v>14332</v>
      </c>
      <c r="D237" s="2">
        <f>14339-14326</f>
        <v>13</v>
      </c>
      <c r="E237" s="2">
        <f t="shared" si="6"/>
        <v>1.0004535305609825</v>
      </c>
      <c r="F237" s="7"/>
    </row>
    <row r="238" spans="1:10" x14ac:dyDescent="0.25">
      <c r="A238" s="2" t="s">
        <v>9</v>
      </c>
      <c r="B238" s="7">
        <v>18</v>
      </c>
      <c r="C238" s="7">
        <v>14735</v>
      </c>
      <c r="D238" s="7">
        <f>14742-14728</f>
        <v>14</v>
      </c>
      <c r="E238" s="2">
        <f t="shared" si="6"/>
        <v>0.97309127926705119</v>
      </c>
    </row>
    <row r="239" spans="1:10" x14ac:dyDescent="0.25">
      <c r="A239" s="2" t="s">
        <v>10</v>
      </c>
      <c r="B239" s="7">
        <v>3</v>
      </c>
      <c r="C239" s="7">
        <v>14043</v>
      </c>
      <c r="D239" s="7">
        <f>14049-14036</f>
        <v>13</v>
      </c>
      <c r="E239" s="2">
        <f t="shared" si="6"/>
        <v>1.0210425122837001</v>
      </c>
    </row>
    <row r="240" spans="1:10" x14ac:dyDescent="0.25">
      <c r="A240" s="2" t="s">
        <v>11</v>
      </c>
      <c r="B240" s="7">
        <v>19</v>
      </c>
      <c r="C240" s="7">
        <v>13898</v>
      </c>
      <c r="D240" s="7">
        <f>13904-13891</f>
        <v>13</v>
      </c>
      <c r="E240" s="2">
        <f t="shared" si="6"/>
        <v>1.031695207943589</v>
      </c>
    </row>
    <row r="241" spans="1:6" x14ac:dyDescent="0.25">
      <c r="A241" s="2" t="s">
        <v>12</v>
      </c>
      <c r="B241" s="7">
        <v>4</v>
      </c>
      <c r="C241" s="7">
        <v>14353.5</v>
      </c>
      <c r="D241" s="7">
        <f>14360-14347</f>
        <v>13</v>
      </c>
      <c r="E241" s="2">
        <f t="shared" si="6"/>
        <v>0.99895495872086948</v>
      </c>
    </row>
    <row r="242" spans="1:6" x14ac:dyDescent="0.25">
      <c r="A242" s="2" t="s">
        <v>13</v>
      </c>
      <c r="B242" s="7">
        <v>20</v>
      </c>
      <c r="C242" s="7">
        <v>14728</v>
      </c>
      <c r="D242" s="7">
        <f>14735-14721</f>
        <v>14</v>
      </c>
      <c r="E242" s="2">
        <f t="shared" si="6"/>
        <v>0.97355377512221619</v>
      </c>
    </row>
    <row r="243" spans="1:6" x14ac:dyDescent="0.25">
      <c r="A243" s="2" t="s">
        <v>14</v>
      </c>
      <c r="B243" s="7">
        <v>5</v>
      </c>
      <c r="C243" s="7">
        <v>14010</v>
      </c>
      <c r="D243" s="7">
        <f>14017-14003</f>
        <v>14</v>
      </c>
      <c r="E243" s="2">
        <f t="shared" si="6"/>
        <v>1.0234475374732335</v>
      </c>
      <c r="F243" s="7"/>
    </row>
    <row r="244" spans="1:6" x14ac:dyDescent="0.25">
      <c r="A244" s="2" t="s">
        <v>15</v>
      </c>
      <c r="B244" s="7">
        <v>21</v>
      </c>
      <c r="C244" s="7">
        <v>14601</v>
      </c>
      <c r="D244" s="7">
        <f>14608-14594</f>
        <v>14</v>
      </c>
      <c r="E244" s="2">
        <f t="shared" si="6"/>
        <v>0.98202177933018286</v>
      </c>
    </row>
    <row r="245" spans="1:6" x14ac:dyDescent="0.25">
      <c r="A245" s="2" t="s">
        <v>16</v>
      </c>
      <c r="B245" s="7">
        <v>6</v>
      </c>
      <c r="C245" s="7">
        <v>14373</v>
      </c>
      <c r="D245" s="7">
        <f>14380-14366</f>
        <v>14</v>
      </c>
      <c r="E245" s="2">
        <f t="shared" si="6"/>
        <v>0.99759966604049255</v>
      </c>
    </row>
    <row r="246" spans="1:6" x14ac:dyDescent="0.25">
      <c r="A246" s="2" t="s">
        <v>17</v>
      </c>
      <c r="B246" s="7">
        <v>22</v>
      </c>
      <c r="C246" s="7">
        <v>14460</v>
      </c>
      <c r="D246" s="7">
        <f>14466-14453</f>
        <v>13</v>
      </c>
      <c r="E246" s="2">
        <f t="shared" si="6"/>
        <v>0.99159751037344401</v>
      </c>
    </row>
    <row r="247" spans="1:6" x14ac:dyDescent="0.25">
      <c r="A247" s="2" t="s">
        <v>18</v>
      </c>
      <c r="B247" s="9">
        <v>7</v>
      </c>
      <c r="C247" s="9">
        <v>14105</v>
      </c>
      <c r="D247" s="9">
        <f>14111-14098</f>
        <v>13</v>
      </c>
      <c r="E247" s="2">
        <f t="shared" si="6"/>
        <v>1.0165544133286069</v>
      </c>
    </row>
    <row r="248" spans="1:6" x14ac:dyDescent="0.25">
      <c r="A248" s="3" t="s">
        <v>19</v>
      </c>
      <c r="B248" s="8">
        <v>23</v>
      </c>
      <c r="C248" s="8">
        <v>14502</v>
      </c>
      <c r="D248" s="8">
        <f>14508-14495</f>
        <v>13</v>
      </c>
      <c r="E248" s="2">
        <f t="shared" si="6"/>
        <v>0.98872569300786095</v>
      </c>
    </row>
    <row r="249" spans="1:6" x14ac:dyDescent="0.25">
      <c r="A249" s="2" t="s">
        <v>20</v>
      </c>
      <c r="B249" s="7">
        <v>8</v>
      </c>
      <c r="C249" s="7">
        <v>14544</v>
      </c>
      <c r="D249" s="7">
        <f>14550-14538</f>
        <v>12</v>
      </c>
      <c r="E249" s="2">
        <f t="shared" si="6"/>
        <v>0.98587046204620465</v>
      </c>
    </row>
    <row r="250" spans="1:6" x14ac:dyDescent="0.25">
      <c r="A250" s="2" t="s">
        <v>21</v>
      </c>
      <c r="B250" s="7">
        <v>24</v>
      </c>
      <c r="C250" s="7">
        <v>14567</v>
      </c>
      <c r="D250" s="7">
        <f>14573-14560</f>
        <v>13</v>
      </c>
      <c r="E250" s="2">
        <f t="shared" si="6"/>
        <v>0.98431386009473465</v>
      </c>
    </row>
    <row r="251" spans="1:6" x14ac:dyDescent="0.25">
      <c r="A251" s="2" t="s">
        <v>22</v>
      </c>
      <c r="B251" s="7">
        <v>9</v>
      </c>
      <c r="C251" s="7">
        <v>14738</v>
      </c>
      <c r="D251" s="7">
        <f>14745-14731</f>
        <v>14</v>
      </c>
      <c r="E251" s="2">
        <f t="shared" si="6"/>
        <v>0.97289320124847334</v>
      </c>
    </row>
    <row r="252" spans="1:6" x14ac:dyDescent="0.25">
      <c r="A252" s="2" t="s">
        <v>23</v>
      </c>
      <c r="B252" s="7">
        <v>25</v>
      </c>
      <c r="C252" s="7">
        <v>14552</v>
      </c>
      <c r="D252" s="7">
        <f>14559-14545</f>
        <v>14</v>
      </c>
      <c r="E252" s="2">
        <f t="shared" si="6"/>
        <v>0.98532847718526662</v>
      </c>
    </row>
    <row r="253" spans="1:6" x14ac:dyDescent="0.25">
      <c r="A253" s="2" t="s">
        <v>24</v>
      </c>
      <c r="B253" s="7">
        <v>10</v>
      </c>
      <c r="C253" s="7">
        <v>14224</v>
      </c>
      <c r="D253" s="7">
        <f>14231-14218</f>
        <v>13</v>
      </c>
      <c r="E253" s="2">
        <f t="shared" si="6"/>
        <v>1.0080497750281214</v>
      </c>
    </row>
    <row r="254" spans="1:6" x14ac:dyDescent="0.25">
      <c r="A254" s="2" t="s">
        <v>25</v>
      </c>
      <c r="B254" s="7">
        <v>26</v>
      </c>
      <c r="C254" s="7">
        <v>14618</v>
      </c>
      <c r="D254" s="7">
        <f>14624-14611</f>
        <v>13</v>
      </c>
      <c r="E254" s="2">
        <f t="shared" si="6"/>
        <v>0.98087973731016553</v>
      </c>
    </row>
    <row r="255" spans="1:6" x14ac:dyDescent="0.25">
      <c r="A255" s="2" t="s">
        <v>26</v>
      </c>
      <c r="B255" s="7">
        <v>11</v>
      </c>
      <c r="C255" s="7">
        <v>14323</v>
      </c>
      <c r="D255" s="7">
        <f>14329-14315</f>
        <v>14</v>
      </c>
      <c r="E255" s="2">
        <f t="shared" si="6"/>
        <v>1.0010821755218879</v>
      </c>
    </row>
    <row r="256" spans="1:6" x14ac:dyDescent="0.25">
      <c r="A256" s="2" t="s">
        <v>27</v>
      </c>
      <c r="B256" s="7">
        <v>27</v>
      </c>
      <c r="C256" s="7">
        <v>14459</v>
      </c>
      <c r="D256" s="7">
        <f>14466-14452</f>
        <v>14</v>
      </c>
      <c r="E256" s="2">
        <f t="shared" si="6"/>
        <v>0.99166609032436548</v>
      </c>
    </row>
    <row r="257" spans="1:6" x14ac:dyDescent="0.25">
      <c r="A257" s="2" t="s">
        <v>28</v>
      </c>
      <c r="B257" s="7">
        <v>12</v>
      </c>
      <c r="C257" s="7">
        <v>14207</v>
      </c>
      <c r="D257" s="7">
        <f>14213-14199</f>
        <v>14</v>
      </c>
      <c r="E257" s="2">
        <f t="shared" si="6"/>
        <v>1.0092560005631026</v>
      </c>
    </row>
    <row r="258" spans="1:6" x14ac:dyDescent="0.25">
      <c r="A258" s="2" t="s">
        <v>29</v>
      </c>
      <c r="B258" s="7">
        <v>28</v>
      </c>
      <c r="C258" s="7">
        <v>14755</v>
      </c>
      <c r="D258" s="7">
        <f>14761-14747</f>
        <v>14</v>
      </c>
      <c r="E258" s="2">
        <f t="shared" si="6"/>
        <v>0.97177228058285325</v>
      </c>
    </row>
    <row r="259" spans="1:6" x14ac:dyDescent="0.25">
      <c r="A259" s="2" t="s">
        <v>30</v>
      </c>
      <c r="B259" s="7">
        <v>13</v>
      </c>
      <c r="C259" s="7">
        <v>14370</v>
      </c>
      <c r="D259" s="7">
        <f>14377-14364</f>
        <v>13</v>
      </c>
      <c r="E259" s="2">
        <f t="shared" si="6"/>
        <v>0.99780793319415451</v>
      </c>
    </row>
    <row r="260" spans="1:6" x14ac:dyDescent="0.25">
      <c r="A260" s="2" t="s">
        <v>31</v>
      </c>
      <c r="B260" s="7">
        <v>29</v>
      </c>
      <c r="C260" s="7">
        <v>14762.5</v>
      </c>
      <c r="D260" s="7">
        <f>14770-14754</f>
        <v>16</v>
      </c>
      <c r="E260" s="2">
        <f t="shared" si="6"/>
        <v>0.97127857747671464</v>
      </c>
    </row>
    <row r="261" spans="1:6" x14ac:dyDescent="0.25">
      <c r="A261" s="2" t="s">
        <v>32</v>
      </c>
      <c r="B261" s="7">
        <v>14</v>
      </c>
      <c r="C261" s="7">
        <v>14262</v>
      </c>
      <c r="D261" s="7">
        <f>14269-14254</f>
        <v>15</v>
      </c>
      <c r="E261" s="2">
        <f t="shared" si="6"/>
        <v>1.005363904080774</v>
      </c>
      <c r="F261" s="7"/>
    </row>
    <row r="262" spans="1:6" x14ac:dyDescent="0.25">
      <c r="A262" s="2" t="s">
        <v>33</v>
      </c>
      <c r="B262" s="7">
        <v>30</v>
      </c>
      <c r="C262" s="7">
        <v>14884</v>
      </c>
      <c r="D262" s="7">
        <f>14893-14877</f>
        <v>16</v>
      </c>
      <c r="E262" s="2">
        <f t="shared" si="6"/>
        <v>0.96334990593926362</v>
      </c>
    </row>
    <row r="263" spans="1:6" x14ac:dyDescent="0.25">
      <c r="A263" s="2" t="s">
        <v>34</v>
      </c>
      <c r="B263" s="7">
        <v>15</v>
      </c>
      <c r="C263" s="7">
        <v>14418</v>
      </c>
      <c r="D263" s="7">
        <f>14425-14411</f>
        <v>14</v>
      </c>
      <c r="E263" s="2">
        <f t="shared" si="6"/>
        <v>0.99448605909280063</v>
      </c>
      <c r="F263" s="7"/>
    </row>
    <row r="264" spans="1:6" x14ac:dyDescent="0.25">
      <c r="A264" s="3" t="s">
        <v>35</v>
      </c>
      <c r="B264" s="8">
        <v>31</v>
      </c>
      <c r="C264" s="8">
        <v>14421</v>
      </c>
      <c r="D264" s="8">
        <f>14429-14412</f>
        <v>17</v>
      </c>
      <c r="E264" s="2">
        <f t="shared" si="6"/>
        <v>0.99427917620137296</v>
      </c>
    </row>
    <row r="265" spans="1:6" x14ac:dyDescent="0.25">
      <c r="A265" s="2" t="s">
        <v>36</v>
      </c>
      <c r="B265" s="2">
        <v>32</v>
      </c>
      <c r="C265" s="7">
        <v>14366</v>
      </c>
      <c r="D265" s="7">
        <f>14372-14360</f>
        <v>12</v>
      </c>
      <c r="E265" s="2">
        <f t="shared" si="6"/>
        <v>0.99808575803981625</v>
      </c>
    </row>
    <row r="266" spans="1:6" x14ac:dyDescent="0.25">
      <c r="A266" s="2" t="s">
        <v>37</v>
      </c>
      <c r="B266" s="2">
        <v>48</v>
      </c>
      <c r="C266" s="7">
        <v>14404</v>
      </c>
      <c r="D266" s="7">
        <f>14411-14398</f>
        <v>13</v>
      </c>
      <c r="E266" s="2">
        <f t="shared" si="6"/>
        <v>0.99545265204109967</v>
      </c>
    </row>
    <row r="267" spans="1:6" x14ac:dyDescent="0.25">
      <c r="A267" s="2" t="s">
        <v>38</v>
      </c>
      <c r="B267" s="2">
        <v>33</v>
      </c>
      <c r="C267" s="7">
        <v>14219.5</v>
      </c>
      <c r="D267" s="7">
        <f>14225-14213</f>
        <v>12</v>
      </c>
      <c r="E267" s="2">
        <f t="shared" si="6"/>
        <v>1.0083687893385844</v>
      </c>
    </row>
    <row r="268" spans="1:6" x14ac:dyDescent="0.25">
      <c r="A268" s="2" t="s">
        <v>39</v>
      </c>
      <c r="B268" s="2">
        <v>49</v>
      </c>
      <c r="C268" s="7">
        <v>14851</v>
      </c>
      <c r="D268" s="7">
        <f>14858-14843</f>
        <v>15</v>
      </c>
      <c r="E268" s="2">
        <f t="shared" si="6"/>
        <v>0.96549053935761897</v>
      </c>
    </row>
    <row r="269" spans="1:6" x14ac:dyDescent="0.25">
      <c r="A269" s="2" t="s">
        <v>40</v>
      </c>
      <c r="B269" s="2">
        <v>34</v>
      </c>
      <c r="C269" s="7">
        <v>14477</v>
      </c>
      <c r="D269" s="7">
        <f>14484-14470</f>
        <v>14</v>
      </c>
      <c r="E269" s="2">
        <f t="shared" si="6"/>
        <v>0.99043310078054847</v>
      </c>
    </row>
    <row r="270" spans="1:6" x14ac:dyDescent="0.25">
      <c r="A270" s="2" t="s">
        <v>41</v>
      </c>
      <c r="B270" s="2">
        <v>50</v>
      </c>
      <c r="C270" s="7">
        <v>13999</v>
      </c>
      <c r="D270" s="7">
        <f>14006-13992</f>
        <v>14</v>
      </c>
      <c r="E270" s="2">
        <f t="shared" si="6"/>
        <v>1.0242517322665905</v>
      </c>
    </row>
    <row r="271" spans="1:6" x14ac:dyDescent="0.25">
      <c r="A271" s="2" t="s">
        <v>42</v>
      </c>
      <c r="B271" s="2">
        <v>35</v>
      </c>
      <c r="C271" s="7">
        <v>14197</v>
      </c>
      <c r="D271" s="7">
        <f>14203-14190</f>
        <v>13</v>
      </c>
      <c r="E271" s="2">
        <f t="shared" si="6"/>
        <v>1.009966894414313</v>
      </c>
    </row>
    <row r="272" spans="1:6" x14ac:dyDescent="0.25">
      <c r="A272" s="2" t="s">
        <v>43</v>
      </c>
      <c r="B272" s="2">
        <v>51</v>
      </c>
      <c r="C272" s="7">
        <v>14624</v>
      </c>
      <c r="D272" s="7">
        <f>14630-14616</f>
        <v>14</v>
      </c>
      <c r="E272" s="2">
        <f t="shared" si="6"/>
        <v>0.98047729759299784</v>
      </c>
    </row>
    <row r="273" spans="1:5" x14ac:dyDescent="0.25">
      <c r="A273" s="2" t="s">
        <v>44</v>
      </c>
      <c r="B273" s="2">
        <v>36</v>
      </c>
      <c r="C273" s="7">
        <v>14569</v>
      </c>
      <c r="D273" s="7">
        <f>14575-14563</f>
        <v>12</v>
      </c>
      <c r="E273" s="2">
        <f t="shared" si="6"/>
        <v>0.9841787356716315</v>
      </c>
    </row>
    <row r="274" spans="1:5" x14ac:dyDescent="0.25">
      <c r="A274" s="2" t="s">
        <v>45</v>
      </c>
      <c r="B274" s="2">
        <v>52</v>
      </c>
      <c r="C274" s="7">
        <v>14395</v>
      </c>
      <c r="D274" s="7">
        <f>14402-14387</f>
        <v>15</v>
      </c>
      <c r="E274" s="2">
        <f t="shared" si="6"/>
        <v>0.99607502605071208</v>
      </c>
    </row>
    <row r="275" spans="1:5" x14ac:dyDescent="0.25">
      <c r="A275" s="2" t="s">
        <v>46</v>
      </c>
      <c r="B275" s="2">
        <v>37</v>
      </c>
      <c r="C275" s="7">
        <v>14312</v>
      </c>
      <c r="D275" s="7">
        <f>14320-14306</f>
        <v>14</v>
      </c>
      <c r="E275" s="2">
        <f t="shared" si="6"/>
        <v>1.0018515930687535</v>
      </c>
    </row>
    <row r="276" spans="1:5" x14ac:dyDescent="0.25">
      <c r="A276" s="2" t="s">
        <v>47</v>
      </c>
      <c r="B276" s="2">
        <v>53</v>
      </c>
      <c r="C276" s="7">
        <v>14957</v>
      </c>
      <c r="D276" s="7">
        <f>14965-14951</f>
        <v>14</v>
      </c>
      <c r="E276" s="2">
        <f t="shared" si="6"/>
        <v>0.9586481246239219</v>
      </c>
    </row>
    <row r="277" spans="1:5" x14ac:dyDescent="0.25">
      <c r="A277" s="2" t="s">
        <v>48</v>
      </c>
      <c r="B277" s="2">
        <v>38</v>
      </c>
      <c r="C277" s="7">
        <v>14039.5</v>
      </c>
      <c r="D277" s="7">
        <f>14046-14033</f>
        <v>13</v>
      </c>
      <c r="E277" s="2">
        <f t="shared" si="6"/>
        <v>1.0212970547384166</v>
      </c>
    </row>
    <row r="278" spans="1:5" x14ac:dyDescent="0.25">
      <c r="A278" s="2" t="s">
        <v>49</v>
      </c>
      <c r="B278" s="2">
        <v>54</v>
      </c>
      <c r="C278" s="7">
        <v>13550</v>
      </c>
      <c r="D278" s="7">
        <f>13557-13543</f>
        <v>14</v>
      </c>
      <c r="E278" s="2">
        <f t="shared" si="6"/>
        <v>1.0581918819188192</v>
      </c>
    </row>
    <row r="279" spans="1:5" x14ac:dyDescent="0.25">
      <c r="A279" s="2" t="s">
        <v>50</v>
      </c>
      <c r="B279" s="2">
        <v>39</v>
      </c>
      <c r="C279" s="7">
        <v>14210.5</v>
      </c>
      <c r="D279" s="7">
        <f>14219-14203</f>
        <v>16</v>
      </c>
      <c r="E279" s="2">
        <f t="shared" si="6"/>
        <v>1.0090074240878224</v>
      </c>
    </row>
    <row r="280" spans="1:5" x14ac:dyDescent="0.25">
      <c r="A280" s="13" t="s">
        <v>51</v>
      </c>
      <c r="B280" s="3">
        <v>55</v>
      </c>
      <c r="C280" s="8">
        <v>14638</v>
      </c>
      <c r="D280" s="8">
        <f>14646-14630</f>
        <v>16</v>
      </c>
      <c r="E280" s="2">
        <f t="shared" si="6"/>
        <v>0.97953955458395958</v>
      </c>
    </row>
    <row r="281" spans="1:5" x14ac:dyDescent="0.25">
      <c r="A281" s="2" t="s">
        <v>52</v>
      </c>
      <c r="B281" s="2">
        <v>40</v>
      </c>
      <c r="C281" s="7">
        <v>14098</v>
      </c>
      <c r="D281" s="7">
        <f>14106-14090</f>
        <v>16</v>
      </c>
      <c r="E281" s="2">
        <f t="shared" si="6"/>
        <v>1.0170591573272805</v>
      </c>
    </row>
    <row r="282" spans="1:5" x14ac:dyDescent="0.25">
      <c r="A282" s="2" t="s">
        <v>53</v>
      </c>
      <c r="B282" s="2">
        <v>56</v>
      </c>
      <c r="C282" s="7">
        <v>14284</v>
      </c>
      <c r="D282" s="7">
        <f>14291-14276</f>
        <v>15</v>
      </c>
      <c r="E282" s="2">
        <f t="shared" si="6"/>
        <v>1.0038154578549425</v>
      </c>
    </row>
    <row r="283" spans="1:5" x14ac:dyDescent="0.25">
      <c r="A283" s="2" t="s">
        <v>54</v>
      </c>
      <c r="B283" s="2">
        <v>41</v>
      </c>
      <c r="C283" s="7">
        <v>14356</v>
      </c>
      <c r="D283" s="7">
        <f>14363-14349</f>
        <v>14</v>
      </c>
      <c r="E283" s="2">
        <f t="shared" si="6"/>
        <v>0.99878099749233773</v>
      </c>
    </row>
    <row r="284" spans="1:5" x14ac:dyDescent="0.25">
      <c r="A284" s="2" t="s">
        <v>55</v>
      </c>
      <c r="B284" s="2">
        <v>57</v>
      </c>
      <c r="C284" s="7">
        <v>13984</v>
      </c>
      <c r="D284" s="7">
        <f>13990-13976</f>
        <v>14</v>
      </c>
      <c r="E284" s="2">
        <f t="shared" si="6"/>
        <v>1.0253504004576659</v>
      </c>
    </row>
    <row r="285" spans="1:5" x14ac:dyDescent="0.25">
      <c r="A285" s="2" t="s">
        <v>56</v>
      </c>
      <c r="B285" s="2">
        <v>42</v>
      </c>
      <c r="C285" s="7">
        <v>14646</v>
      </c>
      <c r="D285" s="7">
        <f>14655-14637</f>
        <v>18</v>
      </c>
      <c r="E285" s="2">
        <f t="shared" si="6"/>
        <v>0.97900450634985658</v>
      </c>
    </row>
    <row r="286" spans="1:5" x14ac:dyDescent="0.25">
      <c r="A286" s="2" t="s">
        <v>57</v>
      </c>
      <c r="B286" s="2">
        <v>58</v>
      </c>
      <c r="C286" s="7">
        <v>14401</v>
      </c>
      <c r="D286" s="7">
        <f>14409-14392</f>
        <v>17</v>
      </c>
      <c r="E286" s="2">
        <f t="shared" si="6"/>
        <v>0.99566002360947159</v>
      </c>
    </row>
    <row r="287" spans="1:5" x14ac:dyDescent="0.25">
      <c r="A287" s="2" t="s">
        <v>58</v>
      </c>
      <c r="B287" s="2">
        <v>43</v>
      </c>
      <c r="C287" s="7">
        <v>14315</v>
      </c>
      <c r="D287" s="7">
        <f>14322-14306</f>
        <v>16</v>
      </c>
      <c r="E287" s="2">
        <f t="shared" si="6"/>
        <v>1.0016416346489696</v>
      </c>
    </row>
    <row r="288" spans="1:5" x14ac:dyDescent="0.25">
      <c r="A288" s="2" t="s">
        <v>59</v>
      </c>
      <c r="B288" s="2">
        <v>59</v>
      </c>
      <c r="C288" s="7">
        <v>14448</v>
      </c>
      <c r="D288" s="7">
        <f>14456-14439</f>
        <v>17</v>
      </c>
      <c r="E288" s="2">
        <f t="shared" si="6"/>
        <v>0.9924210963455149</v>
      </c>
    </row>
    <row r="289" spans="1:5" x14ac:dyDescent="0.25">
      <c r="A289" s="2" t="s">
        <v>60</v>
      </c>
      <c r="B289" s="2">
        <v>44</v>
      </c>
      <c r="C289" s="7">
        <v>14224</v>
      </c>
      <c r="D289" s="7">
        <f>14232-14215</f>
        <v>17</v>
      </c>
      <c r="E289" s="2">
        <f t="shared" si="6"/>
        <v>1.0080497750281214</v>
      </c>
    </row>
    <row r="290" spans="1:5" x14ac:dyDescent="0.25">
      <c r="A290" s="2" t="s">
        <v>61</v>
      </c>
      <c r="B290" s="2">
        <v>60</v>
      </c>
      <c r="C290" s="7">
        <v>14651</v>
      </c>
      <c r="D290" s="7">
        <f>14659-14642</f>
        <v>17</v>
      </c>
      <c r="E290" s="2">
        <f t="shared" si="6"/>
        <v>0.97867039792505628</v>
      </c>
    </row>
    <row r="291" spans="1:5" x14ac:dyDescent="0.25">
      <c r="A291" s="2" t="s">
        <v>62</v>
      </c>
      <c r="B291" s="2">
        <v>45</v>
      </c>
      <c r="C291" s="7">
        <v>13891</v>
      </c>
      <c r="D291" s="7">
        <f>13898-13882</f>
        <v>16</v>
      </c>
      <c r="E291" s="2">
        <f t="shared" si="6"/>
        <v>1.0322151033042977</v>
      </c>
    </row>
    <row r="292" spans="1:5" x14ac:dyDescent="0.25">
      <c r="A292" s="2" t="s">
        <v>63</v>
      </c>
      <c r="B292" s="2">
        <v>61</v>
      </c>
      <c r="C292" s="7">
        <v>14237</v>
      </c>
      <c r="D292" s="7">
        <f>14246-14228</f>
        <v>18</v>
      </c>
      <c r="E292" s="2">
        <f t="shared" si="6"/>
        <v>1.0071293109503408</v>
      </c>
    </row>
    <row r="293" spans="1:5" x14ac:dyDescent="0.25">
      <c r="A293" s="2" t="s">
        <v>64</v>
      </c>
      <c r="B293" s="2">
        <v>46</v>
      </c>
      <c r="C293" s="7">
        <v>14235</v>
      </c>
      <c r="D293" s="7">
        <f>14243-14227</f>
        <v>16</v>
      </c>
      <c r="E293" s="2">
        <f t="shared" si="6"/>
        <v>1.0072708113804003</v>
      </c>
    </row>
    <row r="294" spans="1:5" x14ac:dyDescent="0.25">
      <c r="A294" s="2" t="s">
        <v>65</v>
      </c>
      <c r="B294" s="2">
        <v>62</v>
      </c>
      <c r="C294" s="7">
        <v>14254</v>
      </c>
      <c r="D294" s="7">
        <f>14262-14246</f>
        <v>16</v>
      </c>
      <c r="E294" s="2">
        <f>$C$7/C294</f>
        <v>1.0059281605163464</v>
      </c>
    </row>
    <row r="295" spans="1:5" x14ac:dyDescent="0.25">
      <c r="A295" s="2" t="s">
        <v>66</v>
      </c>
      <c r="B295" s="2">
        <v>47</v>
      </c>
      <c r="C295" s="7">
        <v>14183</v>
      </c>
      <c r="D295" s="7">
        <f>14190-14175</f>
        <v>15</v>
      </c>
      <c r="E295" s="2">
        <f t="shared" si="6"/>
        <v>1.0109638299372488</v>
      </c>
    </row>
    <row r="296" spans="1:5" x14ac:dyDescent="0.25">
      <c r="A296" s="3" t="s">
        <v>67</v>
      </c>
      <c r="B296" s="3">
        <v>63</v>
      </c>
      <c r="C296" s="8">
        <v>14497</v>
      </c>
      <c r="D296" s="8">
        <f>14506-14488</f>
        <v>18</v>
      </c>
      <c r="E296" s="2">
        <f t="shared" si="6"/>
        <v>0.98906670345588743</v>
      </c>
    </row>
    <row r="297" spans="1:5" x14ac:dyDescent="0.25">
      <c r="A297" s="16" t="s">
        <v>102</v>
      </c>
    </row>
    <row r="298" spans="1:5" x14ac:dyDescent="0.25">
      <c r="A298" s="17" t="s">
        <v>103</v>
      </c>
    </row>
    <row r="299" spans="1:5" x14ac:dyDescent="0.25">
      <c r="A299" s="17" t="s">
        <v>104</v>
      </c>
    </row>
    <row r="304" spans="1:5" x14ac:dyDescent="0.25">
      <c r="A304" s="24" t="s">
        <v>101</v>
      </c>
    </row>
    <row r="305" spans="1:10" ht="15.75" thickBot="1" x14ac:dyDescent="0.3">
      <c r="A305" s="4" t="s">
        <v>3</v>
      </c>
      <c r="B305" s="4" t="s">
        <v>68</v>
      </c>
      <c r="C305" s="4" t="s">
        <v>69</v>
      </c>
      <c r="D305" s="4" t="s">
        <v>78</v>
      </c>
      <c r="E305" s="4" t="s">
        <v>152</v>
      </c>
      <c r="I305" s="18">
        <f>AVERAGE(C306:C369)</f>
        <v>14423.3125</v>
      </c>
      <c r="J305" t="s">
        <v>84</v>
      </c>
    </row>
    <row r="306" spans="1:10" ht="15.75" thickTop="1" x14ac:dyDescent="0.25">
      <c r="A306" s="2" t="s">
        <v>4</v>
      </c>
      <c r="B306" s="7">
        <v>0</v>
      </c>
      <c r="C306" s="7">
        <v>14211.5</v>
      </c>
      <c r="D306" s="2">
        <f>14219-14204</f>
        <v>15</v>
      </c>
      <c r="E306" s="2">
        <f>$C$7/C306</f>
        <v>1.0089364247264538</v>
      </c>
      <c r="F306" s="7"/>
      <c r="I306" s="12">
        <f>(14928-I305)/I305</f>
        <v>3.4991095145445961E-2</v>
      </c>
      <c r="J306" t="s">
        <v>85</v>
      </c>
    </row>
    <row r="307" spans="1:10" x14ac:dyDescent="0.25">
      <c r="A307" s="2" t="s">
        <v>5</v>
      </c>
      <c r="B307" s="7">
        <v>16</v>
      </c>
      <c r="C307" s="7">
        <v>14461</v>
      </c>
      <c r="D307" s="7">
        <f>14468-14454</f>
        <v>14</v>
      </c>
      <c r="E307" s="2">
        <f t="shared" ref="E307:E368" si="7">$C$7/C307</f>
        <v>0.99152893990733693</v>
      </c>
      <c r="I307" s="12">
        <f>(14928-14040)/I305</f>
        <v>6.1566994405758038E-2</v>
      </c>
      <c r="J307" t="s">
        <v>87</v>
      </c>
    </row>
    <row r="308" spans="1:10" x14ac:dyDescent="0.25">
      <c r="A308" s="2" t="s">
        <v>6</v>
      </c>
      <c r="B308" s="7">
        <v>1</v>
      </c>
      <c r="C308" s="7">
        <v>14613</v>
      </c>
      <c r="D308" s="7">
        <f>14621-14607</f>
        <v>14</v>
      </c>
      <c r="E308" s="2">
        <f t="shared" si="7"/>
        <v>0.98121535618969413</v>
      </c>
      <c r="I308" s="11"/>
    </row>
    <row r="309" spans="1:10" x14ac:dyDescent="0.25">
      <c r="A309" s="2" t="s">
        <v>7</v>
      </c>
      <c r="B309" s="7">
        <v>17</v>
      </c>
      <c r="C309" s="7">
        <v>14474</v>
      </c>
      <c r="D309" s="7">
        <f>14481-14467</f>
        <v>14</v>
      </c>
      <c r="E309" s="2">
        <f t="shared" si="7"/>
        <v>0.99063838607157662</v>
      </c>
    </row>
    <row r="310" spans="1:10" x14ac:dyDescent="0.25">
      <c r="A310" s="2" t="s">
        <v>8</v>
      </c>
      <c r="B310" s="7">
        <v>2</v>
      </c>
      <c r="C310" s="7">
        <v>14354</v>
      </c>
      <c r="D310" s="2">
        <f>14362-14347</f>
        <v>15</v>
      </c>
      <c r="E310" s="2">
        <f t="shared" si="7"/>
        <v>0.99892016162742092</v>
      </c>
      <c r="F310" s="7"/>
    </row>
    <row r="311" spans="1:10" x14ac:dyDescent="0.25">
      <c r="A311" s="2" t="s">
        <v>9</v>
      </c>
      <c r="B311" s="7">
        <v>18</v>
      </c>
      <c r="C311" s="7">
        <v>14676</v>
      </c>
      <c r="D311" s="7">
        <f>14683-14668</f>
        <v>15</v>
      </c>
      <c r="E311" s="2">
        <f t="shared" si="7"/>
        <v>0.9770032706459526</v>
      </c>
    </row>
    <row r="312" spans="1:10" x14ac:dyDescent="0.25">
      <c r="A312" s="2" t="s">
        <v>10</v>
      </c>
      <c r="B312" s="7">
        <v>3</v>
      </c>
      <c r="C312" s="7">
        <v>14367</v>
      </c>
      <c r="D312" s="7">
        <f>14373-14359</f>
        <v>14</v>
      </c>
      <c r="E312" s="2">
        <f t="shared" si="7"/>
        <v>0.99801628732512004</v>
      </c>
    </row>
    <row r="313" spans="1:10" x14ac:dyDescent="0.25">
      <c r="A313" s="2" t="s">
        <v>11</v>
      </c>
      <c r="B313" s="7">
        <v>19</v>
      </c>
      <c r="C313" s="7">
        <v>14871</v>
      </c>
      <c r="D313" s="7">
        <f>14877-14864</f>
        <v>13</v>
      </c>
      <c r="E313" s="2">
        <f t="shared" si="7"/>
        <v>0.96419205164413957</v>
      </c>
    </row>
    <row r="314" spans="1:10" x14ac:dyDescent="0.25">
      <c r="A314" s="2" t="s">
        <v>12</v>
      </c>
      <c r="B314" s="7">
        <v>4</v>
      </c>
      <c r="C314" s="7">
        <v>14485</v>
      </c>
      <c r="D314" s="7">
        <f>14492-14479</f>
        <v>13</v>
      </c>
      <c r="E314" s="2">
        <f t="shared" si="7"/>
        <v>0.98988608905764586</v>
      </c>
    </row>
    <row r="315" spans="1:10" x14ac:dyDescent="0.25">
      <c r="A315" s="2" t="s">
        <v>13</v>
      </c>
      <c r="B315" s="7">
        <v>20</v>
      </c>
      <c r="C315" s="7">
        <v>14641</v>
      </c>
      <c r="D315" s="7">
        <f>14648-14634</f>
        <v>14</v>
      </c>
      <c r="E315" s="2">
        <f t="shared" si="7"/>
        <v>0.97933884297520657</v>
      </c>
    </row>
    <row r="316" spans="1:10" x14ac:dyDescent="0.25">
      <c r="A316" s="2" t="s">
        <v>14</v>
      </c>
      <c r="B316" s="7">
        <v>5</v>
      </c>
      <c r="C316" s="7">
        <v>14071</v>
      </c>
      <c r="D316" s="7">
        <f>14078-14065</f>
        <v>13</v>
      </c>
      <c r="E316" s="2">
        <f t="shared" si="7"/>
        <v>1.0190107312913084</v>
      </c>
      <c r="F316" s="7"/>
    </row>
    <row r="317" spans="1:10" x14ac:dyDescent="0.25">
      <c r="A317" s="2" t="s">
        <v>15</v>
      </c>
      <c r="B317" s="7">
        <v>21</v>
      </c>
      <c r="C317" s="7">
        <v>14678</v>
      </c>
      <c r="D317" s="7">
        <f>14685-14670</f>
        <v>15</v>
      </c>
      <c r="E317" s="2">
        <f t="shared" si="7"/>
        <v>0.97687014579643006</v>
      </c>
    </row>
    <row r="318" spans="1:10" x14ac:dyDescent="0.25">
      <c r="A318" s="2" t="s">
        <v>16</v>
      </c>
      <c r="B318" s="7">
        <v>6</v>
      </c>
      <c r="C318" s="7">
        <v>14410</v>
      </c>
      <c r="D318" s="7">
        <f>14417-14403</f>
        <v>14</v>
      </c>
      <c r="E318" s="2">
        <f t="shared" si="7"/>
        <v>0.99503816793893129</v>
      </c>
    </row>
    <row r="319" spans="1:10" x14ac:dyDescent="0.25">
      <c r="A319" s="2" t="s">
        <v>17</v>
      </c>
      <c r="B319" s="7">
        <v>22</v>
      </c>
      <c r="C319" s="7">
        <v>14494</v>
      </c>
      <c r="D319" s="7">
        <f>14501-14487</f>
        <v>14</v>
      </c>
      <c r="E319" s="2">
        <f t="shared" si="7"/>
        <v>0.98927142265765144</v>
      </c>
    </row>
    <row r="320" spans="1:10" x14ac:dyDescent="0.25">
      <c r="A320" s="2" t="s">
        <v>18</v>
      </c>
      <c r="B320" s="9">
        <v>7</v>
      </c>
      <c r="C320" s="9">
        <v>14354</v>
      </c>
      <c r="D320" s="9">
        <f>14361-14347</f>
        <v>14</v>
      </c>
      <c r="E320" s="2">
        <f t="shared" si="7"/>
        <v>0.99892016162742092</v>
      </c>
    </row>
    <row r="321" spans="1:6" x14ac:dyDescent="0.25">
      <c r="A321" s="3" t="s">
        <v>19</v>
      </c>
      <c r="B321" s="8">
        <v>23</v>
      </c>
      <c r="C321" s="8">
        <v>14169</v>
      </c>
      <c r="D321" s="8">
        <f>14175-14161</f>
        <v>14</v>
      </c>
      <c r="E321" s="2">
        <f t="shared" si="7"/>
        <v>1.0119627355494389</v>
      </c>
    </row>
    <row r="322" spans="1:6" x14ac:dyDescent="0.25">
      <c r="A322" s="2" t="s">
        <v>20</v>
      </c>
      <c r="B322" s="7">
        <v>8</v>
      </c>
      <c r="C322" s="7">
        <v>14299</v>
      </c>
      <c r="D322" s="7">
        <f>14308-14290</f>
        <v>18</v>
      </c>
      <c r="E322" s="2">
        <f t="shared" si="7"/>
        <v>1.0027624309392265</v>
      </c>
    </row>
    <row r="323" spans="1:6" x14ac:dyDescent="0.25">
      <c r="A323" s="2" t="s">
        <v>21</v>
      </c>
      <c r="B323" s="7">
        <v>24</v>
      </c>
      <c r="C323" s="7">
        <v>14181</v>
      </c>
      <c r="D323" s="7">
        <f>14188-14174</f>
        <v>14</v>
      </c>
      <c r="E323" s="2">
        <f t="shared" si="7"/>
        <v>1.0111064099851914</v>
      </c>
    </row>
    <row r="324" spans="1:6" x14ac:dyDescent="0.25">
      <c r="A324" s="2" t="s">
        <v>22</v>
      </c>
      <c r="B324" s="7">
        <v>9</v>
      </c>
      <c r="C324" s="7">
        <v>14596</v>
      </c>
      <c r="D324" s="7">
        <f>14604-14590</f>
        <v>14</v>
      </c>
      <c r="E324" s="2">
        <f t="shared" si="7"/>
        <v>0.9823581803233763</v>
      </c>
    </row>
    <row r="325" spans="1:6" x14ac:dyDescent="0.25">
      <c r="A325" s="2" t="s">
        <v>23</v>
      </c>
      <c r="B325" s="7">
        <v>25</v>
      </c>
      <c r="C325" s="7">
        <v>14928</v>
      </c>
      <c r="D325" s="7">
        <f>14936-14921</f>
        <v>15</v>
      </c>
      <c r="E325" s="2">
        <f t="shared" si="7"/>
        <v>0.96051045016077174</v>
      </c>
    </row>
    <row r="326" spans="1:6" x14ac:dyDescent="0.25">
      <c r="A326" s="2" t="s">
        <v>24</v>
      </c>
      <c r="B326" s="7">
        <v>10</v>
      </c>
      <c r="C326" s="7">
        <v>14413</v>
      </c>
      <c r="D326" s="7">
        <f>14419-14407</f>
        <v>12</v>
      </c>
      <c r="E326" s="2">
        <f t="shared" si="7"/>
        <v>0.99483105529730109</v>
      </c>
      <c r="F326" s="20" t="s">
        <v>124</v>
      </c>
    </row>
    <row r="327" spans="1:6" x14ac:dyDescent="0.25">
      <c r="A327" s="2" t="s">
        <v>25</v>
      </c>
      <c r="B327" s="7">
        <v>26</v>
      </c>
      <c r="C327" s="7">
        <v>14484</v>
      </c>
      <c r="D327" s="7">
        <f>14491-14476</f>
        <v>15</v>
      </c>
      <c r="E327" s="2">
        <f t="shared" si="7"/>
        <v>0.98995443247721626</v>
      </c>
    </row>
    <row r="328" spans="1:6" x14ac:dyDescent="0.25">
      <c r="A328" s="2" t="s">
        <v>26</v>
      </c>
      <c r="B328" s="7">
        <v>11</v>
      </c>
      <c r="C328" s="7">
        <v>14412</v>
      </c>
      <c r="D328" s="7">
        <f>14418-14406</f>
        <v>12</v>
      </c>
      <c r="E328" s="2">
        <f t="shared" si="7"/>
        <v>0.99490008326394674</v>
      </c>
    </row>
    <row r="329" spans="1:6" x14ac:dyDescent="0.25">
      <c r="A329" s="2" t="s">
        <v>27</v>
      </c>
      <c r="B329" s="7">
        <v>27</v>
      </c>
      <c r="C329" s="7">
        <v>14174</v>
      </c>
      <c r="D329" s="7">
        <f>14180-14167</f>
        <v>13</v>
      </c>
      <c r="E329" s="2">
        <f t="shared" si="7"/>
        <v>1.0116057570198955</v>
      </c>
      <c r="F329" s="1" t="s">
        <v>123</v>
      </c>
    </row>
    <row r="330" spans="1:6" x14ac:dyDescent="0.25">
      <c r="A330" s="2" t="s">
        <v>28</v>
      </c>
      <c r="B330" s="7">
        <v>12</v>
      </c>
      <c r="C330" s="7">
        <v>14229</v>
      </c>
      <c r="D330" s="7">
        <f>14235-14223</f>
        <v>12</v>
      </c>
      <c r="E330" s="2">
        <f t="shared" si="7"/>
        <v>1.0076955513388151</v>
      </c>
      <c r="F330" s="20" t="s">
        <v>124</v>
      </c>
    </row>
    <row r="331" spans="1:6" x14ac:dyDescent="0.25">
      <c r="A331" s="2" t="s">
        <v>29</v>
      </c>
      <c r="B331" s="7">
        <v>28</v>
      </c>
      <c r="C331" s="7">
        <v>14450</v>
      </c>
      <c r="D331" s="7">
        <f>14457-14443</f>
        <v>14</v>
      </c>
      <c r="E331" s="2">
        <f t="shared" si="7"/>
        <v>0.99228373702422146</v>
      </c>
    </row>
    <row r="332" spans="1:6" x14ac:dyDescent="0.25">
      <c r="A332" s="2" t="s">
        <v>30</v>
      </c>
      <c r="B332" s="7">
        <v>13</v>
      </c>
      <c r="C332" s="7">
        <v>14217</v>
      </c>
      <c r="D332" s="7">
        <f>14224-14210</f>
        <v>14</v>
      </c>
      <c r="E332" s="2">
        <f t="shared" si="7"/>
        <v>1.008546106773581</v>
      </c>
      <c r="F332" s="1" t="s">
        <v>108</v>
      </c>
    </row>
    <row r="333" spans="1:6" x14ac:dyDescent="0.25">
      <c r="A333" s="2" t="s">
        <v>31</v>
      </c>
      <c r="B333" s="7">
        <v>29</v>
      </c>
      <c r="C333" s="7">
        <v>14378</v>
      </c>
      <c r="D333" s="7">
        <f>14384-14372</f>
        <v>12</v>
      </c>
      <c r="E333" s="2">
        <f t="shared" si="7"/>
        <v>0.99725274725274726</v>
      </c>
      <c r="F333" s="1" t="s">
        <v>116</v>
      </c>
    </row>
    <row r="334" spans="1:6" x14ac:dyDescent="0.25">
      <c r="A334" s="2" t="s">
        <v>32</v>
      </c>
      <c r="B334" s="7">
        <v>14</v>
      </c>
      <c r="C334" s="7">
        <v>14373</v>
      </c>
      <c r="D334" s="7">
        <f>14379-14366</f>
        <v>13</v>
      </c>
      <c r="E334" s="2">
        <f t="shared" si="7"/>
        <v>0.99759966604049255</v>
      </c>
      <c r="F334" s="1" t="s">
        <v>115</v>
      </c>
    </row>
    <row r="335" spans="1:6" x14ac:dyDescent="0.25">
      <c r="A335" s="2" t="s">
        <v>33</v>
      </c>
      <c r="B335" s="7">
        <v>30</v>
      </c>
      <c r="C335" s="7">
        <v>14040</v>
      </c>
      <c r="D335" s="7">
        <f>14046-14033</f>
        <v>13</v>
      </c>
      <c r="E335" s="2">
        <f t="shared" si="7"/>
        <v>1.0212606837606837</v>
      </c>
      <c r="F335" s="1" t="s">
        <v>109</v>
      </c>
    </row>
    <row r="336" spans="1:6" x14ac:dyDescent="0.25">
      <c r="A336" s="2" t="s">
        <v>34</v>
      </c>
      <c r="B336" s="7">
        <v>15</v>
      </c>
      <c r="C336" s="7">
        <v>14518</v>
      </c>
      <c r="D336" s="7">
        <f>14524-14511</f>
        <v>13</v>
      </c>
      <c r="E336" s="2">
        <f t="shared" si="7"/>
        <v>0.98763603802176614</v>
      </c>
      <c r="F336" s="1" t="s">
        <v>114</v>
      </c>
    </row>
    <row r="337" spans="1:6" x14ac:dyDescent="0.25">
      <c r="A337" s="3" t="s">
        <v>35</v>
      </c>
      <c r="B337" s="8">
        <v>31</v>
      </c>
      <c r="C337" s="8">
        <v>14672</v>
      </c>
      <c r="D337" s="8">
        <f>14678-14665</f>
        <v>13</v>
      </c>
      <c r="E337" s="2">
        <f t="shared" si="7"/>
        <v>0.97726962922573613</v>
      </c>
      <c r="F337" s="1" t="s">
        <v>150</v>
      </c>
    </row>
    <row r="338" spans="1:6" x14ac:dyDescent="0.25">
      <c r="A338" s="2" t="s">
        <v>36</v>
      </c>
      <c r="B338" s="2">
        <v>32</v>
      </c>
      <c r="C338" s="7">
        <v>14714</v>
      </c>
      <c r="D338" s="7">
        <f>14720-14707</f>
        <v>13</v>
      </c>
      <c r="E338" s="2">
        <f t="shared" si="7"/>
        <v>0.97448008699198041</v>
      </c>
      <c r="F338" s="19"/>
    </row>
    <row r="339" spans="1:6" x14ac:dyDescent="0.25">
      <c r="A339" s="2" t="s">
        <v>37</v>
      </c>
      <c r="B339" s="2">
        <v>48</v>
      </c>
      <c r="C339" s="7">
        <v>14528</v>
      </c>
      <c r="D339" s="7">
        <f>14535-14521</f>
        <v>14</v>
      </c>
      <c r="E339" s="2">
        <f t="shared" si="7"/>
        <v>0.98695622246696035</v>
      </c>
      <c r="F339" s="19"/>
    </row>
    <row r="340" spans="1:6" x14ac:dyDescent="0.25">
      <c r="A340" s="2" t="s">
        <v>38</v>
      </c>
      <c r="B340" s="2">
        <v>33</v>
      </c>
      <c r="C340" s="7">
        <v>14410</v>
      </c>
      <c r="D340" s="7">
        <f>14416-14404</f>
        <v>12</v>
      </c>
      <c r="E340" s="2">
        <f t="shared" si="7"/>
        <v>0.99503816793893129</v>
      </c>
      <c r="F340" s="19"/>
    </row>
    <row r="341" spans="1:6" x14ac:dyDescent="0.25">
      <c r="A341" s="2" t="s">
        <v>39</v>
      </c>
      <c r="B341" s="2">
        <v>49</v>
      </c>
      <c r="C341" s="7">
        <v>14739</v>
      </c>
      <c r="D341" s="7">
        <f>14745-14732</f>
        <v>13</v>
      </c>
      <c r="E341" s="2">
        <f t="shared" si="7"/>
        <v>0.97282719316100141</v>
      </c>
      <c r="F341" s="19"/>
    </row>
    <row r="342" spans="1:6" x14ac:dyDescent="0.25">
      <c r="A342" s="2" t="s">
        <v>40</v>
      </c>
      <c r="B342" s="2">
        <v>34</v>
      </c>
      <c r="C342" s="7">
        <v>14364</v>
      </c>
      <c r="D342" s="7">
        <f>14370-14356</f>
        <v>14</v>
      </c>
      <c r="E342" s="2">
        <f t="shared" si="7"/>
        <v>0.99822472848788635</v>
      </c>
      <c r="F342" s="19"/>
    </row>
    <row r="343" spans="1:6" x14ac:dyDescent="0.25">
      <c r="A343" s="2" t="s">
        <v>41</v>
      </c>
      <c r="B343" s="2">
        <v>50</v>
      </c>
      <c r="C343" s="7">
        <v>14102</v>
      </c>
      <c r="D343" s="7">
        <f>14108-14096</f>
        <v>12</v>
      </c>
      <c r="E343" s="2">
        <f t="shared" si="7"/>
        <v>1.0167706708268331</v>
      </c>
      <c r="F343" s="1" t="s">
        <v>117</v>
      </c>
    </row>
    <row r="344" spans="1:6" x14ac:dyDescent="0.25">
      <c r="A344" s="2" t="s">
        <v>42</v>
      </c>
      <c r="B344" s="2">
        <v>35</v>
      </c>
      <c r="C344" s="7">
        <v>14663</v>
      </c>
      <c r="D344" s="7">
        <f>14669-14656</f>
        <v>13</v>
      </c>
      <c r="E344" s="2">
        <f t="shared" si="7"/>
        <v>0.97786946736684166</v>
      </c>
      <c r="F344" s="1" t="s">
        <v>118</v>
      </c>
    </row>
    <row r="345" spans="1:6" x14ac:dyDescent="0.25">
      <c r="A345" s="2" t="s">
        <v>43</v>
      </c>
      <c r="B345" s="2">
        <v>51</v>
      </c>
      <c r="C345" s="7">
        <v>14168</v>
      </c>
      <c r="D345" s="7">
        <f>14175-14162</f>
        <v>13</v>
      </c>
      <c r="E345" s="2">
        <f t="shared" si="7"/>
        <v>1.0120341614906831</v>
      </c>
      <c r="F345" s="19"/>
    </row>
    <row r="346" spans="1:6" x14ac:dyDescent="0.25">
      <c r="A346" s="2" t="s">
        <v>44</v>
      </c>
      <c r="B346" s="2">
        <v>36</v>
      </c>
      <c r="C346" s="7">
        <v>14643</v>
      </c>
      <c r="D346" s="7">
        <f>14648-14637</f>
        <v>11</v>
      </c>
      <c r="E346" s="2">
        <f t="shared" si="7"/>
        <v>0.97920508092603975</v>
      </c>
      <c r="F346" s="19"/>
    </row>
    <row r="347" spans="1:6" x14ac:dyDescent="0.25">
      <c r="A347" s="2" t="s">
        <v>45</v>
      </c>
      <c r="B347" s="2">
        <v>52</v>
      </c>
      <c r="C347" s="7">
        <v>14289</v>
      </c>
      <c r="D347" s="7">
        <f>14296-14283</f>
        <v>13</v>
      </c>
      <c r="E347" s="2">
        <f t="shared" si="7"/>
        <v>1.0034642032332564</v>
      </c>
      <c r="F347" s="19"/>
    </row>
    <row r="348" spans="1:6" x14ac:dyDescent="0.25">
      <c r="A348" s="2" t="s">
        <v>46</v>
      </c>
      <c r="B348" s="2">
        <v>37</v>
      </c>
      <c r="C348" s="7">
        <v>14242</v>
      </c>
      <c r="D348" s="7">
        <f>14248-14236</f>
        <v>12</v>
      </c>
      <c r="E348" s="2">
        <f t="shared" si="7"/>
        <v>1.0067757337452605</v>
      </c>
      <c r="F348" s="19"/>
    </row>
    <row r="349" spans="1:6" x14ac:dyDescent="0.25">
      <c r="A349" s="2" t="s">
        <v>47</v>
      </c>
      <c r="B349" s="2">
        <v>53</v>
      </c>
      <c r="C349" s="7">
        <v>14373</v>
      </c>
      <c r="D349" s="7">
        <f>14379-14365</f>
        <v>14</v>
      </c>
      <c r="E349" s="2">
        <f t="shared" si="7"/>
        <v>0.99759966604049255</v>
      </c>
      <c r="F349" s="19"/>
    </row>
    <row r="350" spans="1:6" x14ac:dyDescent="0.25">
      <c r="A350" s="2" t="s">
        <v>48</v>
      </c>
      <c r="B350" s="2">
        <v>38</v>
      </c>
      <c r="C350" s="7">
        <v>14456</v>
      </c>
      <c r="D350" s="7">
        <f>14462-14448</f>
        <v>14</v>
      </c>
      <c r="E350" s="2">
        <f t="shared" si="7"/>
        <v>0.99187188710570007</v>
      </c>
      <c r="F350" s="19"/>
    </row>
    <row r="351" spans="1:6" x14ac:dyDescent="0.25">
      <c r="A351" s="2" t="s">
        <v>49</v>
      </c>
      <c r="B351" s="2">
        <v>54</v>
      </c>
      <c r="C351" s="7">
        <v>14569</v>
      </c>
      <c r="D351" s="7">
        <f>14576-14560</f>
        <v>16</v>
      </c>
      <c r="E351" s="2">
        <f t="shared" si="7"/>
        <v>0.9841787356716315</v>
      </c>
      <c r="F351" s="19"/>
    </row>
    <row r="352" spans="1:6" x14ac:dyDescent="0.25">
      <c r="A352" s="2" t="s">
        <v>50</v>
      </c>
      <c r="B352" s="2">
        <v>39</v>
      </c>
      <c r="C352" s="7">
        <v>14595.5</v>
      </c>
      <c r="D352" s="7">
        <f>14602-14588</f>
        <v>14</v>
      </c>
      <c r="E352" s="2">
        <f t="shared" si="7"/>
        <v>0.98239183309924294</v>
      </c>
      <c r="F352" s="19"/>
    </row>
    <row r="353" spans="1:6" x14ac:dyDescent="0.25">
      <c r="A353" s="13" t="s">
        <v>51</v>
      </c>
      <c r="B353" s="3">
        <v>55</v>
      </c>
      <c r="C353" s="8">
        <v>14414</v>
      </c>
      <c r="D353" s="8">
        <f>14421-14407</f>
        <v>14</v>
      </c>
      <c r="E353" s="2">
        <f t="shared" si="7"/>
        <v>0.99476203690856113</v>
      </c>
      <c r="F353" s="19"/>
    </row>
    <row r="354" spans="1:6" x14ac:dyDescent="0.25">
      <c r="A354" s="2" t="s">
        <v>52</v>
      </c>
      <c r="B354" s="2">
        <v>40</v>
      </c>
      <c r="C354" s="7">
        <v>14311</v>
      </c>
      <c r="D354" s="7">
        <f>14317-14305</f>
        <v>12</v>
      </c>
      <c r="E354" s="2">
        <f t="shared" si="7"/>
        <v>1.0019215987701768</v>
      </c>
      <c r="F354" s="19"/>
    </row>
    <row r="355" spans="1:6" x14ac:dyDescent="0.25">
      <c r="A355" s="2" t="s">
        <v>53</v>
      </c>
      <c r="B355" s="2">
        <v>56</v>
      </c>
      <c r="C355" s="7">
        <v>14447</v>
      </c>
      <c r="D355" s="7">
        <f>14453-14439</f>
        <v>14</v>
      </c>
      <c r="E355" s="2">
        <f t="shared" si="7"/>
        <v>0.99248979026787565</v>
      </c>
      <c r="F355" s="19"/>
    </row>
    <row r="356" spans="1:6" x14ac:dyDescent="0.25">
      <c r="A356" s="2" t="s">
        <v>54</v>
      </c>
      <c r="B356" s="2">
        <v>41</v>
      </c>
      <c r="C356" s="7">
        <v>14372</v>
      </c>
      <c r="D356" s="7">
        <f>14378-14364</f>
        <v>14</v>
      </c>
      <c r="E356" s="2">
        <f t="shared" si="7"/>
        <v>0.99766907876426381</v>
      </c>
      <c r="F356" s="19"/>
    </row>
    <row r="357" spans="1:6" x14ac:dyDescent="0.25">
      <c r="A357" s="2" t="s">
        <v>55</v>
      </c>
      <c r="B357" s="2">
        <v>57</v>
      </c>
      <c r="C357" s="7">
        <v>14457</v>
      </c>
      <c r="D357" s="7">
        <f>14464-14450</f>
        <v>14</v>
      </c>
      <c r="E357" s="2">
        <f t="shared" si="7"/>
        <v>0.99180327868852458</v>
      </c>
      <c r="F357" s="19"/>
    </row>
    <row r="358" spans="1:6" x14ac:dyDescent="0.25">
      <c r="A358" s="2" t="s">
        <v>56</v>
      </c>
      <c r="B358" s="2">
        <v>42</v>
      </c>
      <c r="C358" s="7">
        <v>14326</v>
      </c>
      <c r="D358" s="7">
        <f>14333-14319</f>
        <v>14</v>
      </c>
      <c r="E358" s="2">
        <f t="shared" si="7"/>
        <v>1.0008725394387827</v>
      </c>
      <c r="F358" s="19"/>
    </row>
    <row r="359" spans="1:6" x14ac:dyDescent="0.25">
      <c r="A359" s="2" t="s">
        <v>57</v>
      </c>
      <c r="B359" s="2">
        <v>58</v>
      </c>
      <c r="C359" s="7">
        <v>14551</v>
      </c>
      <c r="D359" s="7">
        <f>14558-14543</f>
        <v>15</v>
      </c>
      <c r="E359" s="2">
        <f t="shared" si="7"/>
        <v>0.98539619270153256</v>
      </c>
      <c r="F359" s="19"/>
    </row>
    <row r="360" spans="1:6" x14ac:dyDescent="0.25">
      <c r="A360" s="2" t="s">
        <v>58</v>
      </c>
      <c r="B360" s="2">
        <v>43</v>
      </c>
      <c r="C360" s="7">
        <v>14248</v>
      </c>
      <c r="D360" s="7">
        <f>14255-14240</f>
        <v>15</v>
      </c>
      <c r="E360" s="2">
        <f t="shared" si="7"/>
        <v>1.0063517686692869</v>
      </c>
      <c r="F360" s="19"/>
    </row>
    <row r="361" spans="1:6" x14ac:dyDescent="0.25">
      <c r="A361" s="2" t="s">
        <v>59</v>
      </c>
      <c r="B361" s="2">
        <v>59</v>
      </c>
      <c r="C361" s="7">
        <v>14465</v>
      </c>
      <c r="D361" s="7">
        <f>14473-14457</f>
        <v>16</v>
      </c>
      <c r="E361" s="2">
        <f t="shared" si="7"/>
        <v>0.99125475285171105</v>
      </c>
      <c r="F361" s="19"/>
    </row>
    <row r="362" spans="1:6" x14ac:dyDescent="0.25">
      <c r="A362" s="2" t="s">
        <v>60</v>
      </c>
      <c r="B362" s="2">
        <v>44</v>
      </c>
      <c r="C362" s="7">
        <v>14751</v>
      </c>
      <c r="D362" s="7">
        <f>14759-14743</f>
        <v>16</v>
      </c>
      <c r="E362" s="2">
        <f t="shared" si="7"/>
        <v>0.97203579418344521</v>
      </c>
      <c r="F362" s="19"/>
    </row>
    <row r="363" spans="1:6" x14ac:dyDescent="0.25">
      <c r="A363" s="2" t="s">
        <v>61</v>
      </c>
      <c r="B363" s="2">
        <v>60</v>
      </c>
      <c r="C363" s="7">
        <v>14344</v>
      </c>
      <c r="D363" s="7">
        <f>14351-14336</f>
        <v>15</v>
      </c>
      <c r="E363" s="2">
        <f t="shared" si="7"/>
        <v>0.99961656441717794</v>
      </c>
      <c r="F363" s="19"/>
    </row>
    <row r="364" spans="1:6" x14ac:dyDescent="0.25">
      <c r="A364" s="2" t="s">
        <v>62</v>
      </c>
      <c r="B364" s="2">
        <v>45</v>
      </c>
      <c r="C364" s="7">
        <v>14272</v>
      </c>
      <c r="D364" s="7">
        <f>14278-14264</f>
        <v>14</v>
      </c>
      <c r="E364" s="2">
        <f t="shared" si="7"/>
        <v>1.0046594730941705</v>
      </c>
      <c r="F364" s="19"/>
    </row>
    <row r="365" spans="1:6" x14ac:dyDescent="0.25">
      <c r="A365" s="2" t="s">
        <v>63</v>
      </c>
      <c r="B365" s="2">
        <v>61</v>
      </c>
      <c r="C365" s="7">
        <v>14888</v>
      </c>
      <c r="D365" s="7">
        <v>18</v>
      </c>
      <c r="E365" s="2">
        <f t="shared" si="7"/>
        <v>0.96309108006448141</v>
      </c>
      <c r="F365" s="20" t="s">
        <v>149</v>
      </c>
    </row>
    <row r="366" spans="1:6" x14ac:dyDescent="0.25">
      <c r="A366" s="2" t="s">
        <v>64</v>
      </c>
      <c r="B366" s="2">
        <v>46</v>
      </c>
      <c r="C366" s="7">
        <v>14098</v>
      </c>
      <c r="D366" s="7">
        <f>14104-14091</f>
        <v>13</v>
      </c>
      <c r="E366" s="2">
        <f t="shared" si="7"/>
        <v>1.0170591573272805</v>
      </c>
      <c r="F366" s="19"/>
    </row>
    <row r="367" spans="1:6" x14ac:dyDescent="0.25">
      <c r="A367" s="2" t="s">
        <v>65</v>
      </c>
      <c r="B367" s="2">
        <v>62</v>
      </c>
      <c r="C367" s="7">
        <v>14325</v>
      </c>
      <c r="D367" s="7">
        <f>14332-14316</f>
        <v>16</v>
      </c>
      <c r="E367" s="2">
        <f t="shared" si="7"/>
        <v>1.0009424083769634</v>
      </c>
      <c r="F367" s="19"/>
    </row>
    <row r="368" spans="1:6" x14ac:dyDescent="0.25">
      <c r="A368" s="2" t="s">
        <v>66</v>
      </c>
      <c r="B368" s="2">
        <v>47</v>
      </c>
      <c r="C368" s="7">
        <v>14060</v>
      </c>
      <c r="D368" s="7">
        <f>14067-14051</f>
        <v>16</v>
      </c>
      <c r="E368" s="2">
        <f t="shared" si="7"/>
        <v>1.0198079658605974</v>
      </c>
      <c r="F368" s="19"/>
    </row>
    <row r="369" spans="1:6" x14ac:dyDescent="0.25">
      <c r="A369" s="3" t="s">
        <v>67</v>
      </c>
      <c r="B369" s="3">
        <v>63</v>
      </c>
      <c r="C369" s="8">
        <v>14214</v>
      </c>
      <c r="D369" s="8">
        <f>16</f>
        <v>16</v>
      </c>
      <c r="E369" s="2">
        <f>$C$7/C369</f>
        <v>1.0087589700295483</v>
      </c>
      <c r="F369" s="20" t="s">
        <v>148</v>
      </c>
    </row>
    <row r="370" spans="1:6" x14ac:dyDescent="0.25">
      <c r="A370" s="16" t="s">
        <v>110</v>
      </c>
    </row>
    <row r="371" spans="1:6" x14ac:dyDescent="0.25">
      <c r="A371" s="16" t="s">
        <v>111</v>
      </c>
    </row>
    <row r="372" spans="1:6" x14ac:dyDescent="0.25">
      <c r="A372" s="17" t="s">
        <v>112</v>
      </c>
    </row>
    <row r="373" spans="1:6" x14ac:dyDescent="0.25">
      <c r="A373" s="17" t="s">
        <v>113</v>
      </c>
    </row>
    <row r="374" spans="1:6" x14ac:dyDescent="0.25">
      <c r="A374" s="16" t="s">
        <v>119</v>
      </c>
    </row>
    <row r="375" spans="1:6" x14ac:dyDescent="0.25">
      <c r="A375" s="17" t="s">
        <v>120</v>
      </c>
    </row>
    <row r="376" spans="1:6" x14ac:dyDescent="0.25">
      <c r="A376" s="16" t="s">
        <v>121</v>
      </c>
    </row>
    <row r="377" spans="1:6" x14ac:dyDescent="0.25">
      <c r="A377" s="16" t="s">
        <v>122</v>
      </c>
    </row>
    <row r="378" spans="1:6" x14ac:dyDescent="0.25">
      <c r="A378" s="17" t="s">
        <v>125</v>
      </c>
    </row>
    <row r="412" spans="1:10" x14ac:dyDescent="0.25">
      <c r="A412" s="1" t="s">
        <v>153</v>
      </c>
    </row>
    <row r="413" spans="1:10" x14ac:dyDescent="0.25">
      <c r="A413" s="24" t="s">
        <v>155</v>
      </c>
    </row>
    <row r="414" spans="1:10" ht="15.75" thickBot="1" x14ac:dyDescent="0.3">
      <c r="A414" s="4" t="s">
        <v>3</v>
      </c>
      <c r="B414" s="4" t="s">
        <v>68</v>
      </c>
      <c r="C414" s="4" t="s">
        <v>69</v>
      </c>
      <c r="D414" s="4" t="s">
        <v>78</v>
      </c>
      <c r="E414" s="4" t="s">
        <v>152</v>
      </c>
      <c r="G414" s="32" t="s">
        <v>159</v>
      </c>
      <c r="I414" s="18">
        <f>AVERAGE(C415:C478)</f>
        <v>14461.363636363636</v>
      </c>
      <c r="J414" s="30" t="s">
        <v>84</v>
      </c>
    </row>
    <row r="415" spans="1:10" ht="15.75" thickTop="1" x14ac:dyDescent="0.25">
      <c r="A415" s="2" t="s">
        <v>4</v>
      </c>
      <c r="B415" s="7">
        <v>0</v>
      </c>
      <c r="C415" s="7">
        <v>14235</v>
      </c>
      <c r="E415" s="2">
        <f>$C$7/C415</f>
        <v>1.0072708113804003</v>
      </c>
      <c r="F415" s="16"/>
      <c r="G415" t="s">
        <v>157</v>
      </c>
      <c r="I415" s="12">
        <f>(13984-I414)/I414</f>
        <v>-3.3009586672952985E-2</v>
      </c>
      <c r="J415" s="30" t="s">
        <v>85</v>
      </c>
    </row>
    <row r="416" spans="1:10" x14ac:dyDescent="0.25">
      <c r="A416" s="2" t="s">
        <v>5</v>
      </c>
      <c r="B416" s="7">
        <v>16</v>
      </c>
      <c r="C416" s="7">
        <v>14629</v>
      </c>
      <c r="D416" s="7"/>
      <c r="E416" s="2">
        <f t="shared" ref="E416:E477" si="8">$C$7/C416</f>
        <v>0.98014218333447267</v>
      </c>
      <c r="G416" t="s">
        <v>157</v>
      </c>
      <c r="I416" s="12">
        <f>(14850-13984)/I414</f>
        <v>5.9883702655979885E-2</v>
      </c>
      <c r="J416" s="30" t="s">
        <v>87</v>
      </c>
    </row>
    <row r="417" spans="1:7" x14ac:dyDescent="0.25">
      <c r="A417" s="2" t="s">
        <v>6</v>
      </c>
      <c r="B417" s="7">
        <v>1</v>
      </c>
      <c r="C417" s="7">
        <v>14383</v>
      </c>
      <c r="D417" s="7">
        <v>32</v>
      </c>
      <c r="E417" s="2">
        <f t="shared" si="8"/>
        <v>0.99690606966557738</v>
      </c>
      <c r="G417" t="s">
        <v>157</v>
      </c>
    </row>
    <row r="418" spans="1:7" x14ac:dyDescent="0.25">
      <c r="A418" s="2" t="s">
        <v>7</v>
      </c>
      <c r="B418" s="7">
        <v>17</v>
      </c>
      <c r="C418" s="7">
        <v>14412</v>
      </c>
      <c r="D418" s="7">
        <v>31</v>
      </c>
      <c r="E418" s="2">
        <f t="shared" si="8"/>
        <v>0.99490008326394674</v>
      </c>
      <c r="G418" t="s">
        <v>157</v>
      </c>
    </row>
    <row r="419" spans="1:7" x14ac:dyDescent="0.25">
      <c r="A419" s="2" t="s">
        <v>8</v>
      </c>
      <c r="B419" s="7">
        <v>2</v>
      </c>
      <c r="C419" s="7">
        <v>14253</v>
      </c>
      <c r="E419" s="2">
        <f t="shared" si="8"/>
        <v>1.0059987371079773</v>
      </c>
      <c r="F419" s="7"/>
      <c r="G419" t="s">
        <v>157</v>
      </c>
    </row>
    <row r="420" spans="1:7" x14ac:dyDescent="0.25">
      <c r="A420" s="2" t="s">
        <v>9</v>
      </c>
      <c r="B420" s="7">
        <v>18</v>
      </c>
      <c r="C420" s="7">
        <v>14685</v>
      </c>
      <c r="D420" s="7"/>
      <c r="E420" s="2">
        <f t="shared" si="8"/>
        <v>0.97640449438202248</v>
      </c>
      <c r="G420" t="s">
        <v>157</v>
      </c>
    </row>
    <row r="421" spans="1:7" x14ac:dyDescent="0.25">
      <c r="A421" s="2" t="s">
        <v>10</v>
      </c>
      <c r="B421" s="7">
        <v>3</v>
      </c>
      <c r="C421" s="7">
        <v>14318</v>
      </c>
      <c r="D421" s="7"/>
      <c r="E421" s="2">
        <f t="shared" si="8"/>
        <v>1.0014317642128789</v>
      </c>
      <c r="G421" t="s">
        <v>157</v>
      </c>
    </row>
    <row r="422" spans="1:7" x14ac:dyDescent="0.25">
      <c r="A422" s="2" t="s">
        <v>11</v>
      </c>
      <c r="B422" s="7">
        <v>19</v>
      </c>
      <c r="C422" s="7">
        <v>14561</v>
      </c>
      <c r="D422" s="7"/>
      <c r="E422" s="2">
        <f t="shared" si="8"/>
        <v>0.98471945608131306</v>
      </c>
      <c r="G422" t="s">
        <v>157</v>
      </c>
    </row>
    <row r="423" spans="1:7" x14ac:dyDescent="0.25">
      <c r="A423" s="2" t="s">
        <v>12</v>
      </c>
      <c r="B423" s="7">
        <v>4</v>
      </c>
      <c r="C423" s="7">
        <v>14319</v>
      </c>
      <c r="D423" s="7">
        <v>29</v>
      </c>
      <c r="E423" s="2">
        <f t="shared" si="8"/>
        <v>1.0013618269432223</v>
      </c>
      <c r="G423" t="s">
        <v>157</v>
      </c>
    </row>
    <row r="424" spans="1:7" x14ac:dyDescent="0.25">
      <c r="A424" s="2" t="s">
        <v>13</v>
      </c>
      <c r="B424" s="7">
        <v>20</v>
      </c>
      <c r="C424" s="7">
        <v>15004</v>
      </c>
      <c r="D424" s="7"/>
      <c r="E424" s="2">
        <f t="shared" si="8"/>
        <v>0.95564516129032262</v>
      </c>
      <c r="G424" t="s">
        <v>157</v>
      </c>
    </row>
    <row r="425" spans="1:7" x14ac:dyDescent="0.25">
      <c r="A425" s="2" t="s">
        <v>14</v>
      </c>
      <c r="B425" s="7">
        <v>5</v>
      </c>
      <c r="C425" s="7">
        <v>14276</v>
      </c>
      <c r="D425" s="7"/>
      <c r="E425" s="2">
        <f>$C$7/C425</f>
        <v>1.0043779770243766</v>
      </c>
      <c r="F425" s="7"/>
      <c r="G425" t="s">
        <v>157</v>
      </c>
    </row>
    <row r="426" spans="1:7" x14ac:dyDescent="0.25">
      <c r="A426" s="2" t="s">
        <v>15</v>
      </c>
      <c r="B426" s="7">
        <v>21</v>
      </c>
      <c r="C426" s="7"/>
      <c r="D426" s="7"/>
      <c r="E426" s="2" t="e">
        <f t="shared" si="8"/>
        <v>#DIV/0!</v>
      </c>
      <c r="G426" t="s">
        <v>157</v>
      </c>
    </row>
    <row r="427" spans="1:7" x14ac:dyDescent="0.25">
      <c r="A427" s="2" t="s">
        <v>16</v>
      </c>
      <c r="B427" s="7">
        <v>6</v>
      </c>
      <c r="C427" s="7"/>
      <c r="D427" s="7"/>
      <c r="E427" s="2" t="e">
        <f t="shared" si="8"/>
        <v>#DIV/0!</v>
      </c>
      <c r="G427" t="s">
        <v>157</v>
      </c>
    </row>
    <row r="428" spans="1:7" x14ac:dyDescent="0.25">
      <c r="A428" s="2" t="s">
        <v>17</v>
      </c>
      <c r="B428" s="7">
        <v>22</v>
      </c>
      <c r="C428" s="7"/>
      <c r="D428" s="7"/>
      <c r="E428" s="2" t="e">
        <f t="shared" si="8"/>
        <v>#DIV/0!</v>
      </c>
      <c r="G428" t="s">
        <v>157</v>
      </c>
    </row>
    <row r="429" spans="1:7" x14ac:dyDescent="0.25">
      <c r="A429" s="2" t="s">
        <v>18</v>
      </c>
      <c r="B429" s="9">
        <v>7</v>
      </c>
      <c r="C429" s="9"/>
      <c r="D429" s="9"/>
      <c r="E429" s="2" t="e">
        <f t="shared" si="8"/>
        <v>#DIV/0!</v>
      </c>
      <c r="G429" t="s">
        <v>157</v>
      </c>
    </row>
    <row r="430" spans="1:7" x14ac:dyDescent="0.25">
      <c r="A430" s="3" t="s">
        <v>19</v>
      </c>
      <c r="B430" s="8">
        <v>23</v>
      </c>
      <c r="C430" s="8"/>
      <c r="D430" s="8"/>
      <c r="E430" s="2" t="e">
        <f t="shared" si="8"/>
        <v>#DIV/0!</v>
      </c>
      <c r="G430" t="s">
        <v>157</v>
      </c>
    </row>
    <row r="431" spans="1:7" x14ac:dyDescent="0.25">
      <c r="A431" s="2" t="s">
        <v>20</v>
      </c>
      <c r="B431" s="7">
        <v>8</v>
      </c>
      <c r="C431" s="7"/>
      <c r="D431" s="7"/>
      <c r="E431" s="2" t="e">
        <f t="shared" si="8"/>
        <v>#DIV/0!</v>
      </c>
      <c r="G431" t="s">
        <v>157</v>
      </c>
    </row>
    <row r="432" spans="1:7" x14ac:dyDescent="0.25">
      <c r="A432" s="2" t="s">
        <v>21</v>
      </c>
      <c r="B432" s="7">
        <v>24</v>
      </c>
      <c r="C432" s="7"/>
      <c r="D432" s="7"/>
      <c r="E432" s="2" t="e">
        <f t="shared" si="8"/>
        <v>#DIV/0!</v>
      </c>
      <c r="G432" t="s">
        <v>157</v>
      </c>
    </row>
    <row r="433" spans="1:7" x14ac:dyDescent="0.25">
      <c r="A433" s="2" t="s">
        <v>22</v>
      </c>
      <c r="B433" s="7">
        <v>9</v>
      </c>
      <c r="C433" s="7"/>
      <c r="D433" s="7"/>
      <c r="E433" s="2" t="e">
        <f t="shared" si="8"/>
        <v>#DIV/0!</v>
      </c>
      <c r="G433" t="s">
        <v>157</v>
      </c>
    </row>
    <row r="434" spans="1:7" x14ac:dyDescent="0.25">
      <c r="A434" s="2" t="s">
        <v>23</v>
      </c>
      <c r="B434" s="7">
        <v>25</v>
      </c>
      <c r="C434" s="7"/>
      <c r="D434" s="7"/>
      <c r="E434" s="2" t="e">
        <f t="shared" si="8"/>
        <v>#DIV/0!</v>
      </c>
      <c r="G434" t="s">
        <v>157</v>
      </c>
    </row>
    <row r="435" spans="1:7" x14ac:dyDescent="0.25">
      <c r="A435" s="2" t="s">
        <v>24</v>
      </c>
      <c r="B435" s="7">
        <v>10</v>
      </c>
      <c r="C435" s="7"/>
      <c r="D435" s="7"/>
      <c r="E435" s="2" t="e">
        <f t="shared" si="8"/>
        <v>#DIV/0!</v>
      </c>
      <c r="G435" t="s">
        <v>157</v>
      </c>
    </row>
    <row r="436" spans="1:7" x14ac:dyDescent="0.25">
      <c r="A436" s="2" t="s">
        <v>25</v>
      </c>
      <c r="B436" s="7">
        <v>26</v>
      </c>
      <c r="C436" s="7"/>
      <c r="D436" s="7"/>
      <c r="E436" s="2" t="e">
        <f t="shared" si="8"/>
        <v>#DIV/0!</v>
      </c>
      <c r="G436" t="s">
        <v>157</v>
      </c>
    </row>
    <row r="437" spans="1:7" x14ac:dyDescent="0.25">
      <c r="A437" s="2" t="s">
        <v>26</v>
      </c>
      <c r="B437" s="7">
        <v>11</v>
      </c>
      <c r="C437" s="7"/>
      <c r="D437" s="7"/>
      <c r="E437" s="2" t="e">
        <f t="shared" si="8"/>
        <v>#DIV/0!</v>
      </c>
      <c r="G437" t="s">
        <v>157</v>
      </c>
    </row>
    <row r="438" spans="1:7" x14ac:dyDescent="0.25">
      <c r="A438" s="2" t="s">
        <v>27</v>
      </c>
      <c r="B438" s="7">
        <v>27</v>
      </c>
      <c r="C438" s="7"/>
      <c r="D438" s="7"/>
      <c r="E438" s="2" t="e">
        <f t="shared" si="8"/>
        <v>#DIV/0!</v>
      </c>
      <c r="G438" t="s">
        <v>157</v>
      </c>
    </row>
    <row r="439" spans="1:7" x14ac:dyDescent="0.25">
      <c r="A439" s="2" t="s">
        <v>28</v>
      </c>
      <c r="B439" s="7">
        <v>12</v>
      </c>
      <c r="C439" s="7"/>
      <c r="D439" s="7"/>
      <c r="E439" s="2" t="e">
        <f t="shared" si="8"/>
        <v>#DIV/0!</v>
      </c>
      <c r="G439" t="s">
        <v>157</v>
      </c>
    </row>
    <row r="440" spans="1:7" x14ac:dyDescent="0.25">
      <c r="A440" s="2" t="s">
        <v>29</v>
      </c>
      <c r="B440" s="7">
        <v>28</v>
      </c>
      <c r="C440" s="7"/>
      <c r="D440" s="7"/>
      <c r="E440" s="2" t="e">
        <f t="shared" si="8"/>
        <v>#DIV/0!</v>
      </c>
      <c r="G440" t="s">
        <v>157</v>
      </c>
    </row>
    <row r="441" spans="1:7" x14ac:dyDescent="0.25">
      <c r="A441" s="2" t="s">
        <v>30</v>
      </c>
      <c r="B441" s="7">
        <v>13</v>
      </c>
      <c r="C441" s="7"/>
      <c r="D441" s="7"/>
      <c r="E441" s="2" t="e">
        <f t="shared" si="8"/>
        <v>#DIV/0!</v>
      </c>
      <c r="G441" t="s">
        <v>157</v>
      </c>
    </row>
    <row r="442" spans="1:7" x14ac:dyDescent="0.25">
      <c r="A442" s="2" t="s">
        <v>31</v>
      </c>
      <c r="B442" s="7">
        <v>29</v>
      </c>
      <c r="C442" s="7"/>
      <c r="D442" s="7"/>
      <c r="E442" s="2" t="e">
        <f t="shared" si="8"/>
        <v>#DIV/0!</v>
      </c>
      <c r="G442" t="s">
        <v>157</v>
      </c>
    </row>
    <row r="443" spans="1:7" x14ac:dyDescent="0.25">
      <c r="A443" s="2" t="s">
        <v>32</v>
      </c>
      <c r="B443" s="7">
        <v>14</v>
      </c>
      <c r="C443" s="7"/>
      <c r="D443" s="7"/>
      <c r="E443" s="2" t="e">
        <f t="shared" si="8"/>
        <v>#DIV/0!</v>
      </c>
      <c r="F443" s="7"/>
      <c r="G443" t="s">
        <v>157</v>
      </c>
    </row>
    <row r="444" spans="1:7" x14ac:dyDescent="0.25">
      <c r="A444" s="2" t="s">
        <v>33</v>
      </c>
      <c r="B444" s="7">
        <v>30</v>
      </c>
      <c r="C444" s="7"/>
      <c r="D444" s="7"/>
      <c r="E444" s="2" t="e">
        <f t="shared" si="8"/>
        <v>#DIV/0!</v>
      </c>
      <c r="G444" t="s">
        <v>157</v>
      </c>
    </row>
    <row r="445" spans="1:7" x14ac:dyDescent="0.25">
      <c r="A445" s="2" t="s">
        <v>34</v>
      </c>
      <c r="B445" s="7">
        <v>15</v>
      </c>
      <c r="C445" s="7"/>
      <c r="D445" s="7"/>
      <c r="E445" s="2" t="e">
        <f t="shared" si="8"/>
        <v>#DIV/0!</v>
      </c>
      <c r="F445" s="7"/>
      <c r="G445" t="s">
        <v>157</v>
      </c>
    </row>
    <row r="446" spans="1:7" x14ac:dyDescent="0.25">
      <c r="A446" s="3" t="s">
        <v>35</v>
      </c>
      <c r="B446" s="8">
        <v>31</v>
      </c>
      <c r="C446" s="8"/>
      <c r="D446" s="8"/>
      <c r="E446" s="2" t="e">
        <f t="shared" si="8"/>
        <v>#DIV/0!</v>
      </c>
      <c r="G446" t="s">
        <v>157</v>
      </c>
    </row>
    <row r="447" spans="1:7" x14ac:dyDescent="0.25">
      <c r="A447" s="2" t="s">
        <v>36</v>
      </c>
      <c r="B447" s="2">
        <v>32</v>
      </c>
      <c r="C447" s="7"/>
      <c r="D447" s="7"/>
      <c r="E447" s="2" t="e">
        <f t="shared" si="8"/>
        <v>#DIV/0!</v>
      </c>
      <c r="G447" t="s">
        <v>157</v>
      </c>
    </row>
    <row r="448" spans="1:7" x14ac:dyDescent="0.25">
      <c r="A448" s="2" t="s">
        <v>37</v>
      </c>
      <c r="B448" s="2">
        <v>48</v>
      </c>
      <c r="C448" s="7"/>
      <c r="D448" s="7"/>
      <c r="E448" s="2" t="e">
        <f t="shared" si="8"/>
        <v>#DIV/0!</v>
      </c>
      <c r="F448" t="s">
        <v>156</v>
      </c>
      <c r="G448" t="s">
        <v>157</v>
      </c>
    </row>
    <row r="449" spans="1:7" x14ac:dyDescent="0.25">
      <c r="A449" s="2" t="s">
        <v>38</v>
      </c>
      <c r="B449" s="2">
        <v>33</v>
      </c>
      <c r="C449" s="7"/>
      <c r="D449" s="7"/>
      <c r="E449" s="2" t="e">
        <f t="shared" si="8"/>
        <v>#DIV/0!</v>
      </c>
      <c r="G449" t="s">
        <v>157</v>
      </c>
    </row>
    <row r="450" spans="1:7" x14ac:dyDescent="0.25">
      <c r="A450" s="2" t="s">
        <v>39</v>
      </c>
      <c r="B450" s="2">
        <v>49</v>
      </c>
      <c r="C450" s="7"/>
      <c r="D450" s="7"/>
      <c r="E450" s="2" t="e">
        <f t="shared" si="8"/>
        <v>#DIV/0!</v>
      </c>
      <c r="F450" t="s">
        <v>156</v>
      </c>
      <c r="G450" t="s">
        <v>157</v>
      </c>
    </row>
    <row r="451" spans="1:7" x14ac:dyDescent="0.25">
      <c r="A451" s="2" t="s">
        <v>40</v>
      </c>
      <c r="B451" s="2">
        <v>34</v>
      </c>
      <c r="C451" s="7"/>
      <c r="D451" s="7"/>
      <c r="E451" s="2" t="e">
        <f t="shared" si="8"/>
        <v>#DIV/0!</v>
      </c>
      <c r="G451" t="s">
        <v>157</v>
      </c>
    </row>
    <row r="452" spans="1:7" x14ac:dyDescent="0.25">
      <c r="A452" s="2" t="s">
        <v>41</v>
      </c>
      <c r="B452" s="2">
        <v>50</v>
      </c>
      <c r="C452" s="7"/>
      <c r="D452" s="7"/>
      <c r="E452" s="2" t="e">
        <f t="shared" si="8"/>
        <v>#DIV/0!</v>
      </c>
      <c r="F452" t="s">
        <v>156</v>
      </c>
      <c r="G452" t="s">
        <v>157</v>
      </c>
    </row>
    <row r="453" spans="1:7" x14ac:dyDescent="0.25">
      <c r="A453" s="2" t="s">
        <v>42</v>
      </c>
      <c r="B453" s="2">
        <v>35</v>
      </c>
      <c r="C453" s="7"/>
      <c r="D453" s="7"/>
      <c r="E453" s="2" t="e">
        <f t="shared" si="8"/>
        <v>#DIV/0!</v>
      </c>
      <c r="G453" t="s">
        <v>157</v>
      </c>
    </row>
    <row r="454" spans="1:7" x14ac:dyDescent="0.25">
      <c r="A454" s="2" t="s">
        <v>43</v>
      </c>
      <c r="B454" s="2">
        <v>51</v>
      </c>
      <c r="C454" s="7"/>
      <c r="D454" s="7"/>
      <c r="E454" s="2" t="e">
        <f t="shared" si="8"/>
        <v>#DIV/0!</v>
      </c>
      <c r="F454" t="s">
        <v>156</v>
      </c>
      <c r="G454" t="s">
        <v>157</v>
      </c>
    </row>
    <row r="455" spans="1:7" x14ac:dyDescent="0.25">
      <c r="A455" s="2" t="s">
        <v>44</v>
      </c>
      <c r="B455" s="2">
        <v>36</v>
      </c>
      <c r="C455" s="7"/>
      <c r="D455" s="7"/>
      <c r="E455" s="2" t="e">
        <f t="shared" si="8"/>
        <v>#DIV/0!</v>
      </c>
      <c r="G455" t="s">
        <v>157</v>
      </c>
    </row>
    <row r="456" spans="1:7" x14ac:dyDescent="0.25">
      <c r="A456" s="2" t="s">
        <v>45</v>
      </c>
      <c r="B456" s="2">
        <v>52</v>
      </c>
      <c r="C456" s="7"/>
      <c r="D456" s="7"/>
      <c r="E456" s="2" t="e">
        <f t="shared" si="8"/>
        <v>#DIV/0!</v>
      </c>
      <c r="F456" t="s">
        <v>156</v>
      </c>
      <c r="G456" t="s">
        <v>157</v>
      </c>
    </row>
    <row r="457" spans="1:7" x14ac:dyDescent="0.25">
      <c r="A457" s="2" t="s">
        <v>46</v>
      </c>
      <c r="B457" s="2">
        <v>37</v>
      </c>
      <c r="C457" s="7"/>
      <c r="D457" s="7"/>
      <c r="E457" s="2" t="e">
        <f t="shared" si="8"/>
        <v>#DIV/0!</v>
      </c>
      <c r="G457" t="s">
        <v>157</v>
      </c>
    </row>
    <row r="458" spans="1:7" x14ac:dyDescent="0.25">
      <c r="A458" s="2" t="s">
        <v>47</v>
      </c>
      <c r="B458" s="2">
        <v>53</v>
      </c>
      <c r="C458" s="7"/>
      <c r="D458" s="7"/>
      <c r="E458" s="2" t="e">
        <f t="shared" si="8"/>
        <v>#DIV/0!</v>
      </c>
      <c r="F458" t="s">
        <v>156</v>
      </c>
      <c r="G458" t="s">
        <v>157</v>
      </c>
    </row>
    <row r="459" spans="1:7" x14ac:dyDescent="0.25">
      <c r="A459" s="2" t="s">
        <v>48</v>
      </c>
      <c r="B459" s="2">
        <v>38</v>
      </c>
      <c r="C459" s="7"/>
      <c r="D459" s="7"/>
      <c r="E459" s="2" t="e">
        <f t="shared" si="8"/>
        <v>#DIV/0!</v>
      </c>
      <c r="G459" t="s">
        <v>157</v>
      </c>
    </row>
    <row r="460" spans="1:7" x14ac:dyDescent="0.25">
      <c r="A460" s="2" t="s">
        <v>49</v>
      </c>
      <c r="B460" s="2">
        <v>54</v>
      </c>
      <c r="C460" s="7"/>
      <c r="D460" s="7"/>
      <c r="E460" s="2" t="e">
        <f t="shared" si="8"/>
        <v>#DIV/0!</v>
      </c>
      <c r="F460" t="s">
        <v>156</v>
      </c>
      <c r="G460" t="s">
        <v>157</v>
      </c>
    </row>
    <row r="461" spans="1:7" x14ac:dyDescent="0.25">
      <c r="A461" s="2" t="s">
        <v>50</v>
      </c>
      <c r="B461" s="2">
        <v>39</v>
      </c>
      <c r="C461" s="7"/>
      <c r="D461" s="7"/>
      <c r="E461" s="2" t="e">
        <f t="shared" si="8"/>
        <v>#DIV/0!</v>
      </c>
      <c r="G461" t="s">
        <v>157</v>
      </c>
    </row>
    <row r="462" spans="1:7" x14ac:dyDescent="0.25">
      <c r="A462" s="13" t="s">
        <v>51</v>
      </c>
      <c r="B462" s="3">
        <v>55</v>
      </c>
      <c r="C462" s="8"/>
      <c r="D462" s="8"/>
      <c r="E462" s="2" t="e">
        <f t="shared" si="8"/>
        <v>#DIV/0!</v>
      </c>
      <c r="F462" t="s">
        <v>156</v>
      </c>
      <c r="G462" t="s">
        <v>157</v>
      </c>
    </row>
    <row r="463" spans="1:7" x14ac:dyDescent="0.25">
      <c r="A463" s="2" t="s">
        <v>52</v>
      </c>
      <c r="B463" s="2">
        <v>40</v>
      </c>
      <c r="C463" s="7"/>
      <c r="D463" s="7"/>
      <c r="E463" s="2" t="e">
        <f t="shared" si="8"/>
        <v>#DIV/0!</v>
      </c>
      <c r="F463" t="s">
        <v>156</v>
      </c>
      <c r="G463" t="s">
        <v>157</v>
      </c>
    </row>
    <row r="464" spans="1:7" x14ac:dyDescent="0.25">
      <c r="A464" s="2" t="s">
        <v>53</v>
      </c>
      <c r="B464" s="2">
        <v>56</v>
      </c>
      <c r="C464" s="7"/>
      <c r="D464" s="7"/>
      <c r="E464" s="2" t="e">
        <f t="shared" si="8"/>
        <v>#DIV/0!</v>
      </c>
      <c r="G464" t="s">
        <v>157</v>
      </c>
    </row>
    <row r="465" spans="1:7" x14ac:dyDescent="0.25">
      <c r="A465" s="2" t="s">
        <v>54</v>
      </c>
      <c r="B465" s="2">
        <v>41</v>
      </c>
      <c r="C465" s="7"/>
      <c r="D465" s="7"/>
      <c r="E465" s="2" t="e">
        <f t="shared" si="8"/>
        <v>#DIV/0!</v>
      </c>
      <c r="F465" t="s">
        <v>156</v>
      </c>
      <c r="G465" t="s">
        <v>157</v>
      </c>
    </row>
    <row r="466" spans="1:7" x14ac:dyDescent="0.25">
      <c r="A466" s="2" t="s">
        <v>55</v>
      </c>
      <c r="B466" s="2">
        <v>57</v>
      </c>
      <c r="C466" s="7"/>
      <c r="D466" s="7"/>
      <c r="E466" s="2" t="e">
        <f t="shared" si="8"/>
        <v>#DIV/0!</v>
      </c>
      <c r="G466" t="s">
        <v>157</v>
      </c>
    </row>
    <row r="467" spans="1:7" x14ac:dyDescent="0.25">
      <c r="A467" s="2" t="s">
        <v>56</v>
      </c>
      <c r="B467" s="2">
        <v>42</v>
      </c>
      <c r="C467" s="7"/>
      <c r="D467" s="7"/>
      <c r="E467" s="2" t="e">
        <f t="shared" si="8"/>
        <v>#DIV/0!</v>
      </c>
      <c r="F467" t="s">
        <v>156</v>
      </c>
      <c r="G467" t="s">
        <v>157</v>
      </c>
    </row>
    <row r="468" spans="1:7" x14ac:dyDescent="0.25">
      <c r="A468" s="2" t="s">
        <v>57</v>
      </c>
      <c r="B468" s="2">
        <v>58</v>
      </c>
      <c r="C468" s="7"/>
      <c r="D468" s="7"/>
      <c r="E468" s="2" t="e">
        <f t="shared" si="8"/>
        <v>#DIV/0!</v>
      </c>
      <c r="G468" t="s">
        <v>157</v>
      </c>
    </row>
    <row r="469" spans="1:7" x14ac:dyDescent="0.25">
      <c r="A469" s="2" t="s">
        <v>58</v>
      </c>
      <c r="B469" s="2">
        <v>43</v>
      </c>
      <c r="C469" s="7"/>
      <c r="D469" s="7"/>
      <c r="E469" s="2" t="e">
        <f t="shared" si="8"/>
        <v>#DIV/0!</v>
      </c>
      <c r="F469" t="s">
        <v>156</v>
      </c>
      <c r="G469" t="s">
        <v>158</v>
      </c>
    </row>
    <row r="470" spans="1:7" x14ac:dyDescent="0.25">
      <c r="A470" s="2" t="s">
        <v>59</v>
      </c>
      <c r="B470" s="2">
        <v>59</v>
      </c>
      <c r="C470" s="7"/>
      <c r="D470" s="7"/>
      <c r="E470" s="2" t="e">
        <f t="shared" si="8"/>
        <v>#DIV/0!</v>
      </c>
      <c r="G470" t="s">
        <v>158</v>
      </c>
    </row>
    <row r="471" spans="1:7" x14ac:dyDescent="0.25">
      <c r="A471" s="2" t="s">
        <v>60</v>
      </c>
      <c r="B471" s="2">
        <v>44</v>
      </c>
      <c r="C471" s="7"/>
      <c r="D471" s="7"/>
      <c r="E471" s="2" t="e">
        <f t="shared" si="8"/>
        <v>#DIV/0!</v>
      </c>
      <c r="F471" t="s">
        <v>156</v>
      </c>
      <c r="G471" t="s">
        <v>157</v>
      </c>
    </row>
    <row r="472" spans="1:7" x14ac:dyDescent="0.25">
      <c r="A472" s="2" t="s">
        <v>61</v>
      </c>
      <c r="B472" s="2">
        <v>60</v>
      </c>
      <c r="C472" s="7"/>
      <c r="D472" s="7"/>
      <c r="E472" s="2" t="e">
        <f t="shared" si="8"/>
        <v>#DIV/0!</v>
      </c>
      <c r="G472" t="s">
        <v>157</v>
      </c>
    </row>
    <row r="473" spans="1:7" x14ac:dyDescent="0.25">
      <c r="A473" s="2" t="s">
        <v>62</v>
      </c>
      <c r="B473" s="2">
        <v>45</v>
      </c>
      <c r="C473" s="7"/>
      <c r="D473" s="7"/>
      <c r="E473" s="2" t="e">
        <f t="shared" si="8"/>
        <v>#DIV/0!</v>
      </c>
      <c r="F473" t="s">
        <v>156</v>
      </c>
      <c r="G473" t="s">
        <v>157</v>
      </c>
    </row>
    <row r="474" spans="1:7" x14ac:dyDescent="0.25">
      <c r="A474" s="2" t="s">
        <v>63</v>
      </c>
      <c r="B474" s="2">
        <v>61</v>
      </c>
      <c r="C474" s="7"/>
      <c r="D474" s="7"/>
      <c r="E474" s="2" t="e">
        <f t="shared" si="8"/>
        <v>#DIV/0!</v>
      </c>
      <c r="G474" t="s">
        <v>157</v>
      </c>
    </row>
    <row r="475" spans="1:7" x14ac:dyDescent="0.25">
      <c r="A475" s="2" t="s">
        <v>64</v>
      </c>
      <c r="B475" s="2">
        <v>46</v>
      </c>
      <c r="C475" s="7"/>
      <c r="D475" s="7"/>
      <c r="E475" s="2" t="e">
        <f t="shared" si="8"/>
        <v>#DIV/0!</v>
      </c>
      <c r="F475" t="s">
        <v>156</v>
      </c>
      <c r="G475" t="s">
        <v>157</v>
      </c>
    </row>
    <row r="476" spans="1:7" x14ac:dyDescent="0.25">
      <c r="A476" s="2" t="s">
        <v>65</v>
      </c>
      <c r="B476" s="2">
        <v>62</v>
      </c>
      <c r="C476" s="7"/>
      <c r="D476" s="7"/>
      <c r="E476" s="2" t="e">
        <f t="shared" si="8"/>
        <v>#DIV/0!</v>
      </c>
      <c r="G476" t="s">
        <v>157</v>
      </c>
    </row>
    <row r="477" spans="1:7" x14ac:dyDescent="0.25">
      <c r="A477" s="2" t="s">
        <v>66</v>
      </c>
      <c r="B477" s="2">
        <v>47</v>
      </c>
      <c r="C477" s="7"/>
      <c r="D477" s="7"/>
      <c r="E477" s="2" t="e">
        <f t="shared" si="8"/>
        <v>#DIV/0!</v>
      </c>
      <c r="F477" t="s">
        <v>156</v>
      </c>
      <c r="G477" t="s">
        <v>157</v>
      </c>
    </row>
    <row r="478" spans="1:7" x14ac:dyDescent="0.25">
      <c r="A478" s="3" t="s">
        <v>67</v>
      </c>
      <c r="B478" s="3">
        <v>63</v>
      </c>
      <c r="C478" s="8"/>
      <c r="D478" s="8"/>
      <c r="E478" s="2" t="e">
        <f>$C$7/C478</f>
        <v>#DIV/0!</v>
      </c>
      <c r="G478" t="s">
        <v>157</v>
      </c>
    </row>
    <row r="479" spans="1:7" x14ac:dyDescent="0.25">
      <c r="A479" s="6" t="s">
        <v>154</v>
      </c>
    </row>
    <row r="480" spans="1:7" x14ac:dyDescent="0.25">
      <c r="A480" s="6"/>
    </row>
    <row r="481" spans="1:1" x14ac:dyDescent="0.25">
      <c r="A481" s="6"/>
    </row>
    <row r="482" spans="1:1" x14ac:dyDescent="0.25">
      <c r="A482" s="15"/>
    </row>
    <row r="483" spans="1:1" x14ac:dyDescent="0.25">
      <c r="A483" s="1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magnex</dc:creator>
  <cp:lastModifiedBy>magnex</cp:lastModifiedBy>
  <dcterms:created xsi:type="dcterms:W3CDTF">2022-07-19T08:29:15Z</dcterms:created>
  <dcterms:modified xsi:type="dcterms:W3CDTF">2022-07-28T13:08:59Z</dcterms:modified>
</cp:coreProperties>
</file>