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pe\Desktop\LaTex\Report_THGEM\"/>
    </mc:Choice>
  </mc:AlternateContent>
  <xr:revisionPtr revIDLastSave="0" documentId="13_ncr:1_{CF779330-599F-463A-8214-2FC4884C3A10}" xr6:coauthVersionLast="47" xr6:coauthVersionMax="47" xr10:uidLastSave="{00000000-0000-0000-0000-000000000000}"/>
  <bookViews>
    <workbookView xWindow="-108" yWindow="-108" windowWidth="23256" windowHeight="12576" activeTab="4" xr2:uid="{ACFC7C87-C28D-4487-B063-88156E979354}"/>
  </bookViews>
  <sheets>
    <sheet name="Foglio1" sheetId="1" r:id="rId1"/>
    <sheet name="Foglio2" sheetId="2" r:id="rId2"/>
    <sheet name="2° test con fascio" sheetId="3" r:id="rId3"/>
    <sheet name="Rate sorgente" sheetId="5" r:id="rId4"/>
    <sheet name="Calcolo gain" sheetId="4" r:id="rId5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4" l="1"/>
  <c r="G2" i="5"/>
  <c r="F2" i="5"/>
  <c r="E2" i="5"/>
  <c r="D2" i="5"/>
  <c r="B2" i="5"/>
  <c r="D14" i="4"/>
  <c r="B14" i="4"/>
  <c r="B13" i="4"/>
  <c r="J3" i="3"/>
  <c r="J4" i="3"/>
  <c r="J5" i="3"/>
  <c r="J6" i="3"/>
  <c r="J7" i="3"/>
  <c r="J8" i="3"/>
  <c r="J9" i="3"/>
  <c r="J10" i="3"/>
  <c r="J2" i="3"/>
  <c r="F3" i="3"/>
  <c r="F4" i="3"/>
  <c r="F5" i="3"/>
  <c r="F6" i="3"/>
  <c r="F7" i="3"/>
  <c r="F8" i="3"/>
  <c r="F9" i="3"/>
  <c r="F10" i="3"/>
  <c r="F2" i="3"/>
  <c r="D2" i="3"/>
  <c r="C14" i="3"/>
  <c r="D14" i="3"/>
  <c r="E14" i="3"/>
  <c r="E2" i="3"/>
  <c r="B14" i="3"/>
  <c r="H2" i="3"/>
  <c r="A21" i="3"/>
  <c r="C21" i="3"/>
  <c r="B25" i="3"/>
  <c r="C25" i="3"/>
  <c r="D13" i="4"/>
  <c r="A9" i="4"/>
  <c r="B9" i="4"/>
  <c r="F9" i="4"/>
  <c r="D3" i="3"/>
  <c r="E3" i="3"/>
  <c r="H3" i="3"/>
  <c r="I3" i="3"/>
  <c r="D4" i="3"/>
  <c r="E4" i="3"/>
  <c r="H4" i="3"/>
  <c r="I4" i="3"/>
  <c r="D5" i="3"/>
  <c r="E5" i="3"/>
  <c r="H5" i="3"/>
  <c r="I5" i="3"/>
  <c r="D6" i="3"/>
  <c r="E6" i="3"/>
  <c r="H6" i="3"/>
  <c r="I6" i="3"/>
  <c r="D7" i="3"/>
  <c r="E7" i="3"/>
  <c r="H7" i="3"/>
  <c r="I7" i="3"/>
  <c r="D8" i="3"/>
  <c r="E8" i="3"/>
  <c r="H8" i="3"/>
  <c r="I8" i="3"/>
  <c r="D9" i="3"/>
  <c r="E9" i="3"/>
  <c r="H9" i="3"/>
  <c r="I9" i="3"/>
  <c r="D10" i="3"/>
  <c r="E10" i="3"/>
  <c r="H10" i="3"/>
  <c r="I10" i="3"/>
  <c r="I2" i="3"/>
</calcChain>
</file>

<file path=xl/sharedStrings.xml><?xml version="1.0" encoding="utf-8"?>
<sst xmlns="http://schemas.openxmlformats.org/spreadsheetml/2006/main" count="247" uniqueCount="132">
  <si>
    <t>DATA</t>
  </si>
  <si>
    <t>N° RUN</t>
  </si>
  <si>
    <t>THGEM</t>
  </si>
  <si>
    <t>ID</t>
  </si>
  <si>
    <t>P (mbar)</t>
  </si>
  <si>
    <t>Scan on</t>
  </si>
  <si>
    <t>from</t>
  </si>
  <si>
    <t>to</t>
  </si>
  <si>
    <t>Other voltages</t>
  </si>
  <si>
    <r>
      <t xml:space="preserve">5 </t>
    </r>
    <r>
      <rPr>
        <sz val="14"/>
        <color theme="1"/>
        <rFont val="Calibri"/>
        <family val="2"/>
      </rPr>
      <t>÷ 28</t>
    </r>
  </si>
  <si>
    <t>FULL</t>
  </si>
  <si>
    <t>Vind</t>
  </si>
  <si>
    <t>VTG=220       Vdrift=1000</t>
  </si>
  <si>
    <t>VTG</t>
  </si>
  <si>
    <r>
      <t xml:space="preserve">29 </t>
    </r>
    <r>
      <rPr>
        <sz val="14"/>
        <color theme="1"/>
        <rFont val="Calibri"/>
        <family val="2"/>
      </rPr>
      <t>÷ 39</t>
    </r>
  </si>
  <si>
    <r>
      <t xml:space="preserve">40 </t>
    </r>
    <r>
      <rPr>
        <sz val="14"/>
        <color theme="1"/>
        <rFont val="Calibri"/>
        <family val="2"/>
      </rPr>
      <t>÷ 60</t>
    </r>
  </si>
  <si>
    <t>Vdrift</t>
  </si>
  <si>
    <t>Vind=120        Vdrift=1000</t>
  </si>
  <si>
    <t>Vind=120        VTG=220</t>
  </si>
  <si>
    <r>
      <t xml:space="preserve">61 </t>
    </r>
    <r>
      <rPr>
        <sz val="14"/>
        <color theme="1"/>
        <rFont val="Calibri"/>
        <family val="2"/>
      </rPr>
      <t>÷ 75</t>
    </r>
  </si>
  <si>
    <t>VTG=230       Vdrift=1000</t>
  </si>
  <si>
    <t>VTG=200       Vdrift=1000</t>
  </si>
  <si>
    <r>
      <t xml:space="preserve">76 </t>
    </r>
    <r>
      <rPr>
        <sz val="14"/>
        <color theme="1"/>
        <rFont val="Calibri"/>
        <family val="2"/>
      </rPr>
      <t>÷ 89</t>
    </r>
  </si>
  <si>
    <r>
      <t xml:space="preserve">90 </t>
    </r>
    <r>
      <rPr>
        <sz val="14"/>
        <color theme="1"/>
        <rFont val="Calibri"/>
        <family val="2"/>
      </rPr>
      <t>÷ 111</t>
    </r>
  </si>
  <si>
    <r>
      <t xml:space="preserve">112 </t>
    </r>
    <r>
      <rPr>
        <sz val="14"/>
        <color theme="1"/>
        <rFont val="Calibri"/>
        <family val="2"/>
      </rPr>
      <t>÷ 123</t>
    </r>
  </si>
  <si>
    <t>Vind=100        Vdrift=1000</t>
  </si>
  <si>
    <r>
      <t xml:space="preserve">124 </t>
    </r>
    <r>
      <rPr>
        <sz val="14"/>
        <color theme="1"/>
        <rFont val="Calibri"/>
        <family val="2"/>
      </rPr>
      <t>÷ 138</t>
    </r>
  </si>
  <si>
    <t>Vind=100        VTG=205</t>
  </si>
  <si>
    <r>
      <t xml:space="preserve">139 </t>
    </r>
    <r>
      <rPr>
        <sz val="14"/>
        <color theme="1"/>
        <rFont val="Calibri"/>
        <family val="2"/>
      </rPr>
      <t>÷ 145</t>
    </r>
  </si>
  <si>
    <t>VTG=180       Vdrift=800</t>
  </si>
  <si>
    <r>
      <t xml:space="preserve">146 </t>
    </r>
    <r>
      <rPr>
        <sz val="14"/>
        <color theme="1"/>
        <rFont val="Calibri"/>
        <family val="2"/>
      </rPr>
      <t>÷ 152</t>
    </r>
  </si>
  <si>
    <t>VTG=170       Vdrift=800</t>
  </si>
  <si>
    <r>
      <t xml:space="preserve">153 </t>
    </r>
    <r>
      <rPr>
        <sz val="14"/>
        <color theme="1"/>
        <rFont val="Calibri"/>
        <family val="2"/>
      </rPr>
      <t>÷ 168</t>
    </r>
  </si>
  <si>
    <t>VTG=170       Vdrift=600</t>
  </si>
  <si>
    <r>
      <t xml:space="preserve">169 </t>
    </r>
    <r>
      <rPr>
        <sz val="14"/>
        <color theme="1"/>
        <rFont val="Calibri"/>
        <family val="2"/>
      </rPr>
      <t>÷ 183</t>
    </r>
  </si>
  <si>
    <t>Vind=70        Vdrift=600</t>
  </si>
  <si>
    <r>
      <t xml:space="preserve">184 </t>
    </r>
    <r>
      <rPr>
        <sz val="14"/>
        <color theme="1"/>
        <rFont val="Calibri"/>
        <family val="2"/>
      </rPr>
      <t>÷ 200</t>
    </r>
  </si>
  <si>
    <t>Vind=70        VTG=190</t>
  </si>
  <si>
    <r>
      <t xml:space="preserve">201 </t>
    </r>
    <r>
      <rPr>
        <sz val="14"/>
        <color theme="1"/>
        <rFont val="Calibri"/>
        <family val="2"/>
      </rPr>
      <t>÷ 206</t>
    </r>
  </si>
  <si>
    <t>Vind=70        VTG=170</t>
  </si>
  <si>
    <r>
      <t xml:space="preserve">207 </t>
    </r>
    <r>
      <rPr>
        <sz val="14"/>
        <color theme="1"/>
        <rFont val="Calibri"/>
        <family val="2"/>
      </rPr>
      <t>÷ 218</t>
    </r>
  </si>
  <si>
    <t>ROW</t>
  </si>
  <si>
    <t>R1</t>
  </si>
  <si>
    <t>VTG=220       Vdrift=800</t>
  </si>
  <si>
    <r>
      <t xml:space="preserve">220 </t>
    </r>
    <r>
      <rPr>
        <sz val="14"/>
        <color theme="1"/>
        <rFont val="Calibri"/>
        <family val="2"/>
      </rPr>
      <t>÷ 226</t>
    </r>
  </si>
  <si>
    <t>Vind, VTG, Vdrift</t>
  </si>
  <si>
    <r>
      <t xml:space="preserve">227 </t>
    </r>
    <r>
      <rPr>
        <sz val="14"/>
        <color theme="1"/>
        <rFont val="Calibri"/>
        <family val="2"/>
      </rPr>
      <t>÷ 232</t>
    </r>
  </si>
  <si>
    <t>Vind=50        Vdrift=800</t>
  </si>
  <si>
    <r>
      <t xml:space="preserve">233 </t>
    </r>
    <r>
      <rPr>
        <sz val="14"/>
        <color theme="1"/>
        <rFont val="Calibri"/>
        <family val="2"/>
      </rPr>
      <t>÷ 244</t>
    </r>
  </si>
  <si>
    <t>VTG=240       Vdrift=800</t>
  </si>
  <si>
    <r>
      <t xml:space="preserve">245 </t>
    </r>
    <r>
      <rPr>
        <sz val="14"/>
        <color theme="1"/>
        <rFont val="Calibri"/>
        <family val="2"/>
      </rPr>
      <t>÷ 259</t>
    </r>
  </si>
  <si>
    <t>Vind=70        VTG=240</t>
  </si>
  <si>
    <r>
      <t xml:space="preserve">260 </t>
    </r>
    <r>
      <rPr>
        <sz val="14"/>
        <color theme="1"/>
        <rFont val="Calibri"/>
        <family val="2"/>
      </rPr>
      <t>÷ 267</t>
    </r>
  </si>
  <si>
    <t>Vind=70        Vdrift=800</t>
  </si>
  <si>
    <r>
      <t xml:space="preserve">268 </t>
    </r>
    <r>
      <rPr>
        <sz val="14"/>
        <color theme="1"/>
        <rFont val="Calibri"/>
        <family val="2"/>
      </rPr>
      <t>÷ 282</t>
    </r>
  </si>
  <si>
    <t>Vind=70        VTG=230</t>
  </si>
  <si>
    <r>
      <t xml:space="preserve">283 </t>
    </r>
    <r>
      <rPr>
        <sz val="14"/>
        <color theme="1"/>
        <rFont val="Calibri"/>
        <family val="2"/>
      </rPr>
      <t>÷ 299</t>
    </r>
  </si>
  <si>
    <t>VTG=260       Vdrift=700</t>
  </si>
  <si>
    <r>
      <t xml:space="preserve">300 </t>
    </r>
    <r>
      <rPr>
        <sz val="14"/>
        <color theme="1"/>
        <rFont val="Calibri"/>
        <family val="2"/>
      </rPr>
      <t>÷ 308</t>
    </r>
  </si>
  <si>
    <t>Vind=80        Vdrift=700</t>
  </si>
  <si>
    <r>
      <t xml:space="preserve">309 </t>
    </r>
    <r>
      <rPr>
        <sz val="14"/>
        <color theme="1"/>
        <rFont val="Calibri"/>
        <family val="2"/>
      </rPr>
      <t>÷ 322</t>
    </r>
  </si>
  <si>
    <r>
      <t xml:space="preserve">323 </t>
    </r>
    <r>
      <rPr>
        <sz val="14"/>
        <color theme="1"/>
        <rFont val="Calibri"/>
        <family val="2"/>
      </rPr>
      <t>÷ 341</t>
    </r>
  </si>
  <si>
    <r>
      <t xml:space="preserve">342 </t>
    </r>
    <r>
      <rPr>
        <sz val="14"/>
        <color theme="1"/>
        <rFont val="Calibri"/>
        <family val="2"/>
      </rPr>
      <t>÷ 352</t>
    </r>
  </si>
  <si>
    <t>Vind=70        Vdrift=400</t>
  </si>
  <si>
    <t>Vind=80        Vdrift=300</t>
  </si>
  <si>
    <t>Vind=50        Vdrift=200</t>
  </si>
  <si>
    <t>FULL THGEM</t>
  </si>
  <si>
    <t>Vind (V)</t>
  </si>
  <si>
    <t>VTG (V)</t>
  </si>
  <si>
    <t>Vdrift (V)</t>
  </si>
  <si>
    <t xml:space="preserve">Vind </t>
  </si>
  <si>
    <t>-</t>
  </si>
  <si>
    <t>ROW THGEM</t>
  </si>
  <si>
    <t>Note</t>
  </si>
  <si>
    <r>
      <t>Scan breve (0</t>
    </r>
    <r>
      <rPr>
        <sz val="10"/>
        <color theme="1"/>
        <rFont val="Calibri"/>
        <family val="2"/>
      </rPr>
      <t>÷60V</t>
    </r>
    <r>
      <rPr>
        <sz val="10"/>
        <color theme="1"/>
        <rFont val="Calibri"/>
        <family val="2"/>
        <scheme val="minor"/>
      </rPr>
      <t>) per scariche su catodo</t>
    </r>
  </si>
  <si>
    <r>
      <t xml:space="preserve">354 </t>
    </r>
    <r>
      <rPr>
        <sz val="14"/>
        <color theme="1"/>
        <rFont val="Calibri"/>
        <family val="2"/>
      </rPr>
      <t>÷ 363</t>
    </r>
  </si>
  <si>
    <r>
      <t xml:space="preserve">364 </t>
    </r>
    <r>
      <rPr>
        <sz val="14"/>
        <color theme="1"/>
        <rFont val="Calibri"/>
        <family val="2"/>
      </rPr>
      <t>÷ 378</t>
    </r>
  </si>
  <si>
    <r>
      <t xml:space="preserve">379 </t>
    </r>
    <r>
      <rPr>
        <sz val="14"/>
        <color theme="1"/>
        <rFont val="Calibri"/>
        <family val="2"/>
      </rPr>
      <t>÷ 396</t>
    </r>
  </si>
  <si>
    <t>VTG=210     Vdrift=800</t>
  </si>
  <si>
    <t>Vind=80        VTG=210</t>
  </si>
  <si>
    <t>Vind=50        VTG=180</t>
  </si>
  <si>
    <t>Scan fatto dopo il test col fascio</t>
  </si>
  <si>
    <r>
      <t xml:space="preserve">430 </t>
    </r>
    <r>
      <rPr>
        <sz val="14"/>
        <color theme="1"/>
        <rFont val="Calibri"/>
        <family val="2"/>
      </rPr>
      <t>÷ 439</t>
    </r>
  </si>
  <si>
    <t>Vind=50        Vdrift=400</t>
  </si>
  <si>
    <r>
      <t xml:space="preserve">440 </t>
    </r>
    <r>
      <rPr>
        <sz val="14"/>
        <color theme="1"/>
        <rFont val="Calibri"/>
        <family val="2"/>
      </rPr>
      <t>÷ 444</t>
    </r>
  </si>
  <si>
    <t>Vind=50        VTG=160</t>
  </si>
  <si>
    <t>G = gain</t>
  </si>
  <si>
    <t>Ian = corrente anodo</t>
  </si>
  <si>
    <t>Iprim = corrente part primarie</t>
  </si>
  <si>
    <t>ne = num elettr</t>
  </si>
  <si>
    <t>R = rate</t>
  </si>
  <si>
    <t>c = fatt convers elettr-Coulomb</t>
  </si>
  <si>
    <t>G = Ian/Iprim = Ian/(ne*R*c)</t>
  </si>
  <si>
    <t>Iprim = ne*R*c</t>
  </si>
  <si>
    <t>MXFC1 (pA)</t>
  </si>
  <si>
    <t>TeBeFC (pA)</t>
  </si>
  <si>
    <t>I_est (pA)</t>
  </si>
  <si>
    <t>Target thick. (mg/cm2)</t>
  </si>
  <si>
    <t>Rate_phdiode (pps)</t>
  </si>
  <si>
    <t>NR</t>
  </si>
  <si>
    <t>Target thick. (atoms/cm2)</t>
  </si>
  <si>
    <t>M_at Au197 (amu)</t>
  </si>
  <si>
    <t>M_at Au197 (g)</t>
  </si>
  <si>
    <t>Flux (ppA)</t>
  </si>
  <si>
    <t>Carica elettr. (C)</t>
  </si>
  <si>
    <t>Elettr. in 1 C</t>
  </si>
  <si>
    <t>Elettr. in 1 pC</t>
  </si>
  <si>
    <t>dist target-rivel (cm)</t>
  </si>
  <si>
    <t>Area (cm2)</t>
  </si>
  <si>
    <t>Omega</t>
  </si>
  <si>
    <t>Rate = Flux*Target thick*Ruth diff cross section*Omega</t>
  </si>
  <si>
    <t>Ruth diff cross section a 30° nel LAB (mb/sr) LISE</t>
  </si>
  <si>
    <t>Ruth diff cross section a 30° nel LAB (cm2/sr) LISE</t>
  </si>
  <si>
    <t>c = Elettr. in 1 C</t>
  </si>
  <si>
    <t>Perdita energia ( MeV)</t>
  </si>
  <si>
    <t>Energia ionizz isobutano (eV)</t>
  </si>
  <si>
    <t>ne</t>
  </si>
  <si>
    <t>G</t>
  </si>
  <si>
    <t>Ian (nA)</t>
  </si>
  <si>
    <t>R (pps)</t>
  </si>
  <si>
    <t>Ian (pps)</t>
  </si>
  <si>
    <t>Rate_calc TeBeFC (pps)</t>
  </si>
  <si>
    <t>Rate_calc MXFC1 (pps)</t>
  </si>
  <si>
    <t>Flux MXFC1 (pps)</t>
  </si>
  <si>
    <t>Flux TeBeFC (pps)</t>
  </si>
  <si>
    <t>Attività sorgente (kBq)</t>
  </si>
  <si>
    <t>Distanza sorg-diaframma (mm)</t>
  </si>
  <si>
    <t>Raggio diaframma (mm)</t>
  </si>
  <si>
    <t>Attività sorg (decad/s)</t>
  </si>
  <si>
    <t>Semi-apertura cono (rad)</t>
  </si>
  <si>
    <t>Omega cono (sr)</t>
  </si>
  <si>
    <t>Rate (pps)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</si>
</sst>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6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4" borderId="4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1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9" fillId="0" borderId="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7521-6C72-4CB0-A78B-1EAFA58AC3F8}">
  <dimension ref="A1:BI55"/>
  <sheetViews>
    <sheetView workbookViewId="0">
      <selection activeCell="A16" sqref="A16"/>
    </sheetView>
  </sheetViews>
  <sheetFormatPr defaultRowHeight="14.4" x14ac:dyDescent="0.3"/>
  <cols>
    <col min="1" max="1" width="14.109375" style="4" customWidth="1"/>
    <col min="2" max="2" width="17.44140625" style="6" customWidth="1"/>
    <col min="3" max="3" width="13" customWidth="1"/>
    <col min="4" max="4" width="10.6640625" customWidth="1"/>
    <col min="5" max="5" width="15.109375" customWidth="1"/>
    <col min="6" max="6" width="21.21875" customWidth="1"/>
    <col min="7" max="7" width="12.6640625" customWidth="1"/>
    <col min="8" max="8" width="12.77734375" customWidth="1"/>
    <col min="9" max="9" width="33.88671875" customWidth="1"/>
    <col min="10" max="11" width="12" customWidth="1"/>
    <col min="12" max="12" width="13.33203125" customWidth="1"/>
  </cols>
  <sheetData>
    <row r="1" spans="1:61" ht="19.2" thickTop="1" thickBot="1" x14ac:dyDescent="0.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600000000000001" thickTop="1" x14ac:dyDescent="0.35">
      <c r="A2" s="10">
        <v>43802</v>
      </c>
      <c r="B2" s="12" t="s">
        <v>9</v>
      </c>
      <c r="C2" s="13" t="s">
        <v>10</v>
      </c>
      <c r="D2" s="13">
        <v>10</v>
      </c>
      <c r="E2" s="13">
        <v>30.2</v>
      </c>
      <c r="F2" s="19" t="s">
        <v>11</v>
      </c>
      <c r="G2" s="13">
        <v>0</v>
      </c>
      <c r="H2" s="13">
        <v>220</v>
      </c>
      <c r="I2" s="11" t="s">
        <v>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" x14ac:dyDescent="0.35">
      <c r="A3" s="14">
        <v>43803</v>
      </c>
      <c r="B3" s="12" t="s">
        <v>14</v>
      </c>
      <c r="C3" s="13" t="s">
        <v>10</v>
      </c>
      <c r="D3" s="13">
        <v>10</v>
      </c>
      <c r="E3" s="13">
        <v>30.4</v>
      </c>
      <c r="F3" s="20" t="s">
        <v>13</v>
      </c>
      <c r="G3" s="13">
        <v>180</v>
      </c>
      <c r="H3" s="13">
        <v>235</v>
      </c>
      <c r="I3" s="13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18" x14ac:dyDescent="0.35">
      <c r="A4" s="14">
        <v>43803</v>
      </c>
      <c r="B4" s="12" t="s">
        <v>15</v>
      </c>
      <c r="C4" s="13" t="s">
        <v>10</v>
      </c>
      <c r="D4" s="13">
        <v>10</v>
      </c>
      <c r="E4" s="13">
        <v>30.4</v>
      </c>
      <c r="F4" s="21" t="s">
        <v>16</v>
      </c>
      <c r="G4" s="13">
        <v>0</v>
      </c>
      <c r="H4" s="13">
        <v>1500</v>
      </c>
      <c r="I4" s="13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8" x14ac:dyDescent="0.35">
      <c r="A5" s="14">
        <v>43803</v>
      </c>
      <c r="B5" s="12" t="s">
        <v>19</v>
      </c>
      <c r="C5" s="13" t="s">
        <v>10</v>
      </c>
      <c r="D5" s="13">
        <v>10</v>
      </c>
      <c r="E5" s="13">
        <v>30.4</v>
      </c>
      <c r="F5" s="19" t="s">
        <v>11</v>
      </c>
      <c r="G5" s="13">
        <v>0</v>
      </c>
      <c r="H5" s="13">
        <v>220</v>
      </c>
      <c r="I5" s="13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8" x14ac:dyDescent="0.35">
      <c r="A6" s="14">
        <v>43803</v>
      </c>
      <c r="B6" s="12" t="s">
        <v>22</v>
      </c>
      <c r="C6" s="13" t="s">
        <v>10</v>
      </c>
      <c r="D6" s="13">
        <v>10</v>
      </c>
      <c r="E6" s="13">
        <v>30.4</v>
      </c>
      <c r="F6" s="19" t="s">
        <v>11</v>
      </c>
      <c r="G6" s="13">
        <v>0</v>
      </c>
      <c r="H6" s="13">
        <v>220</v>
      </c>
      <c r="I6" s="13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8" x14ac:dyDescent="0.35">
      <c r="A7" s="14">
        <v>43804</v>
      </c>
      <c r="B7" s="12" t="s">
        <v>23</v>
      </c>
      <c r="C7" s="13" t="s">
        <v>10</v>
      </c>
      <c r="D7" s="13">
        <v>10</v>
      </c>
      <c r="E7" s="13">
        <v>20.5</v>
      </c>
      <c r="F7" s="19" t="s">
        <v>11</v>
      </c>
      <c r="G7" s="13">
        <v>0</v>
      </c>
      <c r="H7" s="13">
        <v>200</v>
      </c>
      <c r="I7" s="13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8" x14ac:dyDescent="0.35">
      <c r="A8" s="14">
        <v>43805</v>
      </c>
      <c r="B8" s="12" t="s">
        <v>24</v>
      </c>
      <c r="C8" s="13" t="s">
        <v>10</v>
      </c>
      <c r="D8" s="13">
        <v>10</v>
      </c>
      <c r="E8" s="13">
        <v>20.5</v>
      </c>
      <c r="F8" s="20" t="s">
        <v>13</v>
      </c>
      <c r="G8" s="13">
        <v>150</v>
      </c>
      <c r="H8" s="13">
        <v>215</v>
      </c>
      <c r="I8" s="13" t="s">
        <v>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8" x14ac:dyDescent="0.35">
      <c r="A9" s="14">
        <v>43805</v>
      </c>
      <c r="B9" s="12" t="s">
        <v>26</v>
      </c>
      <c r="C9" s="13" t="s">
        <v>10</v>
      </c>
      <c r="D9" s="13">
        <v>10</v>
      </c>
      <c r="E9" s="13">
        <v>20.5</v>
      </c>
      <c r="F9" s="21" t="s">
        <v>16</v>
      </c>
      <c r="G9" s="13">
        <v>100</v>
      </c>
      <c r="H9" s="13">
        <v>1200</v>
      </c>
      <c r="I9" s="13" t="s">
        <v>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8" x14ac:dyDescent="0.35">
      <c r="A10" s="14">
        <v>43808</v>
      </c>
      <c r="B10" s="12" t="s">
        <v>28</v>
      </c>
      <c r="C10" s="13" t="s">
        <v>10</v>
      </c>
      <c r="D10" s="13">
        <v>10</v>
      </c>
      <c r="E10" s="13">
        <v>11</v>
      </c>
      <c r="F10" s="19" t="s">
        <v>11</v>
      </c>
      <c r="G10" s="13">
        <v>0</v>
      </c>
      <c r="H10" s="13">
        <v>60</v>
      </c>
      <c r="I10" s="13" t="s">
        <v>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8" x14ac:dyDescent="0.35">
      <c r="A11" s="14">
        <v>43808</v>
      </c>
      <c r="B11" s="12" t="s">
        <v>30</v>
      </c>
      <c r="C11" s="13" t="s">
        <v>10</v>
      </c>
      <c r="D11" s="13">
        <v>10</v>
      </c>
      <c r="E11" s="13">
        <v>11</v>
      </c>
      <c r="F11" s="19" t="s">
        <v>11</v>
      </c>
      <c r="G11" s="13">
        <v>0</v>
      </c>
      <c r="H11" s="13">
        <v>60</v>
      </c>
      <c r="I11" s="13" t="s">
        <v>31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8" x14ac:dyDescent="0.35">
      <c r="A12" s="14">
        <v>43808</v>
      </c>
      <c r="B12" s="12" t="s">
        <v>32</v>
      </c>
      <c r="C12" s="13" t="s">
        <v>10</v>
      </c>
      <c r="D12" s="13">
        <v>10</v>
      </c>
      <c r="E12" s="13">
        <v>11</v>
      </c>
      <c r="F12" s="19" t="s">
        <v>11</v>
      </c>
      <c r="G12" s="13">
        <v>0</v>
      </c>
      <c r="H12" s="13">
        <v>150</v>
      </c>
      <c r="I12" s="13" t="s">
        <v>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8" x14ac:dyDescent="0.35">
      <c r="A13" s="14">
        <v>43808</v>
      </c>
      <c r="B13" s="12" t="s">
        <v>34</v>
      </c>
      <c r="C13" s="13" t="s">
        <v>10</v>
      </c>
      <c r="D13" s="13">
        <v>10</v>
      </c>
      <c r="E13" s="13">
        <v>11</v>
      </c>
      <c r="F13" s="20" t="s">
        <v>13</v>
      </c>
      <c r="G13" s="13">
        <v>130</v>
      </c>
      <c r="H13" s="13">
        <v>210</v>
      </c>
      <c r="I13" s="13" t="s">
        <v>35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8" x14ac:dyDescent="0.35">
      <c r="A14" s="14">
        <v>43808</v>
      </c>
      <c r="B14" s="12" t="s">
        <v>36</v>
      </c>
      <c r="C14" s="13" t="s">
        <v>10</v>
      </c>
      <c r="D14" s="13">
        <v>10</v>
      </c>
      <c r="E14" s="13">
        <v>11</v>
      </c>
      <c r="F14" s="21" t="s">
        <v>16</v>
      </c>
      <c r="G14" s="13">
        <v>0</v>
      </c>
      <c r="H14" s="13">
        <v>800</v>
      </c>
      <c r="I14" s="13" t="s">
        <v>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8" x14ac:dyDescent="0.35">
      <c r="A15" s="14">
        <v>43808</v>
      </c>
      <c r="B15" s="12" t="s">
        <v>38</v>
      </c>
      <c r="C15" s="13" t="s">
        <v>10</v>
      </c>
      <c r="D15" s="13">
        <v>10</v>
      </c>
      <c r="E15" s="13">
        <v>11</v>
      </c>
      <c r="F15" s="21" t="s">
        <v>16</v>
      </c>
      <c r="G15" s="13">
        <v>600</v>
      </c>
      <c r="H15" s="13">
        <v>850</v>
      </c>
      <c r="I15" s="13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8" x14ac:dyDescent="0.35">
      <c r="A16" s="3">
        <v>43881</v>
      </c>
      <c r="B16" s="12" t="s">
        <v>82</v>
      </c>
      <c r="C16" s="40" t="s">
        <v>10</v>
      </c>
      <c r="D16" s="40">
        <v>10</v>
      </c>
      <c r="E16" s="40">
        <v>9.3000000000000007</v>
      </c>
      <c r="F16" s="20" t="s">
        <v>13</v>
      </c>
      <c r="G16" s="40">
        <v>130</v>
      </c>
      <c r="H16" s="40">
        <v>210</v>
      </c>
      <c r="I16" s="13" t="s">
        <v>83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8.600000000000001" thickBot="1" x14ac:dyDescent="0.4">
      <c r="A17" s="3">
        <v>43881</v>
      </c>
      <c r="B17" s="12" t="s">
        <v>84</v>
      </c>
      <c r="C17" s="40" t="s">
        <v>10</v>
      </c>
      <c r="D17" s="40">
        <v>10</v>
      </c>
      <c r="E17" s="40">
        <v>9.3000000000000007</v>
      </c>
      <c r="F17" s="21" t="s">
        <v>16</v>
      </c>
      <c r="G17" s="40">
        <v>200</v>
      </c>
      <c r="H17" s="40">
        <v>600</v>
      </c>
      <c r="I17" s="13" t="s">
        <v>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8" x14ac:dyDescent="0.35">
      <c r="A18" s="22">
        <v>43810</v>
      </c>
      <c r="B18" s="23" t="s">
        <v>40</v>
      </c>
      <c r="C18" s="24" t="s">
        <v>41</v>
      </c>
      <c r="D18" s="24" t="s">
        <v>42</v>
      </c>
      <c r="E18" s="24">
        <v>20.6</v>
      </c>
      <c r="F18" s="25" t="s">
        <v>11</v>
      </c>
      <c r="G18" s="24">
        <v>0</v>
      </c>
      <c r="H18" s="24">
        <v>110</v>
      </c>
      <c r="I18" s="24" t="s">
        <v>43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8" x14ac:dyDescent="0.35">
      <c r="A19" s="14">
        <v>43810</v>
      </c>
      <c r="B19" s="12" t="s">
        <v>44</v>
      </c>
      <c r="C19" s="13" t="s">
        <v>41</v>
      </c>
      <c r="D19" s="13" t="s">
        <v>42</v>
      </c>
      <c r="E19" s="13">
        <v>20.6</v>
      </c>
      <c r="F19" s="13" t="s">
        <v>45</v>
      </c>
      <c r="G19" s="13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8" x14ac:dyDescent="0.35">
      <c r="A20" s="14">
        <v>43810</v>
      </c>
      <c r="B20" s="12" t="s">
        <v>46</v>
      </c>
      <c r="C20" s="13" t="s">
        <v>41</v>
      </c>
      <c r="D20" s="13" t="s">
        <v>42</v>
      </c>
      <c r="E20" s="13">
        <v>20.6</v>
      </c>
      <c r="F20" s="20" t="s">
        <v>13</v>
      </c>
      <c r="G20" s="13">
        <v>180</v>
      </c>
      <c r="H20" s="13">
        <v>225</v>
      </c>
      <c r="I20" s="13" t="s">
        <v>47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8" x14ac:dyDescent="0.35">
      <c r="A21" s="14">
        <v>43816</v>
      </c>
      <c r="B21" s="12" t="s">
        <v>48</v>
      </c>
      <c r="C21" s="13" t="s">
        <v>41</v>
      </c>
      <c r="D21" s="13" t="s">
        <v>42</v>
      </c>
      <c r="E21" s="13">
        <v>30</v>
      </c>
      <c r="F21" s="19" t="s">
        <v>11</v>
      </c>
      <c r="G21" s="13">
        <v>0</v>
      </c>
      <c r="H21" s="13">
        <v>110</v>
      </c>
      <c r="I21" s="13" t="s">
        <v>49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8" x14ac:dyDescent="0.35">
      <c r="A22" s="14">
        <v>43816</v>
      </c>
      <c r="B22" s="12" t="s">
        <v>50</v>
      </c>
      <c r="C22" s="13" t="s">
        <v>41</v>
      </c>
      <c r="D22" s="13" t="s">
        <v>42</v>
      </c>
      <c r="E22" s="13">
        <v>30</v>
      </c>
      <c r="F22" s="21" t="s">
        <v>16</v>
      </c>
      <c r="G22" s="13">
        <v>0</v>
      </c>
      <c r="H22" s="13">
        <v>1400</v>
      </c>
      <c r="I22" s="13" t="s">
        <v>51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8" x14ac:dyDescent="0.35">
      <c r="A23" s="14">
        <v>43817</v>
      </c>
      <c r="B23" s="12" t="s">
        <v>52</v>
      </c>
      <c r="C23" s="13" t="s">
        <v>41</v>
      </c>
      <c r="D23" s="13" t="s">
        <v>42</v>
      </c>
      <c r="E23" s="13">
        <v>30</v>
      </c>
      <c r="F23" s="20" t="s">
        <v>13</v>
      </c>
      <c r="G23" s="13">
        <v>180</v>
      </c>
      <c r="H23" s="13">
        <v>240</v>
      </c>
      <c r="I23" s="13" t="s">
        <v>53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8" x14ac:dyDescent="0.35">
      <c r="A24" s="14">
        <v>43817</v>
      </c>
      <c r="B24" s="12" t="s">
        <v>54</v>
      </c>
      <c r="C24" s="13" t="s">
        <v>41</v>
      </c>
      <c r="D24" s="13" t="s">
        <v>42</v>
      </c>
      <c r="E24" s="13">
        <v>30</v>
      </c>
      <c r="F24" s="21" t="s">
        <v>16</v>
      </c>
      <c r="G24" s="13">
        <v>0</v>
      </c>
      <c r="H24" s="13">
        <v>1400</v>
      </c>
      <c r="I24" s="13" t="s">
        <v>55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8" x14ac:dyDescent="0.35">
      <c r="A25" s="14">
        <v>43837</v>
      </c>
      <c r="B25" s="12" t="s">
        <v>56</v>
      </c>
      <c r="C25" s="13" t="s">
        <v>41</v>
      </c>
      <c r="D25" s="13" t="s">
        <v>42</v>
      </c>
      <c r="E25" s="13">
        <v>42</v>
      </c>
      <c r="F25" s="19" t="s">
        <v>11</v>
      </c>
      <c r="G25" s="13">
        <v>0</v>
      </c>
      <c r="H25" s="13">
        <v>180</v>
      </c>
      <c r="I25" s="13" t="s">
        <v>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" x14ac:dyDescent="0.35">
      <c r="A26" s="14">
        <v>43837</v>
      </c>
      <c r="B26" s="12" t="s">
        <v>58</v>
      </c>
      <c r="C26" s="13" t="s">
        <v>41</v>
      </c>
      <c r="D26" s="13" t="s">
        <v>42</v>
      </c>
      <c r="E26" s="13">
        <v>42</v>
      </c>
      <c r="F26" s="20" t="s">
        <v>13</v>
      </c>
      <c r="G26" s="13">
        <v>220</v>
      </c>
      <c r="H26" s="13">
        <v>270</v>
      </c>
      <c r="I26" s="13" t="s">
        <v>59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8" x14ac:dyDescent="0.35">
      <c r="A27" s="14">
        <v>43837</v>
      </c>
      <c r="B27" s="12" t="s">
        <v>60</v>
      </c>
      <c r="C27" s="13" t="s">
        <v>41</v>
      </c>
      <c r="D27" s="13" t="s">
        <v>42</v>
      </c>
      <c r="E27" s="13">
        <v>31.9</v>
      </c>
      <c r="F27" s="20" t="s">
        <v>13</v>
      </c>
      <c r="G27" s="13">
        <v>170</v>
      </c>
      <c r="H27" s="13">
        <v>245</v>
      </c>
      <c r="I27" s="13" t="s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" x14ac:dyDescent="0.35">
      <c r="A28" s="14">
        <v>43837</v>
      </c>
      <c r="B28" s="12" t="s">
        <v>61</v>
      </c>
      <c r="C28" s="13" t="s">
        <v>41</v>
      </c>
      <c r="D28" s="13" t="s">
        <v>42</v>
      </c>
      <c r="E28" s="13">
        <v>21.7</v>
      </c>
      <c r="F28" s="20" t="s">
        <v>13</v>
      </c>
      <c r="G28" s="13">
        <v>120</v>
      </c>
      <c r="H28" s="13">
        <v>220</v>
      </c>
      <c r="I28" s="13" t="s">
        <v>64</v>
      </c>
      <c r="J28" s="1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8" x14ac:dyDescent="0.35">
      <c r="A29" s="14">
        <v>43837</v>
      </c>
      <c r="B29" s="12" t="s">
        <v>62</v>
      </c>
      <c r="C29" s="13" t="s">
        <v>41</v>
      </c>
      <c r="D29" s="13" t="s">
        <v>42</v>
      </c>
      <c r="E29" s="13">
        <v>10.4</v>
      </c>
      <c r="F29" s="20" t="s">
        <v>13</v>
      </c>
      <c r="G29" s="13">
        <v>140</v>
      </c>
      <c r="H29" s="13">
        <v>205</v>
      </c>
      <c r="I29" s="13" t="s">
        <v>65</v>
      </c>
      <c r="J29" s="1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8" x14ac:dyDescent="0.35">
      <c r="A30" s="14">
        <v>43865</v>
      </c>
      <c r="B30" s="12" t="s">
        <v>75</v>
      </c>
      <c r="C30" s="13" t="s">
        <v>41</v>
      </c>
      <c r="D30" s="13" t="s">
        <v>42</v>
      </c>
      <c r="E30" s="13">
        <v>20.100000000000001</v>
      </c>
      <c r="F30" s="21" t="s">
        <v>16</v>
      </c>
      <c r="G30" s="13">
        <v>100</v>
      </c>
      <c r="H30" s="13">
        <v>1000</v>
      </c>
      <c r="I30" s="13" t="s">
        <v>79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8" x14ac:dyDescent="0.35">
      <c r="A31" s="14">
        <v>43865</v>
      </c>
      <c r="B31" s="12" t="s">
        <v>76</v>
      </c>
      <c r="C31" s="13" t="s">
        <v>41</v>
      </c>
      <c r="D31" s="13" t="s">
        <v>42</v>
      </c>
      <c r="E31" s="13">
        <v>20.100000000000001</v>
      </c>
      <c r="F31" s="19" t="s">
        <v>11</v>
      </c>
      <c r="G31" s="13">
        <v>0</v>
      </c>
      <c r="H31" s="13">
        <v>140</v>
      </c>
      <c r="I31" s="13" t="s">
        <v>78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18.600000000000001" thickBot="1" x14ac:dyDescent="0.4">
      <c r="A32" s="16">
        <v>43865</v>
      </c>
      <c r="B32" s="17" t="s">
        <v>77</v>
      </c>
      <c r="C32" s="18" t="s">
        <v>41</v>
      </c>
      <c r="D32" s="18" t="s">
        <v>42</v>
      </c>
      <c r="E32" s="18">
        <v>10</v>
      </c>
      <c r="F32" s="38" t="s">
        <v>16</v>
      </c>
      <c r="G32" s="18">
        <v>0</v>
      </c>
      <c r="H32" s="18">
        <v>800</v>
      </c>
      <c r="I32" s="18" t="s">
        <v>80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600000000000001" thickTop="1" x14ac:dyDescent="0.35">
      <c r="A33" s="3"/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" x14ac:dyDescent="0.35">
      <c r="A34" s="3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" x14ac:dyDescent="0.35">
      <c r="A35" s="3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" x14ac:dyDescent="0.35">
      <c r="A36" s="3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" x14ac:dyDescent="0.35">
      <c r="A37" s="3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" x14ac:dyDescent="0.35">
      <c r="A38" s="3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" x14ac:dyDescent="0.35">
      <c r="A39" s="3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" x14ac:dyDescent="0.35">
      <c r="A40" s="3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" x14ac:dyDescent="0.35">
      <c r="A41" s="3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" x14ac:dyDescent="0.35">
      <c r="A42" s="3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" x14ac:dyDescent="0.35">
      <c r="A43" s="3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" x14ac:dyDescent="0.35">
      <c r="A44" s="3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" x14ac:dyDescent="0.35">
      <c r="A45" s="3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" x14ac:dyDescent="0.35">
      <c r="A46" s="3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" x14ac:dyDescent="0.35">
      <c r="A47" s="3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" x14ac:dyDescent="0.35">
      <c r="A48" s="3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" x14ac:dyDescent="0.35">
      <c r="A49" s="3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" x14ac:dyDescent="0.35">
      <c r="A50" s="3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" x14ac:dyDescent="0.35">
      <c r="A51" s="3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" x14ac:dyDescent="0.35">
      <c r="A52" s="3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" x14ac:dyDescent="0.35">
      <c r="A53" s="3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" x14ac:dyDescent="0.35">
      <c r="A54" s="3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" x14ac:dyDescent="0.35">
      <c r="A55" s="3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A34D-F765-43A5-B43B-778E7D45A2A4}">
  <dimension ref="A1:O21"/>
  <sheetViews>
    <sheetView workbookViewId="0">
      <selection activeCell="H18" sqref="H18"/>
    </sheetView>
  </sheetViews>
  <sheetFormatPr defaultRowHeight="14.4" x14ac:dyDescent="0.3"/>
  <cols>
    <col min="2" max="2" width="21.109375" bestFit="1" customWidth="1"/>
    <col min="3" max="3" width="12.5546875" customWidth="1"/>
    <col min="4" max="4" width="15.21875" customWidth="1"/>
    <col min="5" max="5" width="13.77734375" customWidth="1"/>
    <col min="6" max="6" width="15.44140625" customWidth="1"/>
    <col min="7" max="7" width="36.33203125" customWidth="1"/>
    <col min="9" max="9" width="10.88671875" customWidth="1"/>
    <col min="10" max="10" width="23.44140625" customWidth="1"/>
    <col min="11" max="11" width="11.77734375" customWidth="1"/>
    <col min="12" max="12" width="14.88671875" customWidth="1"/>
    <col min="13" max="13" width="13.33203125" customWidth="1"/>
    <col min="14" max="14" width="14.77734375" customWidth="1"/>
    <col min="15" max="15" width="9" customWidth="1"/>
  </cols>
  <sheetData>
    <row r="1" spans="1:15" ht="1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25.8" x14ac:dyDescent="0.5">
      <c r="A2" s="2"/>
      <c r="B2" s="26" t="s">
        <v>66</v>
      </c>
      <c r="C2" s="2"/>
      <c r="D2" s="2"/>
      <c r="E2" s="2"/>
      <c r="F2" s="2"/>
      <c r="G2" s="2"/>
      <c r="H2" s="2"/>
      <c r="I2" s="2"/>
      <c r="J2" s="26" t="s">
        <v>72</v>
      </c>
      <c r="K2" s="2"/>
      <c r="L2" s="2"/>
      <c r="M2" s="2"/>
      <c r="N2" s="2"/>
    </row>
    <row r="3" spans="1:15" ht="18.60000000000000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19.2" thickTop="1" thickBot="1" x14ac:dyDescent="0.4">
      <c r="A4" s="2"/>
      <c r="B4" s="2"/>
      <c r="C4" s="29" t="s">
        <v>4</v>
      </c>
      <c r="D4" s="29" t="s">
        <v>67</v>
      </c>
      <c r="E4" s="29" t="s">
        <v>68</v>
      </c>
      <c r="F4" s="29" t="s">
        <v>69</v>
      </c>
      <c r="G4" s="29" t="s">
        <v>73</v>
      </c>
      <c r="H4" s="2"/>
      <c r="I4" s="2"/>
      <c r="J4" s="2"/>
      <c r="K4" s="29" t="s">
        <v>4</v>
      </c>
      <c r="L4" s="29" t="s">
        <v>67</v>
      </c>
      <c r="M4" s="29" t="s">
        <v>68</v>
      </c>
      <c r="N4" s="29" t="s">
        <v>69</v>
      </c>
      <c r="O4" s="29" t="s">
        <v>73</v>
      </c>
    </row>
    <row r="5" spans="1:15" ht="18.600000000000001" thickTop="1" x14ac:dyDescent="0.35">
      <c r="A5" s="2"/>
      <c r="B5" s="30" t="s">
        <v>70</v>
      </c>
      <c r="C5" s="28">
        <v>30</v>
      </c>
      <c r="D5" s="28" t="s">
        <v>71</v>
      </c>
      <c r="E5" s="28">
        <v>220</v>
      </c>
      <c r="F5" s="28">
        <v>1000</v>
      </c>
      <c r="G5" s="28"/>
      <c r="H5" s="2"/>
      <c r="I5" s="2"/>
      <c r="J5" s="30" t="s">
        <v>70</v>
      </c>
      <c r="K5" s="28">
        <v>20</v>
      </c>
      <c r="L5" s="28" t="s">
        <v>71</v>
      </c>
      <c r="M5" s="28">
        <v>220</v>
      </c>
      <c r="N5" s="28">
        <v>800</v>
      </c>
      <c r="O5" s="33"/>
    </row>
    <row r="6" spans="1:15" ht="18" x14ac:dyDescent="0.35">
      <c r="A6" s="2"/>
      <c r="B6" s="27"/>
      <c r="C6" s="27">
        <v>30</v>
      </c>
      <c r="D6" s="27" t="s">
        <v>71</v>
      </c>
      <c r="E6" s="27">
        <v>200</v>
      </c>
      <c r="F6" s="27">
        <v>1000</v>
      </c>
      <c r="G6" s="27"/>
      <c r="H6" s="2"/>
      <c r="I6" s="2"/>
      <c r="J6" s="27"/>
      <c r="K6" s="27">
        <v>30</v>
      </c>
      <c r="L6" s="27" t="s">
        <v>71</v>
      </c>
      <c r="M6" s="27">
        <v>240</v>
      </c>
      <c r="N6" s="27">
        <v>800</v>
      </c>
      <c r="O6" s="32"/>
    </row>
    <row r="7" spans="1:15" ht="18" x14ac:dyDescent="0.35">
      <c r="A7" s="2"/>
      <c r="B7" s="27"/>
      <c r="C7" s="27">
        <v>30</v>
      </c>
      <c r="D7" s="27" t="s">
        <v>71</v>
      </c>
      <c r="E7" s="27">
        <v>230</v>
      </c>
      <c r="F7" s="27">
        <v>1000</v>
      </c>
      <c r="G7" s="27"/>
      <c r="H7" s="2"/>
      <c r="I7" s="2"/>
      <c r="J7" s="27"/>
      <c r="K7" s="27">
        <v>40</v>
      </c>
      <c r="L7" s="27" t="s">
        <v>71</v>
      </c>
      <c r="M7" s="27">
        <v>260</v>
      </c>
      <c r="N7" s="27">
        <v>700</v>
      </c>
      <c r="O7" s="32"/>
    </row>
    <row r="8" spans="1:15" ht="18.600000000000001" thickBot="1" x14ac:dyDescent="0.4">
      <c r="A8" s="2"/>
      <c r="B8" s="27"/>
      <c r="C8" s="27">
        <v>20</v>
      </c>
      <c r="D8" s="27" t="s">
        <v>71</v>
      </c>
      <c r="E8" s="27">
        <v>200</v>
      </c>
      <c r="F8" s="27">
        <v>1000</v>
      </c>
      <c r="G8" s="27"/>
      <c r="H8" s="2"/>
      <c r="I8" s="2"/>
      <c r="J8" s="34"/>
      <c r="K8" s="36">
        <v>20</v>
      </c>
      <c r="L8" s="36" t="s">
        <v>71</v>
      </c>
      <c r="M8" s="36">
        <v>210</v>
      </c>
      <c r="N8" s="36">
        <v>800</v>
      </c>
      <c r="O8" s="34"/>
    </row>
    <row r="9" spans="1:15" ht="18.600000000000001" thickTop="1" x14ac:dyDescent="0.35">
      <c r="A9" s="2"/>
      <c r="B9" s="27"/>
      <c r="C9" s="27">
        <v>11</v>
      </c>
      <c r="D9" s="27" t="s">
        <v>71</v>
      </c>
      <c r="E9" s="27">
        <v>180</v>
      </c>
      <c r="F9" s="27">
        <v>800</v>
      </c>
      <c r="G9" s="35" t="s">
        <v>74</v>
      </c>
      <c r="H9" s="2"/>
      <c r="I9" s="2"/>
      <c r="J9" s="30" t="s">
        <v>13</v>
      </c>
      <c r="K9" s="28">
        <v>20</v>
      </c>
      <c r="L9" s="28">
        <v>50</v>
      </c>
      <c r="M9" s="28" t="s">
        <v>71</v>
      </c>
      <c r="N9" s="28">
        <v>800</v>
      </c>
      <c r="O9" s="33"/>
    </row>
    <row r="10" spans="1:15" ht="18" x14ac:dyDescent="0.35">
      <c r="A10" s="2"/>
      <c r="B10" s="27"/>
      <c r="C10" s="27">
        <v>11</v>
      </c>
      <c r="D10" s="27" t="s">
        <v>71</v>
      </c>
      <c r="E10" s="27">
        <v>170</v>
      </c>
      <c r="F10" s="27">
        <v>800</v>
      </c>
      <c r="G10" s="35" t="s">
        <v>74</v>
      </c>
      <c r="H10" s="2"/>
      <c r="I10" s="2"/>
      <c r="J10" s="27"/>
      <c r="K10" s="27">
        <v>30</v>
      </c>
      <c r="L10" s="27">
        <v>70</v>
      </c>
      <c r="M10" s="27" t="s">
        <v>71</v>
      </c>
      <c r="N10" s="27">
        <v>800</v>
      </c>
      <c r="O10" s="32"/>
    </row>
    <row r="11" spans="1:15" ht="18.600000000000001" thickBot="1" x14ac:dyDescent="0.4">
      <c r="A11" s="2"/>
      <c r="B11" s="27"/>
      <c r="C11" s="27">
        <v>11</v>
      </c>
      <c r="D11" s="27" t="s">
        <v>71</v>
      </c>
      <c r="E11" s="27">
        <v>170</v>
      </c>
      <c r="F11" s="27">
        <v>600</v>
      </c>
      <c r="G11" s="27"/>
      <c r="H11" s="2"/>
      <c r="I11" s="2"/>
      <c r="J11" s="27"/>
      <c r="K11" s="27">
        <v>40</v>
      </c>
      <c r="L11" s="27">
        <v>80</v>
      </c>
      <c r="M11" s="27" t="s">
        <v>71</v>
      </c>
      <c r="N11" s="27">
        <v>700</v>
      </c>
      <c r="O11" s="32"/>
    </row>
    <row r="12" spans="1:15" ht="18.600000000000001" thickTop="1" x14ac:dyDescent="0.35">
      <c r="A12" s="2"/>
      <c r="B12" s="30" t="s">
        <v>13</v>
      </c>
      <c r="C12" s="28">
        <v>30</v>
      </c>
      <c r="D12" s="28">
        <v>120</v>
      </c>
      <c r="E12" s="28" t="s">
        <v>71</v>
      </c>
      <c r="F12" s="28">
        <v>1000</v>
      </c>
      <c r="G12" s="28"/>
      <c r="H12" s="2"/>
      <c r="I12" s="2"/>
      <c r="J12" s="27"/>
      <c r="K12" s="27">
        <v>30</v>
      </c>
      <c r="L12" s="27">
        <v>70</v>
      </c>
      <c r="M12" s="27" t="s">
        <v>71</v>
      </c>
      <c r="N12" s="27">
        <v>400</v>
      </c>
      <c r="O12" s="32"/>
    </row>
    <row r="13" spans="1:15" ht="18" x14ac:dyDescent="0.35">
      <c r="A13" s="2"/>
      <c r="B13" s="27"/>
      <c r="C13" s="27">
        <v>20</v>
      </c>
      <c r="D13" s="27">
        <v>100</v>
      </c>
      <c r="E13" s="27" t="s">
        <v>71</v>
      </c>
      <c r="F13" s="27">
        <v>1000</v>
      </c>
      <c r="G13" s="27"/>
      <c r="H13" s="2"/>
      <c r="I13" s="2"/>
      <c r="J13" s="32"/>
      <c r="K13" s="27">
        <v>20</v>
      </c>
      <c r="L13" s="27">
        <v>80</v>
      </c>
      <c r="M13" s="27" t="s">
        <v>71</v>
      </c>
      <c r="N13" s="27">
        <v>300</v>
      </c>
      <c r="O13" s="32"/>
    </row>
    <row r="14" spans="1:15" ht="18.600000000000001" thickBot="1" x14ac:dyDescent="0.4">
      <c r="A14" s="2"/>
      <c r="B14" s="27"/>
      <c r="C14" s="27">
        <v>11</v>
      </c>
      <c r="D14" s="27">
        <v>70</v>
      </c>
      <c r="E14" s="27" t="s">
        <v>71</v>
      </c>
      <c r="F14" s="27">
        <v>600</v>
      </c>
      <c r="G14" s="27"/>
      <c r="H14" s="2"/>
      <c r="I14" s="2"/>
      <c r="J14" s="27"/>
      <c r="K14" s="27">
        <v>10</v>
      </c>
      <c r="L14" s="27">
        <v>50</v>
      </c>
      <c r="M14" s="27" t="s">
        <v>71</v>
      </c>
      <c r="N14" s="27">
        <v>200</v>
      </c>
      <c r="O14" s="32"/>
    </row>
    <row r="15" spans="1:15" ht="19.2" thickTop="1" thickBot="1" x14ac:dyDescent="0.4">
      <c r="A15" s="2"/>
      <c r="B15" s="34"/>
      <c r="C15" s="37">
        <v>9.3000000000000007</v>
      </c>
      <c r="D15" s="37">
        <v>50</v>
      </c>
      <c r="E15" s="37" t="s">
        <v>71</v>
      </c>
      <c r="F15" s="37">
        <v>400</v>
      </c>
      <c r="G15" s="39" t="s">
        <v>81</v>
      </c>
      <c r="H15" s="2"/>
      <c r="I15" s="2"/>
      <c r="J15" s="30" t="s">
        <v>16</v>
      </c>
      <c r="K15" s="28">
        <v>30</v>
      </c>
      <c r="L15" s="28">
        <v>70</v>
      </c>
      <c r="M15" s="28">
        <v>240</v>
      </c>
      <c r="N15" s="28" t="s">
        <v>71</v>
      </c>
      <c r="O15" s="33"/>
    </row>
    <row r="16" spans="1:15" ht="18.600000000000001" thickTop="1" x14ac:dyDescent="0.35">
      <c r="A16" s="2"/>
      <c r="B16" s="30" t="s">
        <v>16</v>
      </c>
      <c r="C16" s="28">
        <v>30</v>
      </c>
      <c r="D16" s="28">
        <v>120</v>
      </c>
      <c r="E16" s="28">
        <v>220</v>
      </c>
      <c r="F16" s="28" t="s">
        <v>71</v>
      </c>
      <c r="G16" s="28"/>
      <c r="H16" s="2"/>
      <c r="I16" s="2"/>
      <c r="J16" s="27"/>
      <c r="K16" s="27">
        <v>30</v>
      </c>
      <c r="L16" s="27">
        <v>70</v>
      </c>
      <c r="M16" s="27">
        <v>230</v>
      </c>
      <c r="N16" s="27" t="s">
        <v>71</v>
      </c>
      <c r="O16" s="32"/>
    </row>
    <row r="17" spans="1:15" ht="18" x14ac:dyDescent="0.35">
      <c r="A17" s="2"/>
      <c r="B17" s="27"/>
      <c r="C17" s="27">
        <v>20</v>
      </c>
      <c r="D17" s="27">
        <v>100</v>
      </c>
      <c r="E17" s="27">
        <v>205</v>
      </c>
      <c r="F17" s="27" t="s">
        <v>71</v>
      </c>
      <c r="G17" s="27"/>
      <c r="H17" s="2"/>
      <c r="I17" s="2"/>
      <c r="J17" s="32"/>
      <c r="K17" s="37">
        <v>20</v>
      </c>
      <c r="L17" s="37">
        <v>80</v>
      </c>
      <c r="M17" s="27">
        <v>210</v>
      </c>
      <c r="N17" s="27" t="s">
        <v>71</v>
      </c>
      <c r="O17" s="32"/>
    </row>
    <row r="18" spans="1:15" ht="18.600000000000001" thickBot="1" x14ac:dyDescent="0.4">
      <c r="A18" s="2"/>
      <c r="B18" s="27"/>
      <c r="C18" s="27">
        <v>11</v>
      </c>
      <c r="D18" s="27">
        <v>70</v>
      </c>
      <c r="E18" s="27">
        <v>190</v>
      </c>
      <c r="F18" s="27" t="s">
        <v>71</v>
      </c>
      <c r="G18" s="27"/>
      <c r="H18" s="2"/>
      <c r="I18" s="2"/>
      <c r="J18" s="34"/>
      <c r="K18" s="36">
        <v>10</v>
      </c>
      <c r="L18" s="36">
        <v>50</v>
      </c>
      <c r="M18" s="36">
        <v>180</v>
      </c>
      <c r="N18" s="36" t="s">
        <v>71</v>
      </c>
      <c r="O18" s="34"/>
    </row>
    <row r="19" spans="1:15" ht="18.600000000000001" thickTop="1" x14ac:dyDescent="0.35">
      <c r="A19" s="2"/>
      <c r="B19" s="27"/>
      <c r="C19" s="27">
        <v>11</v>
      </c>
      <c r="D19" s="27">
        <v>70</v>
      </c>
      <c r="E19" s="27">
        <v>170</v>
      </c>
      <c r="F19" s="27" t="s">
        <v>71</v>
      </c>
      <c r="G19" s="27"/>
      <c r="H19" s="2"/>
      <c r="I19" s="2"/>
      <c r="J19" s="2"/>
      <c r="K19" s="2"/>
    </row>
    <row r="20" spans="1:15" ht="18.600000000000001" thickBot="1" x14ac:dyDescent="0.4">
      <c r="A20" s="2"/>
      <c r="B20" s="31"/>
      <c r="C20" s="31">
        <v>9.3000000000000007</v>
      </c>
      <c r="D20" s="31">
        <v>50</v>
      </c>
      <c r="E20" s="31">
        <v>160</v>
      </c>
      <c r="F20" s="31" t="s">
        <v>71</v>
      </c>
      <c r="G20" s="41" t="s">
        <v>81</v>
      </c>
      <c r="H20" s="2"/>
      <c r="I20" s="2"/>
      <c r="J20" s="2"/>
      <c r="K20" s="2"/>
    </row>
    <row r="21" spans="1:15" ht="18.600000000000001" thickTop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F27-5E79-4739-BBEA-C2285C06A699}">
  <dimension ref="A1:S35"/>
  <sheetViews>
    <sheetView workbookViewId="0">
      <selection activeCell="H17" sqref="H17"/>
    </sheetView>
  </sheetViews>
  <sheetFormatPr defaultRowHeight="14.4" x14ac:dyDescent="0.3"/>
  <cols>
    <col min="1" max="1" width="22.88671875" customWidth="1"/>
    <col min="2" max="2" width="18.33203125" bestFit="1" customWidth="1"/>
    <col min="3" max="4" width="17.88671875" customWidth="1"/>
    <col min="5" max="5" width="19.109375" customWidth="1"/>
    <col min="6" max="6" width="17.88671875" customWidth="1"/>
    <col min="7" max="7" width="23.6640625" customWidth="1"/>
    <col min="8" max="8" width="24.21875" customWidth="1"/>
    <col min="9" max="9" width="21.44140625" customWidth="1"/>
    <col min="10" max="10" width="22.44140625" customWidth="1"/>
    <col min="11" max="11" width="23.33203125" customWidth="1"/>
  </cols>
  <sheetData>
    <row r="1" spans="1:19" x14ac:dyDescent="0.3">
      <c r="A1" s="48" t="s">
        <v>94</v>
      </c>
      <c r="B1" s="49" t="s">
        <v>95</v>
      </c>
      <c r="C1" s="49" t="s">
        <v>96</v>
      </c>
      <c r="D1" s="49" t="s">
        <v>103</v>
      </c>
      <c r="E1" s="49" t="s">
        <v>124</v>
      </c>
      <c r="F1" s="49" t="s">
        <v>123</v>
      </c>
      <c r="G1" s="49" t="s">
        <v>97</v>
      </c>
      <c r="H1" s="49" t="s">
        <v>100</v>
      </c>
      <c r="I1" s="49" t="s">
        <v>121</v>
      </c>
      <c r="J1" s="49" t="s">
        <v>122</v>
      </c>
      <c r="K1" s="50" t="s">
        <v>98</v>
      </c>
      <c r="L1" s="43"/>
      <c r="M1" s="43"/>
      <c r="N1" s="43"/>
      <c r="O1" s="43"/>
      <c r="P1" s="43"/>
      <c r="Q1" s="43"/>
      <c r="R1" s="43"/>
      <c r="S1" s="43"/>
    </row>
    <row r="2" spans="1:19" x14ac:dyDescent="0.3">
      <c r="A2" s="51">
        <v>900</v>
      </c>
      <c r="B2" s="47">
        <v>400</v>
      </c>
      <c r="C2" s="47"/>
      <c r="D2" s="47">
        <f>B2/8</f>
        <v>50</v>
      </c>
      <c r="E2" s="56">
        <f>D2*$E$14</f>
        <v>312109862.67166042</v>
      </c>
      <c r="F2" s="56">
        <f>(A2/8)*$E$14</f>
        <v>702247191.01123595</v>
      </c>
      <c r="G2" s="47">
        <v>9.6</v>
      </c>
      <c r="H2" s="47">
        <f>(G2/1000)/$B$14</f>
        <v>2.9360473829113475E+19</v>
      </c>
      <c r="I2" s="62">
        <f>E2*H2*$C$21*$C$25</f>
        <v>3215.0003336359177</v>
      </c>
      <c r="J2" s="62">
        <f>F2*H2*$C$21*$C$25</f>
        <v>7233.7507506808142</v>
      </c>
      <c r="K2" s="52">
        <v>13.4</v>
      </c>
      <c r="L2" s="43"/>
      <c r="M2" s="43"/>
      <c r="N2" s="43"/>
      <c r="O2" s="43"/>
      <c r="P2" s="43"/>
      <c r="Q2" s="43"/>
      <c r="R2" s="43"/>
      <c r="S2" s="43"/>
    </row>
    <row r="3" spans="1:19" x14ac:dyDescent="0.3">
      <c r="A3" s="51">
        <v>680</v>
      </c>
      <c r="B3" s="47">
        <v>280</v>
      </c>
      <c r="C3" s="47"/>
      <c r="D3" s="47">
        <f t="shared" ref="D3:D10" si="0">B3/8</f>
        <v>35</v>
      </c>
      <c r="E3" s="56">
        <f t="shared" ref="E3:E10" si="1">D3*$E$14</f>
        <v>218476903.87016231</v>
      </c>
      <c r="F3" s="56">
        <f t="shared" ref="F3:F10" si="2">(A3/8)*$E$14</f>
        <v>530586766.54182273</v>
      </c>
      <c r="G3" s="47">
        <v>9.6</v>
      </c>
      <c r="H3" s="47">
        <f t="shared" ref="H3:H10" si="3">(G3/1000)/$B$14</f>
        <v>2.9360473829113475E+19</v>
      </c>
      <c r="I3" s="62">
        <f t="shared" ref="I3:I10" si="4">E3*H3*$C$21*$C$25</f>
        <v>2250.5002335451427</v>
      </c>
      <c r="J3" s="62">
        <f t="shared" ref="J3:J10" si="5">F3*H3*$C$21*$C$25</f>
        <v>5465.5005671810595</v>
      </c>
      <c r="K3" s="52">
        <v>8.8000000000000007</v>
      </c>
      <c r="L3" s="43"/>
      <c r="M3" s="43"/>
      <c r="N3" s="43"/>
      <c r="O3" s="43"/>
      <c r="P3" s="43"/>
      <c r="Q3" s="43"/>
      <c r="R3" s="43"/>
      <c r="S3" s="43"/>
    </row>
    <row r="4" spans="1:19" x14ac:dyDescent="0.3">
      <c r="A4" s="51">
        <v>220</v>
      </c>
      <c r="B4" s="47">
        <v>100</v>
      </c>
      <c r="C4" s="47"/>
      <c r="D4" s="47">
        <f t="shared" si="0"/>
        <v>12.5</v>
      </c>
      <c r="E4" s="56">
        <f t="shared" si="1"/>
        <v>78027465.667915106</v>
      </c>
      <c r="F4" s="56">
        <f t="shared" si="2"/>
        <v>171660424.46941325</v>
      </c>
      <c r="G4" s="47">
        <v>9.6</v>
      </c>
      <c r="H4" s="47">
        <f t="shared" si="3"/>
        <v>2.9360473829113475E+19</v>
      </c>
      <c r="I4" s="62">
        <f t="shared" si="4"/>
        <v>803.75008340897944</v>
      </c>
      <c r="J4" s="62">
        <f t="shared" si="5"/>
        <v>1768.2501834997547</v>
      </c>
      <c r="K4" s="52">
        <v>2.5</v>
      </c>
      <c r="L4" s="43"/>
      <c r="M4" s="43"/>
      <c r="N4" s="43"/>
      <c r="O4" s="43"/>
      <c r="P4" s="43"/>
      <c r="Q4" s="43"/>
      <c r="R4" s="43"/>
      <c r="S4" s="43"/>
    </row>
    <row r="5" spans="1:19" x14ac:dyDescent="0.3">
      <c r="A5" s="51">
        <v>100</v>
      </c>
      <c r="B5" s="47">
        <v>60</v>
      </c>
      <c r="C5" s="47"/>
      <c r="D5" s="47">
        <f t="shared" si="0"/>
        <v>7.5</v>
      </c>
      <c r="E5" s="56">
        <f t="shared" si="1"/>
        <v>46816479.400749065</v>
      </c>
      <c r="F5" s="56">
        <f t="shared" si="2"/>
        <v>78027465.667915106</v>
      </c>
      <c r="G5" s="47">
        <v>9.6</v>
      </c>
      <c r="H5" s="47">
        <f t="shared" si="3"/>
        <v>2.9360473829113475E+19</v>
      </c>
      <c r="I5" s="62">
        <f t="shared" si="4"/>
        <v>482.25005004538758</v>
      </c>
      <c r="J5" s="62">
        <f t="shared" si="5"/>
        <v>803.75008340897944</v>
      </c>
      <c r="K5" s="52">
        <v>1.6</v>
      </c>
      <c r="L5" s="43"/>
      <c r="M5" s="43"/>
      <c r="N5" s="43"/>
      <c r="O5" s="43"/>
      <c r="P5" s="43"/>
      <c r="Q5" s="43"/>
      <c r="R5" s="43"/>
      <c r="S5" s="43"/>
    </row>
    <row r="6" spans="1:19" x14ac:dyDescent="0.3">
      <c r="A6" s="51">
        <v>100</v>
      </c>
      <c r="B6" s="47" t="s">
        <v>99</v>
      </c>
      <c r="C6" s="47">
        <v>45</v>
      </c>
      <c r="D6" s="47">
        <f>C6/8</f>
        <v>5.625</v>
      </c>
      <c r="E6" s="56">
        <f t="shared" si="1"/>
        <v>35112359.550561801</v>
      </c>
      <c r="F6" s="56">
        <f t="shared" si="2"/>
        <v>78027465.667915106</v>
      </c>
      <c r="G6" s="47">
        <v>0.97199999999999998</v>
      </c>
      <c r="H6" s="47">
        <f t="shared" si="3"/>
        <v>2.9727479751977395E+18</v>
      </c>
      <c r="I6" s="62">
        <f t="shared" si="4"/>
        <v>36.620863175321624</v>
      </c>
      <c r="J6" s="62">
        <f t="shared" si="5"/>
        <v>81.379695945159156</v>
      </c>
      <c r="K6" s="52">
        <v>0.2</v>
      </c>
      <c r="L6" s="43"/>
      <c r="M6" s="43"/>
      <c r="N6" s="43"/>
      <c r="O6" s="43"/>
      <c r="P6" s="43"/>
      <c r="Q6" s="43"/>
      <c r="R6" s="43"/>
      <c r="S6" s="43"/>
    </row>
    <row r="7" spans="1:19" x14ac:dyDescent="0.3">
      <c r="A7" s="51">
        <v>250</v>
      </c>
      <c r="B7" s="47" t="s">
        <v>99</v>
      </c>
      <c r="C7" s="47">
        <v>110</v>
      </c>
      <c r="D7" s="47">
        <f>C7/8</f>
        <v>13.75</v>
      </c>
      <c r="E7" s="56">
        <f t="shared" si="1"/>
        <v>85830212.234706625</v>
      </c>
      <c r="F7" s="56">
        <f t="shared" si="2"/>
        <v>195068664.16978776</v>
      </c>
      <c r="G7" s="47">
        <v>0.97199999999999998</v>
      </c>
      <c r="H7" s="47">
        <f t="shared" si="3"/>
        <v>2.9727479751977395E+18</v>
      </c>
      <c r="I7" s="62">
        <f t="shared" si="4"/>
        <v>89.517665539675093</v>
      </c>
      <c r="J7" s="62">
        <f t="shared" si="5"/>
        <v>203.44923986289791</v>
      </c>
      <c r="K7" s="52">
        <v>0.3</v>
      </c>
      <c r="L7" s="43"/>
      <c r="M7" s="43"/>
      <c r="N7" s="43"/>
      <c r="O7" s="43"/>
      <c r="P7" s="43"/>
      <c r="Q7" s="43"/>
      <c r="R7" s="43"/>
      <c r="S7" s="43"/>
    </row>
    <row r="8" spans="1:19" x14ac:dyDescent="0.3">
      <c r="A8" s="51">
        <v>680</v>
      </c>
      <c r="B8" s="47">
        <v>300</v>
      </c>
      <c r="C8" s="47"/>
      <c r="D8" s="47">
        <f t="shared" si="0"/>
        <v>37.5</v>
      </c>
      <c r="E8" s="56">
        <f t="shared" si="1"/>
        <v>234082397.00374535</v>
      </c>
      <c r="F8" s="56">
        <f t="shared" si="2"/>
        <v>530586766.54182273</v>
      </c>
      <c r="G8" s="47">
        <v>0.97199999999999998</v>
      </c>
      <c r="H8" s="47">
        <f t="shared" si="3"/>
        <v>2.9727479751977395E+18</v>
      </c>
      <c r="I8" s="62">
        <f t="shared" si="4"/>
        <v>244.13908783547751</v>
      </c>
      <c r="J8" s="62">
        <f t="shared" si="5"/>
        <v>553.38193242708235</v>
      </c>
      <c r="K8" s="52">
        <v>1</v>
      </c>
      <c r="L8" s="43"/>
      <c r="M8" s="43"/>
      <c r="N8" s="43"/>
      <c r="O8" s="43"/>
      <c r="P8" s="43"/>
      <c r="Q8" s="43"/>
      <c r="R8" s="43"/>
      <c r="S8" s="43"/>
    </row>
    <row r="9" spans="1:19" x14ac:dyDescent="0.3">
      <c r="A9" s="51">
        <v>250</v>
      </c>
      <c r="B9" s="47">
        <v>150</v>
      </c>
      <c r="C9" s="47"/>
      <c r="D9" s="47">
        <f t="shared" si="0"/>
        <v>18.75</v>
      </c>
      <c r="E9" s="56">
        <f t="shared" si="1"/>
        <v>117041198.50187267</v>
      </c>
      <c r="F9" s="56">
        <f t="shared" si="2"/>
        <v>195068664.16978776</v>
      </c>
      <c r="G9" s="47">
        <v>9.6</v>
      </c>
      <c r="H9" s="47">
        <f t="shared" si="3"/>
        <v>2.9360473829113475E+19</v>
      </c>
      <c r="I9" s="62">
        <f t="shared" si="4"/>
        <v>1205.625125113469</v>
      </c>
      <c r="J9" s="62">
        <f t="shared" si="5"/>
        <v>2009.3752085224485</v>
      </c>
      <c r="K9" s="52">
        <v>3.4</v>
      </c>
      <c r="L9" s="43"/>
      <c r="M9" s="43"/>
      <c r="N9" s="43"/>
      <c r="O9" s="43"/>
      <c r="P9" s="43"/>
      <c r="Q9" s="43"/>
      <c r="R9" s="43"/>
      <c r="S9" s="43"/>
    </row>
    <row r="10" spans="1:19" ht="15" thickBot="1" x14ac:dyDescent="0.35">
      <c r="A10" s="53">
        <v>250</v>
      </c>
      <c r="B10" s="54">
        <v>160</v>
      </c>
      <c r="C10" s="54"/>
      <c r="D10" s="54">
        <f t="shared" si="0"/>
        <v>20</v>
      </c>
      <c r="E10" s="57">
        <f t="shared" si="1"/>
        <v>124843945.06866418</v>
      </c>
      <c r="F10" s="57">
        <f t="shared" si="2"/>
        <v>195068664.16978776</v>
      </c>
      <c r="G10" s="54">
        <v>0.97199999999999998</v>
      </c>
      <c r="H10" s="54">
        <f t="shared" si="3"/>
        <v>2.9727479751977395E+18</v>
      </c>
      <c r="I10" s="70">
        <f t="shared" si="4"/>
        <v>130.20751351225468</v>
      </c>
      <c r="J10" s="70">
        <f t="shared" si="5"/>
        <v>203.44923986289791</v>
      </c>
      <c r="K10" s="55">
        <v>0.3</v>
      </c>
      <c r="L10" s="43"/>
      <c r="M10" s="43"/>
      <c r="N10" s="43"/>
      <c r="O10" s="43"/>
      <c r="P10" s="43"/>
      <c r="Q10" s="43"/>
      <c r="R10" s="43"/>
      <c r="S10" s="43"/>
    </row>
    <row r="11" spans="1:19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</row>
    <row r="12" spans="1:19" ht="15" thickBot="1" x14ac:dyDescent="0.3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</row>
    <row r="13" spans="1:19" x14ac:dyDescent="0.3">
      <c r="A13" s="48" t="s">
        <v>101</v>
      </c>
      <c r="B13" s="49" t="s">
        <v>102</v>
      </c>
      <c r="C13" s="49" t="s">
        <v>104</v>
      </c>
      <c r="D13" s="49" t="s">
        <v>105</v>
      </c>
      <c r="E13" s="69" t="s">
        <v>106</v>
      </c>
      <c r="F13" s="7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</row>
    <row r="14" spans="1:19" ht="15" thickBot="1" x14ac:dyDescent="0.35">
      <c r="A14" s="53">
        <v>196.97</v>
      </c>
      <c r="B14" s="54">
        <f>A14*1.66*10^(-24)</f>
        <v>3.2697020000000002E-22</v>
      </c>
      <c r="C14" s="54">
        <f>1.602*10^(-19)</f>
        <v>1.602E-19</v>
      </c>
      <c r="D14" s="54">
        <f>1/C14</f>
        <v>6.2421972534332088E+18</v>
      </c>
      <c r="E14" s="55">
        <f>D14/10^(12)</f>
        <v>6242197.2534332089</v>
      </c>
      <c r="F14" s="4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pans="1:19" x14ac:dyDescent="0.3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1:19" ht="15" thickBot="1" x14ac:dyDescent="0.3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pans="1:19" ht="15" thickBot="1" x14ac:dyDescent="0.35">
      <c r="A17" s="58" t="s">
        <v>110</v>
      </c>
      <c r="B17" s="59"/>
      <c r="C17" s="60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</row>
    <row r="18" spans="1:19" x14ac:dyDescent="0.3">
      <c r="A18" s="61"/>
      <c r="B18" s="61"/>
      <c r="C18" s="6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pans="1:19" ht="15" thickBot="1" x14ac:dyDescent="0.3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</row>
    <row r="20" spans="1:19" x14ac:dyDescent="0.3">
      <c r="A20" s="63" t="s">
        <v>111</v>
      </c>
      <c r="B20" s="64"/>
      <c r="C20" s="64" t="s">
        <v>112</v>
      </c>
      <c r="D20" s="64"/>
      <c r="E20" s="65"/>
      <c r="F20" s="61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</row>
    <row r="21" spans="1:19" ht="15" thickBot="1" x14ac:dyDescent="0.35">
      <c r="A21" s="66">
        <f>5.98*10^3</f>
        <v>5980</v>
      </c>
      <c r="B21" s="67"/>
      <c r="C21" s="67">
        <f>A21*10^(-27)</f>
        <v>5.98E-24</v>
      </c>
      <c r="D21" s="67"/>
      <c r="E21" s="68"/>
      <c r="F21" s="45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spans="1:19" x14ac:dyDescent="0.3">
      <c r="A22" s="45"/>
      <c r="B22" s="45"/>
      <c r="C22" s="45"/>
      <c r="D22" s="45"/>
      <c r="E22" s="45"/>
      <c r="F22" s="45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</row>
    <row r="23" spans="1:19" ht="15" thickBot="1" x14ac:dyDescent="0.3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</row>
    <row r="24" spans="1:19" x14ac:dyDescent="0.3">
      <c r="A24" s="48" t="s">
        <v>107</v>
      </c>
      <c r="B24" s="49" t="s">
        <v>108</v>
      </c>
      <c r="C24" s="50" t="s">
        <v>109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</row>
    <row r="25" spans="1:19" ht="15" thickBot="1" x14ac:dyDescent="0.35">
      <c r="A25" s="53">
        <v>47</v>
      </c>
      <c r="B25" s="54">
        <f>10.8*12</f>
        <v>129.60000000000002</v>
      </c>
      <c r="C25" s="55">
        <f>B25/A25^2</f>
        <v>5.8669081032141253E-2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</row>
    <row r="26" spans="1:19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</row>
    <row r="27" spans="1:19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</row>
    <row r="28" spans="1:19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</row>
    <row r="29" spans="1:19" x14ac:dyDescent="0.3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</row>
    <row r="30" spans="1:19" x14ac:dyDescent="0.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</row>
    <row r="31" spans="1:19" x14ac:dyDescent="0.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</row>
    <row r="32" spans="1:19" x14ac:dyDescent="0.3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</row>
    <row r="33" spans="1:19" x14ac:dyDescent="0.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</row>
    <row r="34" spans="1:19" x14ac:dyDescent="0.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</row>
    <row r="35" spans="1:19" x14ac:dyDescent="0.3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</row>
  </sheetData>
  <mergeCells count="5">
    <mergeCell ref="A17:C17"/>
    <mergeCell ref="A20:B20"/>
    <mergeCell ref="A21:B21"/>
    <mergeCell ref="C20:E20"/>
    <mergeCell ref="C21:E2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2A73-7FF1-4E2F-9CF1-BB7BA243F606}">
  <dimension ref="A1:X28"/>
  <sheetViews>
    <sheetView workbookViewId="0">
      <selection activeCell="G2" sqref="G2"/>
    </sheetView>
  </sheetViews>
  <sheetFormatPr defaultRowHeight="14.4" x14ac:dyDescent="0.3"/>
  <cols>
    <col min="1" max="2" width="23.44140625" customWidth="1"/>
    <col min="3" max="3" width="29.5546875" customWidth="1"/>
    <col min="4" max="4" width="27.33203125" customWidth="1"/>
    <col min="5" max="5" width="24.109375" customWidth="1"/>
    <col min="6" max="6" width="22.5546875" customWidth="1"/>
    <col min="7" max="7" width="21.109375" customWidth="1"/>
  </cols>
  <sheetData>
    <row r="1" spans="1:24" x14ac:dyDescent="0.3">
      <c r="A1" s="44" t="s">
        <v>125</v>
      </c>
      <c r="B1" s="44" t="s">
        <v>128</v>
      </c>
      <c r="C1" s="44" t="s">
        <v>126</v>
      </c>
      <c r="D1" s="44" t="s">
        <v>127</v>
      </c>
      <c r="E1" s="44" t="s">
        <v>129</v>
      </c>
      <c r="F1" s="44" t="s">
        <v>130</v>
      </c>
      <c r="G1" s="44" t="s">
        <v>131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x14ac:dyDescent="0.3">
      <c r="A2" s="47">
        <v>55</v>
      </c>
      <c r="B2" s="47">
        <f>A2*1000</f>
        <v>55000</v>
      </c>
      <c r="C2" s="47">
        <v>25.5</v>
      </c>
      <c r="D2" s="47">
        <f>6.5/2</f>
        <v>3.25</v>
      </c>
      <c r="E2" s="47">
        <f>ATAN(D2/C2)</f>
        <v>0.12676753510136199</v>
      </c>
      <c r="F2" s="47">
        <f>2*PI()*(1-COS(E2))</f>
        <v>5.0417846718221082E-2</v>
      </c>
      <c r="G2" s="47">
        <f>B2*F2/(4*PI())</f>
        <v>220.66686194449539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24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x14ac:dyDescent="0.3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4" x14ac:dyDescent="0.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</row>
    <row r="6" spans="1:24" x14ac:dyDescent="0.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spans="1:24" x14ac:dyDescent="0.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spans="1:24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r="9" spans="1:24" x14ac:dyDescent="0.3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spans="1:24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</row>
    <row r="11" spans="1:24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</row>
    <row r="12" spans="1:24" x14ac:dyDescent="0.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</row>
    <row r="13" spans="1:24" x14ac:dyDescent="0.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spans="1:24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pans="1:24" x14ac:dyDescent="0.3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</row>
    <row r="16" spans="1:24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spans="1:24" x14ac:dyDescent="0.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spans="1:24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</row>
    <row r="19" spans="1:24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</row>
    <row r="20" spans="1:24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</row>
    <row r="21" spans="1:24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1:24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</row>
    <row r="23" spans="1:24" x14ac:dyDescent="0.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</row>
    <row r="24" spans="1:24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  <row r="26" spans="1:24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</row>
    <row r="27" spans="1:24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24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5537-B4AB-4D3C-B99B-4547CB7785F8}">
  <dimension ref="A1:P29"/>
  <sheetViews>
    <sheetView tabSelected="1" workbookViewId="0">
      <selection activeCell="D15" sqref="D15"/>
    </sheetView>
  </sheetViews>
  <sheetFormatPr defaultRowHeight="14.4" x14ac:dyDescent="0.3"/>
  <cols>
    <col min="1" max="1" width="16.5546875" customWidth="1"/>
    <col min="2" max="2" width="25.88671875" customWidth="1"/>
    <col min="3" max="3" width="27.5546875" customWidth="1"/>
    <col min="4" max="4" width="21.6640625" customWidth="1"/>
    <col min="5" max="5" width="25.5546875" customWidth="1"/>
    <col min="6" max="6" width="26.88671875" bestFit="1" customWidth="1"/>
  </cols>
  <sheetData>
    <row r="1" spans="1:16" x14ac:dyDescent="0.3">
      <c r="A1" s="42" t="s">
        <v>86</v>
      </c>
      <c r="B1" s="42" t="s">
        <v>87</v>
      </c>
      <c r="C1" s="42" t="s">
        <v>88</v>
      </c>
      <c r="D1" s="42" t="s">
        <v>89</v>
      </c>
      <c r="E1" s="42" t="s">
        <v>90</v>
      </c>
      <c r="F1" s="42" t="s">
        <v>91</v>
      </c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5" thickBot="1" x14ac:dyDescent="0.35">
      <c r="A2" s="43"/>
      <c r="B2" s="45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ht="15" thickBot="1" x14ac:dyDescent="0.35">
      <c r="A3" s="45"/>
      <c r="B3" s="46" t="s">
        <v>92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" thickBot="1" x14ac:dyDescent="0.3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ht="15" thickBot="1" x14ac:dyDescent="0.35">
      <c r="A5" s="43"/>
      <c r="B5" s="46" t="s">
        <v>93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 x14ac:dyDescent="0.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16" ht="15" thickBot="1" x14ac:dyDescent="0.3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 x14ac:dyDescent="0.3">
      <c r="A8" s="49" t="s">
        <v>104</v>
      </c>
      <c r="B8" s="49" t="s">
        <v>113</v>
      </c>
      <c r="C8" s="43"/>
      <c r="D8" s="42" t="s">
        <v>114</v>
      </c>
      <c r="E8" s="42" t="s">
        <v>115</v>
      </c>
      <c r="F8" s="42" t="s">
        <v>116</v>
      </c>
      <c r="G8" s="43"/>
      <c r="H8" s="43"/>
      <c r="I8" s="43"/>
      <c r="J8" s="43"/>
      <c r="K8" s="43"/>
      <c r="L8" s="43"/>
      <c r="M8" s="43"/>
      <c r="N8" s="43"/>
      <c r="O8" s="43"/>
      <c r="P8" s="43"/>
    </row>
    <row r="9" spans="1:16" ht="15" thickBot="1" x14ac:dyDescent="0.35">
      <c r="A9" s="54">
        <f>1.602*10^(-19)</f>
        <v>1.602E-19</v>
      </c>
      <c r="B9" s="54">
        <f>1/A9</f>
        <v>6.2421972534332088E+18</v>
      </c>
      <c r="C9" s="43"/>
      <c r="D9" s="43">
        <v>1.1000000000000001</v>
      </c>
      <c r="E9" s="43">
        <v>23.4</v>
      </c>
      <c r="F9" s="43">
        <f>(D9*10^6)/E9</f>
        <v>47008.547008547008</v>
      </c>
      <c r="G9" s="43"/>
      <c r="H9" s="43"/>
      <c r="I9" s="43"/>
      <c r="J9" s="43"/>
      <c r="K9" s="43"/>
      <c r="L9" s="43"/>
      <c r="M9" s="43"/>
      <c r="N9" s="43"/>
      <c r="O9" s="43"/>
      <c r="P9" s="43"/>
    </row>
    <row r="10" spans="1:16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</row>
    <row r="11" spans="1:16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</row>
    <row r="12" spans="1:16" x14ac:dyDescent="0.3">
      <c r="A12" s="42" t="s">
        <v>118</v>
      </c>
      <c r="B12" s="42" t="s">
        <v>120</v>
      </c>
      <c r="C12" s="42" t="s">
        <v>119</v>
      </c>
      <c r="D12" s="42" t="s">
        <v>117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</row>
    <row r="13" spans="1:16" x14ac:dyDescent="0.3">
      <c r="A13" s="43">
        <v>50</v>
      </c>
      <c r="B13" s="43">
        <f>A13*10^(-9)*$B$9</f>
        <v>312109862671.66046</v>
      </c>
      <c r="C13" s="43">
        <v>3215</v>
      </c>
      <c r="D13" s="71">
        <f>B13/(F9*C13)</f>
        <v>2065.1408982092053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</row>
    <row r="14" spans="1:16" x14ac:dyDescent="0.3">
      <c r="A14" s="43">
        <v>50</v>
      </c>
      <c r="B14" s="43">
        <f>A14*10^(-9)*$B$9</f>
        <v>312109862671.66046</v>
      </c>
      <c r="C14" s="43">
        <v>7233</v>
      </c>
      <c r="D14" s="71">
        <f>B14/($F$9*C14)</f>
        <v>917.93557137323319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</row>
    <row r="15" spans="1:16" x14ac:dyDescent="0.3">
      <c r="A15" s="43"/>
      <c r="B15" s="43"/>
      <c r="C15" s="43">
        <v>220</v>
      </c>
      <c r="D15" s="71">
        <f>B15/($F$9*C15)</f>
        <v>0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</row>
    <row r="16" spans="1:16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1:16" x14ac:dyDescent="0.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1:16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</row>
    <row r="19" spans="1:16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</row>
    <row r="20" spans="1:16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</row>
    <row r="21" spans="1:16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2" spans="1:16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</row>
    <row r="23" spans="1:16" x14ac:dyDescent="0.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</row>
    <row r="24" spans="1:16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</row>
    <row r="25" spans="1:16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spans="1:16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spans="1:16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spans="1:16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</row>
    <row r="29" spans="1:16" x14ac:dyDescent="0.3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Foglio2</vt:lpstr>
      <vt:lpstr>2° test con fascio</vt:lpstr>
      <vt:lpstr>Rate sorgente</vt:lpstr>
      <vt:lpstr>Calcolo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 Brischetto</dc:creator>
  <cp:lastModifiedBy>Peppe Brischetto</cp:lastModifiedBy>
  <dcterms:created xsi:type="dcterms:W3CDTF">2020-01-21T17:28:35Z</dcterms:created>
  <dcterms:modified xsi:type="dcterms:W3CDTF">2021-06-15T09:12:51Z</dcterms:modified>
</cp:coreProperties>
</file>