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ilecleanbeauty/Documents/"/>
    </mc:Choice>
  </mc:AlternateContent>
  <xr:revisionPtr revIDLastSave="0" documentId="8_{41784FCF-B4D4-E146-98CA-6160FE6756E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2023-2024" sheetId="1" r:id="rId1"/>
    <sheet name="2022 - 2023" sheetId="2" r:id="rId2"/>
    <sheet name="2021 - 202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3" l="1"/>
  <c r="I32" i="3"/>
  <c r="B8" i="1"/>
  <c r="C8" i="1"/>
  <c r="D8" i="1"/>
  <c r="H8" i="3"/>
  <c r="L8" i="3"/>
  <c r="M8" i="3"/>
  <c r="I26" i="3"/>
  <c r="B26" i="3"/>
  <c r="N24" i="2"/>
  <c r="F32" i="1"/>
  <c r="E32" i="1"/>
  <c r="D32" i="1"/>
  <c r="C32" i="1"/>
  <c r="O31" i="1"/>
  <c r="F26" i="1"/>
  <c r="D26" i="1"/>
  <c r="D38" i="1" s="1"/>
  <c r="C26" i="1"/>
  <c r="O26" i="1" s="1"/>
  <c r="F22" i="1"/>
  <c r="E22" i="1"/>
  <c r="D22" i="1"/>
  <c r="C22" i="1"/>
  <c r="E19" i="1"/>
  <c r="E38" i="1" s="1"/>
  <c r="D19" i="1"/>
  <c r="C19" i="1"/>
  <c r="F17" i="1"/>
  <c r="O17" i="1" s="1"/>
  <c r="E17" i="1"/>
  <c r="D17" i="1"/>
  <c r="C17" i="1"/>
  <c r="C16" i="1"/>
  <c r="O16" i="1" s="1"/>
  <c r="F14" i="1"/>
  <c r="E14" i="1"/>
  <c r="D14" i="1"/>
  <c r="C14" i="1"/>
  <c r="F8" i="1"/>
  <c r="E8" i="1"/>
  <c r="O32" i="1"/>
  <c r="B38" i="1"/>
  <c r="B40" i="1" s="1"/>
  <c r="G8" i="3"/>
  <c r="I8" i="3"/>
  <c r="J8" i="3"/>
  <c r="K8" i="3"/>
  <c r="G32" i="3"/>
  <c r="C32" i="3"/>
  <c r="C31" i="3"/>
  <c r="C26" i="3"/>
  <c r="G22" i="3"/>
  <c r="F22" i="3"/>
  <c r="C22" i="3"/>
  <c r="B22" i="3"/>
  <c r="E21" i="3"/>
  <c r="D21" i="3"/>
  <c r="C21" i="3"/>
  <c r="B21" i="3"/>
  <c r="G19" i="3"/>
  <c r="F19" i="3"/>
  <c r="E19" i="3"/>
  <c r="C19" i="3"/>
  <c r="B19" i="3"/>
  <c r="C18" i="3"/>
  <c r="G17" i="3"/>
  <c r="F17" i="3"/>
  <c r="F38" i="3" s="1"/>
  <c r="E17" i="3"/>
  <c r="E38" i="3" s="1"/>
  <c r="D17" i="3"/>
  <c r="C17" i="3"/>
  <c r="C38" i="3" s="1"/>
  <c r="B17" i="3"/>
  <c r="B38" i="3" s="1"/>
  <c r="G16" i="3"/>
  <c r="G38" i="3" s="1"/>
  <c r="D16" i="3"/>
  <c r="D38" i="3" s="1"/>
  <c r="G14" i="3"/>
  <c r="F8" i="3"/>
  <c r="F14" i="3" s="1"/>
  <c r="E8" i="3"/>
  <c r="E14" i="3" s="1"/>
  <c r="D8" i="3"/>
  <c r="D14" i="3" s="1"/>
  <c r="C8" i="3"/>
  <c r="C14" i="3" s="1"/>
  <c r="B8" i="3"/>
  <c r="B14" i="3" s="1"/>
  <c r="N8" i="2"/>
  <c r="B8" i="2"/>
  <c r="C8" i="2"/>
  <c r="D8" i="2"/>
  <c r="E8" i="2"/>
  <c r="F8" i="2"/>
  <c r="G8" i="2"/>
  <c r="H8" i="2"/>
  <c r="I8" i="2"/>
  <c r="J8" i="2"/>
  <c r="K8" i="2"/>
  <c r="L8" i="2"/>
  <c r="M8" i="2"/>
  <c r="H38" i="3"/>
  <c r="N35" i="3"/>
  <c r="N34" i="3"/>
  <c r="N33" i="3"/>
  <c r="N32" i="3"/>
  <c r="J31" i="3"/>
  <c r="N31" i="3"/>
  <c r="N30" i="3"/>
  <c r="N29" i="3"/>
  <c r="N28" i="3"/>
  <c r="N27" i="3"/>
  <c r="J26" i="3"/>
  <c r="N26" i="3"/>
  <c r="N25" i="3"/>
  <c r="N24" i="3"/>
  <c r="N23" i="3"/>
  <c r="M22" i="3"/>
  <c r="J22" i="3"/>
  <c r="I22" i="3"/>
  <c r="N22" i="3"/>
  <c r="L21" i="3"/>
  <c r="K21" i="3"/>
  <c r="J21" i="3"/>
  <c r="I21" i="3"/>
  <c r="N21" i="3" s="1"/>
  <c r="N20" i="3"/>
  <c r="M19" i="3"/>
  <c r="L19" i="3"/>
  <c r="J19" i="3"/>
  <c r="I19" i="3"/>
  <c r="N19" i="3"/>
  <c r="J18" i="3"/>
  <c r="N18" i="3"/>
  <c r="M17" i="3"/>
  <c r="M38" i="3" s="1"/>
  <c r="L17" i="3"/>
  <c r="L38" i="3" s="1"/>
  <c r="K17" i="3"/>
  <c r="J17" i="3"/>
  <c r="J38" i="3" s="1"/>
  <c r="I17" i="3"/>
  <c r="I38" i="3" s="1"/>
  <c r="N17" i="3"/>
  <c r="K16" i="3"/>
  <c r="K38" i="3" s="1"/>
  <c r="H14" i="3"/>
  <c r="N12" i="3"/>
  <c r="N11" i="3"/>
  <c r="N10" i="3"/>
  <c r="N9" i="3"/>
  <c r="M14" i="3"/>
  <c r="M40" i="3" s="1"/>
  <c r="L14" i="3"/>
  <c r="L40" i="3" s="1"/>
  <c r="K14" i="3"/>
  <c r="J14" i="3"/>
  <c r="I14" i="3"/>
  <c r="H38" i="2"/>
  <c r="G38" i="2"/>
  <c r="N35" i="2"/>
  <c r="N34" i="2"/>
  <c r="N33" i="2"/>
  <c r="J32" i="2"/>
  <c r="I32" i="2"/>
  <c r="F32" i="2"/>
  <c r="E32" i="2"/>
  <c r="D32" i="2"/>
  <c r="C32" i="2"/>
  <c r="N32" i="2" s="1"/>
  <c r="B32" i="2"/>
  <c r="N31" i="2"/>
  <c r="N30" i="2"/>
  <c r="N29" i="2"/>
  <c r="N28" i="2"/>
  <c r="N27" i="2"/>
  <c r="J26" i="2"/>
  <c r="D26" i="2"/>
  <c r="N26" i="2"/>
  <c r="N25" i="2"/>
  <c r="N23" i="2"/>
  <c r="M22" i="2"/>
  <c r="J22" i="2"/>
  <c r="I22" i="2"/>
  <c r="F22" i="2"/>
  <c r="E22" i="2"/>
  <c r="D22" i="2"/>
  <c r="C22" i="2"/>
  <c r="N22" i="2" s="1"/>
  <c r="B22" i="2"/>
  <c r="L21" i="2"/>
  <c r="K21" i="2"/>
  <c r="J21" i="2"/>
  <c r="I21" i="2"/>
  <c r="N21" i="2" s="1"/>
  <c r="N20" i="2"/>
  <c r="M19" i="2"/>
  <c r="L19" i="2"/>
  <c r="J19" i="2"/>
  <c r="I19" i="2"/>
  <c r="F19" i="2"/>
  <c r="E19" i="2"/>
  <c r="D19" i="2"/>
  <c r="C19" i="2"/>
  <c r="N19" i="2" s="1"/>
  <c r="B19" i="2"/>
  <c r="N18" i="2"/>
  <c r="M17" i="2"/>
  <c r="M38" i="2" s="1"/>
  <c r="L17" i="2"/>
  <c r="L38" i="2" s="1"/>
  <c r="K17" i="2"/>
  <c r="J17" i="2"/>
  <c r="J38" i="2" s="1"/>
  <c r="I17" i="2"/>
  <c r="I38" i="2" s="1"/>
  <c r="F17" i="2"/>
  <c r="F38" i="2" s="1"/>
  <c r="E17" i="2"/>
  <c r="E38" i="2" s="1"/>
  <c r="D17" i="2"/>
  <c r="D38" i="2" s="1"/>
  <c r="C17" i="2"/>
  <c r="N17" i="2" s="1"/>
  <c r="B17" i="2"/>
  <c r="K16" i="2"/>
  <c r="K38" i="2" s="1"/>
  <c r="C16" i="2"/>
  <c r="B16" i="2"/>
  <c r="B38" i="2" s="1"/>
  <c r="H14" i="2"/>
  <c r="G14" i="2"/>
  <c r="N12" i="2"/>
  <c r="N11" i="2"/>
  <c r="N10" i="2"/>
  <c r="N9" i="2"/>
  <c r="M14" i="2"/>
  <c r="L14" i="2"/>
  <c r="K14" i="2"/>
  <c r="J14" i="2"/>
  <c r="I14" i="2"/>
  <c r="F14" i="2"/>
  <c r="E14" i="2"/>
  <c r="O18" i="1"/>
  <c r="O20" i="1"/>
  <c r="O21" i="1"/>
  <c r="O22" i="1"/>
  <c r="O23" i="1"/>
  <c r="O24" i="1"/>
  <c r="O27" i="1"/>
  <c r="O28" i="1"/>
  <c r="O29" i="1"/>
  <c r="O30" i="1"/>
  <c r="O33" i="1"/>
  <c r="O34" i="1"/>
  <c r="O35" i="1"/>
  <c r="O12" i="1"/>
  <c r="O10" i="1"/>
  <c r="O9" i="1"/>
  <c r="O11" i="1"/>
  <c r="B14" i="1"/>
  <c r="B32" i="1"/>
  <c r="B26" i="1"/>
  <c r="B19" i="1"/>
  <c r="B17" i="1"/>
  <c r="B16" i="1"/>
  <c r="H40" i="2" l="1"/>
  <c r="E40" i="3"/>
  <c r="F40" i="3"/>
  <c r="J40" i="3"/>
  <c r="G40" i="3"/>
  <c r="I40" i="3"/>
  <c r="K40" i="3"/>
  <c r="H40" i="3"/>
  <c r="D40" i="3"/>
  <c r="C40" i="3"/>
  <c r="B40" i="3"/>
  <c r="B42" i="3" s="1"/>
  <c r="C41" i="3" s="1"/>
  <c r="I40" i="2"/>
  <c r="K40" i="2"/>
  <c r="G40" i="2"/>
  <c r="M40" i="2"/>
  <c r="L40" i="2"/>
  <c r="J40" i="2"/>
  <c r="E40" i="2"/>
  <c r="F40" i="2"/>
  <c r="E40" i="1"/>
  <c r="D40" i="1"/>
  <c r="C38" i="1"/>
  <c r="C40" i="1" s="1"/>
  <c r="C42" i="1" s="1"/>
  <c r="F38" i="1"/>
  <c r="F40" i="1" s="1"/>
  <c r="O8" i="1"/>
  <c r="N8" i="3"/>
  <c r="N16" i="3"/>
  <c r="B40" i="2"/>
  <c r="B14" i="2"/>
  <c r="C14" i="2"/>
  <c r="D40" i="2"/>
  <c r="D14" i="2"/>
  <c r="C38" i="2"/>
  <c r="N16" i="2"/>
  <c r="O25" i="1"/>
  <c r="O19" i="1"/>
  <c r="C42" i="3" l="1"/>
  <c r="D41" i="3" s="1"/>
  <c r="D42" i="3" s="1"/>
  <c r="E41" i="3" s="1"/>
  <c r="E42" i="3" s="1"/>
  <c r="F41" i="3" s="1"/>
  <c r="F42" i="3" s="1"/>
  <c r="G41" i="3" s="1"/>
  <c r="G42" i="3" s="1"/>
  <c r="D41" i="1"/>
  <c r="D42" i="1" s="1"/>
  <c r="N38" i="3"/>
  <c r="N14" i="3"/>
  <c r="N38" i="2"/>
  <c r="C40" i="2"/>
  <c r="N14" i="2"/>
  <c r="O40" i="1"/>
  <c r="O14" i="1"/>
  <c r="O38" i="1"/>
  <c r="E41" i="1" l="1"/>
  <c r="E42" i="1" s="1"/>
  <c r="F41" i="1" s="1"/>
  <c r="F42" i="1" s="1"/>
  <c r="N40" i="3"/>
  <c r="C42" i="2"/>
  <c r="N40" i="2"/>
  <c r="O41" i="1" l="1"/>
  <c r="O42" i="1"/>
  <c r="D41" i="2"/>
  <c r="D42" i="2" l="1"/>
  <c r="E41" i="2" l="1"/>
  <c r="E42" i="2" l="1"/>
  <c r="F41" i="2" l="1"/>
  <c r="F42" i="2" l="1"/>
  <c r="G41" i="2" l="1"/>
  <c r="G42" i="2" l="1"/>
  <c r="H41" i="3" l="1"/>
  <c r="H41" i="2"/>
  <c r="H42" i="3" l="1"/>
  <c r="H42" i="2"/>
  <c r="I41" i="3" l="1"/>
  <c r="I41" i="2"/>
  <c r="I42" i="3" l="1"/>
  <c r="I42" i="2"/>
  <c r="J41" i="3" l="1"/>
  <c r="J41" i="2"/>
  <c r="J42" i="3" l="1"/>
  <c r="J42" i="2"/>
  <c r="K41" i="3" l="1"/>
  <c r="K41" i="2"/>
  <c r="K42" i="3" l="1"/>
  <c r="K42" i="2"/>
  <c r="L41" i="3" l="1"/>
  <c r="L41" i="2"/>
  <c r="L42" i="3" l="1"/>
  <c r="L42" i="2"/>
  <c r="M41" i="3" l="1"/>
  <c r="M41" i="2"/>
  <c r="M42" i="3" l="1"/>
  <c r="M42" i="2"/>
  <c r="N42" i="3" l="1"/>
  <c r="N41" i="3"/>
  <c r="N42" i="2"/>
  <c r="N41" i="2"/>
</calcChain>
</file>

<file path=xl/sharedStrings.xml><?xml version="1.0" encoding="utf-8"?>
<sst xmlns="http://schemas.openxmlformats.org/spreadsheetml/2006/main" count="102" uniqueCount="35">
  <si>
    <t>NAME: PERILECOSMETICS</t>
  </si>
  <si>
    <t>PROJECTED CASH FLOW STATEMENT FOR YEAR 1</t>
  </si>
  <si>
    <t>Month</t>
  </si>
  <si>
    <t>TOTAL</t>
  </si>
  <si>
    <t>Cash sales</t>
  </si>
  <si>
    <t>Owners back payment</t>
  </si>
  <si>
    <t>Credit/ detors</t>
  </si>
  <si>
    <t>Equity</t>
  </si>
  <si>
    <t>Loan</t>
  </si>
  <si>
    <t>Total Inflow</t>
  </si>
  <si>
    <t>Montly bank fees</t>
  </si>
  <si>
    <t>Bank charges</t>
  </si>
  <si>
    <t>Pay fast withdrawal</t>
  </si>
  <si>
    <t>Purchases (cash)</t>
  </si>
  <si>
    <t>Rebates</t>
  </si>
  <si>
    <t>Electricity &amp; water</t>
  </si>
  <si>
    <t>Telephone &amp; data</t>
  </si>
  <si>
    <t>Licences</t>
  </si>
  <si>
    <t>Salaries &amp; wages</t>
  </si>
  <si>
    <t>Owners' drawings</t>
  </si>
  <si>
    <t>Courier/ transport</t>
  </si>
  <si>
    <t>Insurance</t>
  </si>
  <si>
    <t>Loan interest</t>
  </si>
  <si>
    <t>Loan repayment</t>
  </si>
  <si>
    <t>Consultancy fees</t>
  </si>
  <si>
    <t>Promotion</t>
  </si>
  <si>
    <t>Packaging</t>
  </si>
  <si>
    <t>Sundries</t>
  </si>
  <si>
    <t>Provision for tax</t>
  </si>
  <si>
    <t>Repairs &amp; maintanance</t>
  </si>
  <si>
    <t>Total Outflow</t>
  </si>
  <si>
    <t>Net Cashflow</t>
  </si>
  <si>
    <t>Opening Balance</t>
  </si>
  <si>
    <t>Closing Balance</t>
  </si>
  <si>
    <t>Marketing consultancy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</si>
</sst>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B050"/>
      <name val="Arial"/>
      <family val="2"/>
    </font>
    <font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FFFF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7" fontId="9" fillId="0" borderId="0" xfId="0" applyNumberFormat="1" applyFont="1"/>
    <xf numFmtId="17" fontId="3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9" fillId="0" borderId="0" xfId="0" applyNumberFormat="1" applyFont="1"/>
    <xf numFmtId="164" fontId="3" fillId="0" borderId="0" xfId="0" applyNumberFormat="1" applyFont="1"/>
    <xf numFmtId="164" fontId="9" fillId="0" borderId="0" xfId="0" applyNumberFormat="1" applyFont="1" applyAlignment="1">
      <alignment horizontal="center"/>
    </xf>
    <xf numFmtId="164" fontId="2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3" fontId="0" fillId="0" borderId="0" xfId="0" applyNumberFormat="1" applyAlignment="1">
      <alignment horizontal="center"/>
    </xf>
    <xf numFmtId="0" fontId="3" fillId="0" borderId="0" xfId="0" applyFon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topLeftCell="A2" workbookViewId="0">
      <selection activeCell="L42" sqref="L42"/>
    </sheetView>
  </sheetViews>
  <sheetFormatPr baseColWidth="10" defaultColWidth="16.5" defaultRowHeight="15" x14ac:dyDescent="0.2"/>
  <cols>
    <col min="1" max="1" width="22.1640625" style="3" customWidth="1"/>
    <col min="2" max="2" width="13.33203125" style="3" customWidth="1"/>
    <col min="3" max="4" width="10.5" style="3" customWidth="1"/>
    <col min="5" max="5" width="12.1640625" style="3" customWidth="1"/>
    <col min="6" max="6" width="13.1640625" style="3" customWidth="1"/>
    <col min="7" max="7" width="11.1640625" style="3" customWidth="1"/>
    <col min="8" max="8" width="13.1640625" style="3" customWidth="1"/>
    <col min="9" max="9" width="11.83203125" style="3" customWidth="1"/>
    <col min="10" max="10" width="10.5" style="3" customWidth="1"/>
    <col min="11" max="11" width="11.1640625" style="3" customWidth="1"/>
    <col min="12" max="12" width="12" style="3" customWidth="1"/>
    <col min="13" max="13" width="10.83203125" style="3" customWidth="1"/>
    <col min="14" max="14" width="13.5" style="3" customWidth="1"/>
    <col min="15" max="16384" width="16.5" style="3"/>
  </cols>
  <sheetData>
    <row r="1" spans="1:15" ht="18" x14ac:dyDescent="0.2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8" x14ac:dyDescent="0.2">
      <c r="C2" s="16" t="s">
        <v>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4" spans="1:15" x14ac:dyDescent="0.2">
      <c r="A4" s="4"/>
      <c r="B4" s="4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5" x14ac:dyDescent="0.2">
      <c r="B5" s="1">
        <v>45047</v>
      </c>
      <c r="C5" s="1">
        <v>45078</v>
      </c>
      <c r="D5" s="1">
        <v>45108</v>
      </c>
      <c r="E5" s="1">
        <v>45139</v>
      </c>
      <c r="F5" s="1">
        <v>45170</v>
      </c>
      <c r="G5" s="2"/>
      <c r="H5" s="15"/>
      <c r="I5" s="1"/>
      <c r="J5" s="1"/>
      <c r="K5" s="1"/>
      <c r="L5" s="1"/>
      <c r="M5" s="1"/>
      <c r="N5" s="1"/>
    </row>
    <row r="6" spans="1:15" x14ac:dyDescent="0.2">
      <c r="A6" s="6" t="s">
        <v>2</v>
      </c>
      <c r="B6" s="6"/>
      <c r="C6" s="14">
        <v>1</v>
      </c>
      <c r="D6" s="14">
        <v>2</v>
      </c>
      <c r="E6" s="14">
        <v>3</v>
      </c>
      <c r="F6" s="14">
        <v>4</v>
      </c>
      <c r="G6" s="14"/>
      <c r="H6" s="14"/>
      <c r="I6" s="14"/>
      <c r="J6" s="14"/>
      <c r="K6" s="14"/>
      <c r="L6" s="14"/>
      <c r="M6" s="14"/>
      <c r="N6" s="14"/>
      <c r="O6" s="7" t="s">
        <v>3</v>
      </c>
    </row>
    <row r="7" spans="1:15" x14ac:dyDescent="0.2">
      <c r="O7" s="5"/>
    </row>
    <row r="8" spans="1:15" x14ac:dyDescent="0.2">
      <c r="A8" s="3" t="s">
        <v>4</v>
      </c>
      <c r="B8" s="3">
        <f>410+755.94+825.25+426.89+5031.24+407.96+4990</f>
        <v>12847.279999999999</v>
      </c>
      <c r="C8" s="3">
        <f>2135.16+300+419.98+100+342.96+486.58+10082.85+3000</f>
        <v>16867.53</v>
      </c>
      <c r="D8" s="3">
        <f>440.38+604.7+1119.18+1789.92+100+870+9307.93</f>
        <v>14232.11</v>
      </c>
      <c r="E8" s="3">
        <f>1890+488.67+758.42+604.13+825.74+244.86+1740+561.66+126.48+24135.44+5000</f>
        <v>36375.399999999994</v>
      </c>
      <c r="F8" s="3">
        <f>719.96+14996+4205</f>
        <v>19920.96</v>
      </c>
      <c r="O8" s="5">
        <f>SUM(B8:N8)</f>
        <v>100243.28</v>
      </c>
    </row>
    <row r="9" spans="1:15" x14ac:dyDescent="0.2">
      <c r="A9" s="8" t="s">
        <v>5</v>
      </c>
      <c r="O9" s="5">
        <f>SUM(C9:N9)</f>
        <v>0</v>
      </c>
    </row>
    <row r="10" spans="1:15" x14ac:dyDescent="0.2">
      <c r="A10" s="3" t="s">
        <v>6</v>
      </c>
      <c r="O10" s="5">
        <f>SUM(C10:N10)</f>
        <v>0</v>
      </c>
    </row>
    <row r="11" spans="1:15" x14ac:dyDescent="0.2">
      <c r="A11" s="3" t="s">
        <v>7</v>
      </c>
      <c r="O11" s="5">
        <f>SUM(B11:N11)</f>
        <v>0</v>
      </c>
    </row>
    <row r="12" spans="1:15" x14ac:dyDescent="0.2">
      <c r="A12" s="3" t="s">
        <v>8</v>
      </c>
      <c r="O12" s="5">
        <f>SUM(C12:N12)</f>
        <v>0</v>
      </c>
    </row>
    <row r="13" spans="1:15" x14ac:dyDescent="0.2">
      <c r="O13" s="5"/>
    </row>
    <row r="14" spans="1:15" x14ac:dyDescent="0.2">
      <c r="A14" s="6" t="s">
        <v>9</v>
      </c>
      <c r="B14" s="9">
        <f>SUM(B8:B13)</f>
        <v>12847.279999999999</v>
      </c>
      <c r="C14" s="9">
        <f>SUM(C8:C13)</f>
        <v>16867.53</v>
      </c>
      <c r="D14" s="9">
        <f>SUM(D8:D13)</f>
        <v>14232.11</v>
      </c>
      <c r="E14" s="9">
        <f>SUM(E8:E9)</f>
        <v>36375.399999999994</v>
      </c>
      <c r="F14" s="9">
        <f t="shared" ref="F14:G14" si="0">SUM(F8:F13)</f>
        <v>19920.96</v>
      </c>
      <c r="G14" s="9"/>
      <c r="H14" s="9"/>
      <c r="I14" s="9"/>
      <c r="J14" s="9"/>
      <c r="K14" s="9"/>
      <c r="L14" s="9"/>
      <c r="M14" s="9"/>
      <c r="N14" s="9"/>
      <c r="O14" s="9">
        <f>SUM(B14:N14)</f>
        <v>100243.28</v>
      </c>
    </row>
    <row r="15" spans="1:15" x14ac:dyDescent="0.2">
      <c r="A15" s="6"/>
      <c r="B15" s="6"/>
      <c r="O15" s="5"/>
    </row>
    <row r="16" spans="1:15" x14ac:dyDescent="0.2">
      <c r="A16" s="3" t="s">
        <v>10</v>
      </c>
      <c r="B16" s="3">
        <f>210</f>
        <v>210</v>
      </c>
      <c r="C16" s="3">
        <f>210</f>
        <v>210</v>
      </c>
      <c r="D16" s="3">
        <v>210</v>
      </c>
      <c r="E16" s="3">
        <v>210</v>
      </c>
      <c r="F16" s="3">
        <v>210</v>
      </c>
      <c r="O16" s="5">
        <f>SUM(C16:N16)</f>
        <v>840</v>
      </c>
    </row>
    <row r="17" spans="1:15" x14ac:dyDescent="0.2">
      <c r="A17" s="3" t="s">
        <v>11</v>
      </c>
      <c r="B17" s="3">
        <f>3.8+9+8.5+1.35</f>
        <v>22.650000000000002</v>
      </c>
      <c r="C17" s="3">
        <f>3.8+9+1.1+24.7+9+1.35</f>
        <v>48.95</v>
      </c>
      <c r="D17" s="3">
        <f>1.35+24.7+9+1.35+1.35+1.1</f>
        <v>38.85</v>
      </c>
      <c r="E17" s="3">
        <f>8.5+8+1.35+1.35+1.35+1.35+0.22</f>
        <v>22.120000000000005</v>
      </c>
      <c r="F17" s="3">
        <f>31+10+1.1+10+1.36+1.35</f>
        <v>54.81</v>
      </c>
      <c r="O17" s="5">
        <f t="shared" ref="O17:O35" si="1">SUM(C17:N17)</f>
        <v>164.73000000000002</v>
      </c>
    </row>
    <row r="18" spans="1:15" x14ac:dyDescent="0.2">
      <c r="A18" s="3" t="s">
        <v>12</v>
      </c>
      <c r="O18" s="5">
        <f t="shared" si="1"/>
        <v>0</v>
      </c>
    </row>
    <row r="19" spans="1:15" x14ac:dyDescent="0.2">
      <c r="A19" s="8" t="s">
        <v>13</v>
      </c>
      <c r="B19" s="3">
        <f>99+50+189.83</f>
        <v>338.83000000000004</v>
      </c>
      <c r="C19" s="3">
        <f>200+650+430+1250</f>
        <v>2530</v>
      </c>
      <c r="D19" s="3">
        <f>9890</f>
        <v>9890</v>
      </c>
      <c r="E19" s="3">
        <f>500+992+120.33+25+13199.96+29.99</f>
        <v>14867.279999999999</v>
      </c>
      <c r="F19" s="3">
        <v>650</v>
      </c>
      <c r="O19" s="5">
        <f t="shared" si="1"/>
        <v>27937.279999999999</v>
      </c>
    </row>
    <row r="20" spans="1:15" x14ac:dyDescent="0.2">
      <c r="A20" s="3" t="s">
        <v>14</v>
      </c>
      <c r="B20" s="3">
        <v>1563</v>
      </c>
      <c r="C20" s="3">
        <v>1628</v>
      </c>
      <c r="D20" s="3">
        <v>1426</v>
      </c>
      <c r="E20" s="3">
        <v>1434</v>
      </c>
      <c r="F20" s="3">
        <v>1278</v>
      </c>
      <c r="O20" s="5">
        <f t="shared" si="1"/>
        <v>5766</v>
      </c>
    </row>
    <row r="21" spans="1:15" x14ac:dyDescent="0.2">
      <c r="A21" s="3" t="s">
        <v>15</v>
      </c>
      <c r="B21" s="3">
        <v>500</v>
      </c>
      <c r="C21" s="3">
        <v>500</v>
      </c>
      <c r="D21" s="3">
        <v>500</v>
      </c>
      <c r="E21" s="3">
        <v>500</v>
      </c>
      <c r="F21" s="3">
        <v>500</v>
      </c>
      <c r="O21" s="5">
        <f t="shared" si="1"/>
        <v>2000</v>
      </c>
    </row>
    <row r="22" spans="1:15" x14ac:dyDescent="0.2">
      <c r="A22" s="8" t="s">
        <v>16</v>
      </c>
      <c r="B22" s="3">
        <v>226</v>
      </c>
      <c r="C22" s="3">
        <f>130+150+20</f>
        <v>300</v>
      </c>
      <c r="D22" s="3">
        <f>30+30+40</f>
        <v>100</v>
      </c>
      <c r="E22" s="3">
        <f>29+30+30+30+30</f>
        <v>149</v>
      </c>
      <c r="F22" s="3">
        <f>30+10+30+30+30+30+30+30+30+30+30+30+30+30+30+30+30+30+30</f>
        <v>550</v>
      </c>
      <c r="O22" s="5">
        <f t="shared" si="1"/>
        <v>1099</v>
      </c>
    </row>
    <row r="23" spans="1:15" x14ac:dyDescent="0.2">
      <c r="A23" s="3" t="s">
        <v>17</v>
      </c>
      <c r="O23" s="5">
        <f t="shared" si="1"/>
        <v>0</v>
      </c>
    </row>
    <row r="24" spans="1:15" x14ac:dyDescent="0.2">
      <c r="A24" s="3" t="s">
        <v>18</v>
      </c>
      <c r="B24" s="3">
        <v>7000</v>
      </c>
      <c r="C24" s="3">
        <v>7000</v>
      </c>
      <c r="D24" s="3">
        <v>7000</v>
      </c>
      <c r="E24" s="3">
        <v>7000</v>
      </c>
      <c r="F24" s="3">
        <v>7000</v>
      </c>
      <c r="O24" s="5">
        <f t="shared" si="1"/>
        <v>28000</v>
      </c>
    </row>
    <row r="25" spans="1:15" x14ac:dyDescent="0.2">
      <c r="A25" s="3" t="s">
        <v>19</v>
      </c>
      <c r="O25" s="5">
        <f t="shared" si="1"/>
        <v>0</v>
      </c>
    </row>
    <row r="26" spans="1:15" x14ac:dyDescent="0.2">
      <c r="A26" s="3" t="s">
        <v>20</v>
      </c>
      <c r="B26" s="3">
        <f>80+1000</f>
        <v>1080</v>
      </c>
      <c r="C26" s="3">
        <f>100+500+500+300</f>
        <v>1400</v>
      </c>
      <c r="D26" s="3">
        <f>300</f>
        <v>300</v>
      </c>
      <c r="E26" s="3">
        <v>300</v>
      </c>
      <c r="F26" s="3">
        <f>200+66.8+200+150+200+100+100</f>
        <v>1016.8</v>
      </c>
      <c r="O26" s="5">
        <f t="shared" si="1"/>
        <v>3016.8</v>
      </c>
    </row>
    <row r="27" spans="1:15" x14ac:dyDescent="0.2">
      <c r="A27" s="3" t="s">
        <v>21</v>
      </c>
      <c r="O27" s="5">
        <f t="shared" si="1"/>
        <v>0</v>
      </c>
    </row>
    <row r="28" spans="1:15" x14ac:dyDescent="0.2">
      <c r="A28" s="3" t="s">
        <v>22</v>
      </c>
      <c r="O28" s="5">
        <f t="shared" si="1"/>
        <v>0</v>
      </c>
    </row>
    <row r="29" spans="1:15" x14ac:dyDescent="0.2">
      <c r="A29" s="3" t="s">
        <v>23</v>
      </c>
      <c r="O29" s="5">
        <f t="shared" si="1"/>
        <v>0</v>
      </c>
    </row>
    <row r="30" spans="1:15" x14ac:dyDescent="0.2">
      <c r="A30" s="8" t="s">
        <v>34</v>
      </c>
      <c r="C30" s="3">
        <v>1500</v>
      </c>
      <c r="O30" s="5">
        <f t="shared" si="1"/>
        <v>1500</v>
      </c>
    </row>
    <row r="31" spans="1:15" x14ac:dyDescent="0.2">
      <c r="A31" s="3" t="s">
        <v>25</v>
      </c>
      <c r="C31" s="3">
        <v>500</v>
      </c>
      <c r="D31" s="3">
        <v>500</v>
      </c>
      <c r="E31" s="3">
        <v>400</v>
      </c>
      <c r="F31" s="3">
        <v>1456</v>
      </c>
      <c r="O31" s="5">
        <f t="shared" si="1"/>
        <v>2856</v>
      </c>
    </row>
    <row r="32" spans="1:15" x14ac:dyDescent="0.2">
      <c r="A32" s="3" t="s">
        <v>26</v>
      </c>
      <c r="B32" s="3">
        <f>934.42+549.36</f>
        <v>1483.78</v>
      </c>
      <c r="C32" s="3">
        <f>200+300+1113</f>
        <v>1613</v>
      </c>
      <c r="D32" s="3">
        <f>390.7+2002.73</f>
        <v>2393.4299999999998</v>
      </c>
      <c r="E32" s="3">
        <f>150+1694.93</f>
        <v>1844.93</v>
      </c>
      <c r="F32" s="3">
        <f>81+15+36+400</f>
        <v>532</v>
      </c>
      <c r="O32" s="5">
        <f t="shared" si="1"/>
        <v>6383.36</v>
      </c>
    </row>
    <row r="33" spans="1:15" x14ac:dyDescent="0.2">
      <c r="A33" s="3" t="s">
        <v>27</v>
      </c>
      <c r="O33" s="5">
        <f t="shared" si="1"/>
        <v>0</v>
      </c>
    </row>
    <row r="34" spans="1:15" x14ac:dyDescent="0.2">
      <c r="A34" s="8" t="s">
        <v>28</v>
      </c>
      <c r="B34" s="8"/>
      <c r="O34" s="5">
        <f t="shared" si="1"/>
        <v>0</v>
      </c>
    </row>
    <row r="35" spans="1:15" x14ac:dyDescent="0.2">
      <c r="A35" s="3" t="s">
        <v>29</v>
      </c>
      <c r="O35" s="5">
        <f t="shared" si="1"/>
        <v>0</v>
      </c>
    </row>
    <row r="36" spans="1:15" x14ac:dyDescent="0.2">
      <c r="O36" s="5"/>
    </row>
    <row r="37" spans="1:15" x14ac:dyDescent="0.2">
      <c r="O37" s="5"/>
    </row>
    <row r="38" spans="1:15" x14ac:dyDescent="0.2">
      <c r="A38" s="6" t="s">
        <v>30</v>
      </c>
      <c r="B38" s="10">
        <f>SUM(B16:B35)</f>
        <v>12424.26</v>
      </c>
      <c r="C38" s="10">
        <f>SUM(C16:C32)</f>
        <v>17229.95</v>
      </c>
      <c r="D38" s="10">
        <f>SUM(D16:D35)</f>
        <v>22358.28</v>
      </c>
      <c r="E38" s="10">
        <f>SUM(E16:E32)</f>
        <v>26727.33</v>
      </c>
      <c r="F38" s="10">
        <f>SUM(F16:F32)</f>
        <v>13247.609999999999</v>
      </c>
      <c r="G38" s="10"/>
      <c r="H38" s="10"/>
      <c r="I38" s="10"/>
      <c r="J38" s="10"/>
      <c r="K38" s="10"/>
      <c r="L38" s="10"/>
      <c r="M38" s="10"/>
      <c r="N38" s="10"/>
      <c r="O38" s="6">
        <f>SUM(C38:N38)</f>
        <v>79563.17</v>
      </c>
    </row>
    <row r="39" spans="1:15" x14ac:dyDescent="0.2">
      <c r="O39" s="5"/>
    </row>
    <row r="40" spans="1:15" x14ac:dyDescent="0.2">
      <c r="A40" s="6" t="s">
        <v>31</v>
      </c>
      <c r="B40" s="11">
        <f>B8-B38</f>
        <v>423.01999999999862</v>
      </c>
      <c r="C40" s="11">
        <f>C8-C38</f>
        <v>-362.42000000000189</v>
      </c>
      <c r="D40" s="11">
        <f>D8-D38</f>
        <v>-8126.1699999999983</v>
      </c>
      <c r="E40" s="11">
        <f>E14-E38</f>
        <v>9648.0699999999924</v>
      </c>
      <c r="F40" s="11">
        <f>F14-F38</f>
        <v>6673.35</v>
      </c>
      <c r="G40" s="11"/>
      <c r="H40" s="11"/>
      <c r="I40" s="11"/>
      <c r="J40" s="11"/>
      <c r="K40" s="11"/>
      <c r="L40" s="11"/>
      <c r="M40" s="11"/>
      <c r="N40" s="11"/>
      <c r="O40" s="6">
        <f>SUM(C40:N40)</f>
        <v>7832.8299999999927</v>
      </c>
    </row>
    <row r="41" spans="1:15" x14ac:dyDescent="0.2">
      <c r="A41" s="6" t="s">
        <v>32</v>
      </c>
      <c r="B41" s="12"/>
      <c r="C41" s="12">
        <v>1560.94</v>
      </c>
      <c r="D41" s="12">
        <f t="shared" ref="D41:F41" si="2">C42</f>
        <v>1198.5199999999982</v>
      </c>
      <c r="E41" s="12">
        <f t="shared" si="2"/>
        <v>-6927.65</v>
      </c>
      <c r="F41" s="12">
        <f t="shared" si="2"/>
        <v>2720.4199999999928</v>
      </c>
      <c r="G41" s="12"/>
      <c r="H41" s="12"/>
      <c r="I41" s="12"/>
      <c r="J41" s="12"/>
      <c r="K41" s="12"/>
      <c r="L41" s="12"/>
      <c r="M41" s="12"/>
      <c r="N41" s="12"/>
      <c r="O41" s="6">
        <f>SUM(C41:N41)</f>
        <v>-1447.7700000000086</v>
      </c>
    </row>
    <row r="42" spans="1:15" x14ac:dyDescent="0.2">
      <c r="A42" s="6" t="s">
        <v>33</v>
      </c>
      <c r="B42" s="13"/>
      <c r="C42" s="13">
        <f>C40+C41</f>
        <v>1198.5199999999982</v>
      </c>
      <c r="D42" s="13">
        <f t="shared" ref="C42:F42" si="3">D40+D41</f>
        <v>-6927.65</v>
      </c>
      <c r="E42" s="13">
        <f t="shared" si="3"/>
        <v>2720.4199999999928</v>
      </c>
      <c r="F42" s="13">
        <f t="shared" si="3"/>
        <v>9393.7699999999932</v>
      </c>
      <c r="G42" s="13"/>
      <c r="H42" s="13"/>
      <c r="I42" s="13"/>
      <c r="J42" s="13"/>
      <c r="K42" s="13"/>
      <c r="L42" s="13"/>
      <c r="M42" s="13"/>
      <c r="N42" s="13"/>
      <c r="O42" s="6">
        <f>SUM(C42:N42)</f>
        <v>6385.0599999999849</v>
      </c>
    </row>
  </sheetData>
  <mergeCells count="4">
    <mergeCell ref="A1:O1"/>
    <mergeCell ref="C2:O2"/>
    <mergeCell ref="F4:K4"/>
    <mergeCell ref="L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B8D79-D01F-4FAF-A947-2FEB864708BE}">
  <dimension ref="A1:O42"/>
  <sheetViews>
    <sheetView workbookViewId="0">
      <selection activeCell="P27" sqref="P27"/>
    </sheetView>
  </sheetViews>
  <sheetFormatPr baseColWidth="10" defaultColWidth="16.5" defaultRowHeight="15" x14ac:dyDescent="0.2"/>
  <cols>
    <col min="1" max="1" width="24.6640625" style="3" customWidth="1"/>
    <col min="2" max="2" width="11.5" style="3" customWidth="1"/>
    <col min="3" max="4" width="10.5" style="3" customWidth="1"/>
    <col min="5" max="5" width="12.1640625" style="3" customWidth="1"/>
    <col min="6" max="6" width="13.1640625" style="3" customWidth="1"/>
    <col min="7" max="7" width="11.1640625" style="3" customWidth="1"/>
    <col min="8" max="8" width="13.1640625" style="3" customWidth="1"/>
    <col min="9" max="9" width="11.83203125" style="3" customWidth="1"/>
    <col min="10" max="10" width="10.5" style="3" customWidth="1"/>
    <col min="11" max="11" width="11.1640625" style="3" customWidth="1"/>
    <col min="12" max="12" width="12" style="3" customWidth="1"/>
    <col min="13" max="13" width="10.83203125" style="3" customWidth="1"/>
    <col min="14" max="16384" width="16.5" style="3"/>
  </cols>
  <sheetData>
    <row r="1" spans="1:15" ht="18" x14ac:dyDescent="0.2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5" ht="18" x14ac:dyDescent="0.2">
      <c r="C2" s="16" t="s">
        <v>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4" spans="1:15" x14ac:dyDescent="0.2">
      <c r="A4" s="4"/>
      <c r="B4" s="4"/>
      <c r="F4" s="17"/>
      <c r="G4" s="17"/>
      <c r="H4" s="17"/>
      <c r="I4" s="17"/>
      <c r="J4" s="17"/>
      <c r="K4" s="17"/>
      <c r="L4" s="17"/>
      <c r="M4" s="17"/>
      <c r="N4" s="17"/>
    </row>
    <row r="5" spans="1:15" x14ac:dyDescent="0.2">
      <c r="B5" s="1">
        <v>44682</v>
      </c>
      <c r="C5" s="1">
        <v>44713</v>
      </c>
      <c r="D5" s="1">
        <v>44743</v>
      </c>
      <c r="E5" s="1">
        <v>44774</v>
      </c>
      <c r="F5" s="1">
        <v>44805</v>
      </c>
      <c r="G5" s="1">
        <v>44835</v>
      </c>
      <c r="H5" s="1">
        <v>44866</v>
      </c>
      <c r="I5" s="1">
        <v>44896</v>
      </c>
      <c r="J5" s="1">
        <v>44927</v>
      </c>
      <c r="K5" s="1">
        <v>44958</v>
      </c>
      <c r="L5" s="1">
        <v>44986</v>
      </c>
      <c r="M5" s="1">
        <v>45017</v>
      </c>
      <c r="N5" s="1"/>
      <c r="O5" s="1"/>
    </row>
    <row r="6" spans="1:15" x14ac:dyDescent="0.2">
      <c r="A6" s="6" t="s">
        <v>2</v>
      </c>
      <c r="B6" s="6"/>
      <c r="C6" s="14">
        <v>1</v>
      </c>
      <c r="D6" s="14">
        <v>2</v>
      </c>
      <c r="E6" s="14">
        <v>3</v>
      </c>
      <c r="F6" s="14">
        <v>4</v>
      </c>
      <c r="G6" s="14">
        <v>5</v>
      </c>
      <c r="H6" s="14">
        <v>6</v>
      </c>
      <c r="I6" s="14">
        <v>7</v>
      </c>
      <c r="J6" s="14">
        <v>8</v>
      </c>
      <c r="K6" s="14">
        <v>9</v>
      </c>
      <c r="L6" s="14">
        <v>10</v>
      </c>
      <c r="M6" s="14">
        <v>11</v>
      </c>
      <c r="N6" s="7" t="s">
        <v>3</v>
      </c>
    </row>
    <row r="7" spans="1:15" x14ac:dyDescent="0.2">
      <c r="N7" s="5"/>
    </row>
    <row r="8" spans="1:15" x14ac:dyDescent="0.2">
      <c r="A8" s="3" t="s">
        <v>4</v>
      </c>
      <c r="B8" s="3">
        <f>116.9+306.1+966.04</f>
        <v>1389.04</v>
      </c>
      <c r="C8" s="3">
        <f>782.82+3440+565.62+1500</f>
        <v>6288.44</v>
      </c>
      <c r="D8" s="3">
        <f>4622.64+425.96</f>
        <v>5048.6000000000004</v>
      </c>
      <c r="E8" s="3">
        <f>1482.91+5500+500+176.8</f>
        <v>7659.71</v>
      </c>
      <c r="F8" s="3">
        <f>287.78+350+500+2256.16+704.64+103.42</f>
        <v>4202</v>
      </c>
      <c r="G8" s="3">
        <f>4437.51+450+860+532.94+2843.53+688.16</f>
        <v>9812.1400000000012</v>
      </c>
      <c r="H8" s="3">
        <f>4166.3+950+257.5+293.02+4200+392.24</f>
        <v>10259.06</v>
      </c>
      <c r="I8" s="3">
        <f>2574.06+415.36+8000+2100+980.12+149.24+251.62</f>
        <v>14470.400000000001</v>
      </c>
      <c r="J8" s="3">
        <f>10913.32+100+100+100+200+200+180+896.53+400</f>
        <v>13089.85</v>
      </c>
      <c r="K8" s="3">
        <f>1605+1482+1923+165.84+593.54+353.7+409.58+380.67+710.06+1813.9</f>
        <v>9437.2899999999991</v>
      </c>
      <c r="L8" s="3">
        <f>582.72+409.58+325.14+3306+2411</f>
        <v>7034.4400000000005</v>
      </c>
      <c r="M8" s="3">
        <f>4684.35+1219.96+3570+1187.94+886.9+602.3+5041.52</f>
        <v>17192.97</v>
      </c>
      <c r="N8" s="5">
        <f>SUM(B8:M8)</f>
        <v>105883.94</v>
      </c>
    </row>
    <row r="9" spans="1:15" x14ac:dyDescent="0.2">
      <c r="A9" s="8" t="s">
        <v>5</v>
      </c>
      <c r="N9" s="5">
        <f>SUM(C9:M9)</f>
        <v>0</v>
      </c>
    </row>
    <row r="10" spans="1:15" x14ac:dyDescent="0.2">
      <c r="A10" s="3" t="s">
        <v>6</v>
      </c>
      <c r="N10" s="5">
        <f>SUM(C10:M10)</f>
        <v>0</v>
      </c>
    </row>
    <row r="11" spans="1:15" x14ac:dyDescent="0.2">
      <c r="A11" s="3" t="s">
        <v>7</v>
      </c>
      <c r="N11" s="5">
        <f>SUM(B11:M11)</f>
        <v>0</v>
      </c>
    </row>
    <row r="12" spans="1:15" x14ac:dyDescent="0.2">
      <c r="A12" s="3" t="s">
        <v>8</v>
      </c>
      <c r="N12" s="5">
        <f>SUM(C12:M12)</f>
        <v>0</v>
      </c>
    </row>
    <row r="13" spans="1:15" x14ac:dyDescent="0.2">
      <c r="N13" s="5"/>
    </row>
    <row r="14" spans="1:15" x14ac:dyDescent="0.2">
      <c r="A14" s="6" t="s">
        <v>9</v>
      </c>
      <c r="B14" s="9">
        <f>SUM(B8:B13)</f>
        <v>1389.04</v>
      </c>
      <c r="C14" s="9">
        <f>SUM(C8:C13)</f>
        <v>6288.44</v>
      </c>
      <c r="D14" s="9">
        <f>SUM(D8:D13)</f>
        <v>5048.6000000000004</v>
      </c>
      <c r="E14" s="9">
        <f>SUM(E8:E9)</f>
        <v>7659.71</v>
      </c>
      <c r="F14" s="9">
        <f t="shared" ref="F14:M14" si="0">SUM(F8:F13)</f>
        <v>4202</v>
      </c>
      <c r="G14" s="9">
        <f t="shared" si="0"/>
        <v>9812.1400000000012</v>
      </c>
      <c r="H14" s="9">
        <f t="shared" si="0"/>
        <v>10259.06</v>
      </c>
      <c r="I14" s="9">
        <f t="shared" si="0"/>
        <v>14470.400000000001</v>
      </c>
      <c r="J14" s="9">
        <f t="shared" si="0"/>
        <v>13089.85</v>
      </c>
      <c r="K14" s="9">
        <f t="shared" si="0"/>
        <v>9437.2899999999991</v>
      </c>
      <c r="L14" s="9">
        <f t="shared" si="0"/>
        <v>7034.4400000000005</v>
      </c>
      <c r="M14" s="9">
        <f t="shared" si="0"/>
        <v>17192.97</v>
      </c>
      <c r="N14" s="9">
        <f>SUM(B14:M14)</f>
        <v>105883.94</v>
      </c>
    </row>
    <row r="15" spans="1:15" x14ac:dyDescent="0.2">
      <c r="A15" s="6"/>
      <c r="B15" s="6"/>
      <c r="N15" s="5"/>
    </row>
    <row r="16" spans="1:15" x14ac:dyDescent="0.2">
      <c r="A16" s="3" t="s">
        <v>10</v>
      </c>
      <c r="B16" s="3">
        <f>210</f>
        <v>210</v>
      </c>
      <c r="C16" s="3">
        <f>210</f>
        <v>210</v>
      </c>
      <c r="D16" s="3">
        <v>210</v>
      </c>
      <c r="E16" s="3">
        <v>210</v>
      </c>
      <c r="F16" s="3">
        <v>210</v>
      </c>
      <c r="G16" s="3">
        <v>210</v>
      </c>
      <c r="H16" s="3">
        <v>210</v>
      </c>
      <c r="I16" s="3">
        <v>268</v>
      </c>
      <c r="J16" s="3">
        <v>268</v>
      </c>
      <c r="K16" s="3">
        <f>268</f>
        <v>268</v>
      </c>
      <c r="L16" s="3">
        <v>268</v>
      </c>
      <c r="M16" s="3">
        <v>268</v>
      </c>
      <c r="N16" s="5">
        <f t="shared" ref="N16:N35" si="1">SUM(C16:M16)</f>
        <v>2600</v>
      </c>
    </row>
    <row r="17" spans="1:14" x14ac:dyDescent="0.2">
      <c r="A17" s="3" t="s">
        <v>11</v>
      </c>
      <c r="B17" s="3">
        <f>3.8+9+8.5+1.35</f>
        <v>22.650000000000002</v>
      </c>
      <c r="C17" s="3">
        <f>3.8+9+1.1+24.7+9+1.35</f>
        <v>48.95</v>
      </c>
      <c r="D17" s="3">
        <f>1.35+24.7+9+1.35+1.35+1.1</f>
        <v>38.85</v>
      </c>
      <c r="E17" s="3">
        <f>8.5+8+1.35+1.35+1.35+1.35+0.22</f>
        <v>22.120000000000005</v>
      </c>
      <c r="F17" s="3">
        <f>31+10+1.1+10+1.36+1.35</f>
        <v>54.81</v>
      </c>
      <c r="G17" s="3">
        <v>53</v>
      </c>
      <c r="H17" s="3">
        <v>47</v>
      </c>
      <c r="I17" s="3">
        <f>1.35+1.35+1.35+1.35+23</f>
        <v>28.4</v>
      </c>
      <c r="J17" s="3">
        <f>10+10+1.35+1.35+10+1.35+1.35+1.1+1.35+10+10+1.35+1.35+1.1+8+28.5</f>
        <v>98.15</v>
      </c>
      <c r="K17" s="3">
        <f>1.35+1.35+1.35+10+1.35+23</f>
        <v>38.4</v>
      </c>
      <c r="L17" s="3">
        <f>1.1+1.35+1.59+1.35+1.35+20</f>
        <v>26.740000000000002</v>
      </c>
      <c r="M17" s="3">
        <f>1.35+1.35+8+17.5</f>
        <v>28.2</v>
      </c>
      <c r="N17" s="5">
        <f t="shared" si="1"/>
        <v>484.61999999999995</v>
      </c>
    </row>
    <row r="18" spans="1:14" x14ac:dyDescent="0.2">
      <c r="A18" s="3" t="s">
        <v>12</v>
      </c>
      <c r="N18" s="5">
        <f t="shared" si="1"/>
        <v>0</v>
      </c>
    </row>
    <row r="19" spans="1:14" x14ac:dyDescent="0.2">
      <c r="A19" s="8" t="s">
        <v>13</v>
      </c>
      <c r="B19" s="3">
        <f>99+50+189.83</f>
        <v>338.83000000000004</v>
      </c>
      <c r="C19" s="3">
        <f>200+650+430+1250</f>
        <v>2530</v>
      </c>
      <c r="D19" s="3">
        <f>99.99+195+111.6+1400+1650+93.74+1000+50.87</f>
        <v>4601.2</v>
      </c>
      <c r="E19" s="3">
        <f>500+992+120.33+25+13199.96+29.99</f>
        <v>14867.279999999999</v>
      </c>
      <c r="F19" s="3">
        <f>89+99.99+319.96+620+48.9+432+730.75+110.4+199.98+161.9+48.9+86+99.99+247+281.99+180+129.98</f>
        <v>3886.7400000000002</v>
      </c>
      <c r="G19" s="3">
        <v>250</v>
      </c>
      <c r="H19" s="3">
        <v>2600</v>
      </c>
      <c r="I19" s="3">
        <f>9+1275+8.3+9.9+296.52+137.81+14+17.6</f>
        <v>1768.1299999999999</v>
      </c>
      <c r="J19" s="3">
        <f>255.9+15.99+12+131.97</f>
        <v>415.86</v>
      </c>
      <c r="L19" s="3">
        <f>1000+200+52+100+221+300</f>
        <v>1873</v>
      </c>
      <c r="M19" s="3">
        <f>700+100+500+450+200</f>
        <v>1950</v>
      </c>
      <c r="N19" s="5">
        <f t="shared" si="1"/>
        <v>34742.210000000006</v>
      </c>
    </row>
    <row r="20" spans="1:14" x14ac:dyDescent="0.2">
      <c r="A20" s="3" t="s">
        <v>14</v>
      </c>
      <c r="N20" s="5">
        <f t="shared" si="1"/>
        <v>0</v>
      </c>
    </row>
    <row r="21" spans="1:14" x14ac:dyDescent="0.2">
      <c r="A21" s="3" t="s">
        <v>15</v>
      </c>
      <c r="E21" s="3">
        <v>200</v>
      </c>
      <c r="G21" s="3">
        <v>200</v>
      </c>
      <c r="I21" s="3">
        <f>200</f>
        <v>200</v>
      </c>
      <c r="J21" s="3">
        <f>220+90</f>
        <v>310</v>
      </c>
      <c r="K21" s="3">
        <f>200+300</f>
        <v>500</v>
      </c>
      <c r="L21" s="3">
        <f>250+250</f>
        <v>500</v>
      </c>
      <c r="N21" s="5">
        <f t="shared" si="1"/>
        <v>1910</v>
      </c>
    </row>
    <row r="22" spans="1:14" x14ac:dyDescent="0.2">
      <c r="A22" s="8" t="s">
        <v>16</v>
      </c>
      <c r="B22" s="3">
        <f>40+30</f>
        <v>70</v>
      </c>
      <c r="C22" s="3">
        <f>130+150+20</f>
        <v>300</v>
      </c>
      <c r="D22" s="3">
        <f>30+30+40</f>
        <v>100</v>
      </c>
      <c r="E22" s="3">
        <f>29+30+30+30+30</f>
        <v>149</v>
      </c>
      <c r="F22" s="3">
        <f>30+10+30+30+30+30+30+30+30+30+30+30+30+30+30+30+30+30+30</f>
        <v>550</v>
      </c>
      <c r="G22" s="3">
        <v>100</v>
      </c>
      <c r="H22" s="3">
        <v>360</v>
      </c>
      <c r="I22" s="3">
        <f>30+30</f>
        <v>60</v>
      </c>
      <c r="J22" s="3">
        <f>150+30</f>
        <v>180</v>
      </c>
      <c r="M22" s="3">
        <f>30+200</f>
        <v>230</v>
      </c>
      <c r="N22" s="5">
        <f t="shared" si="1"/>
        <v>2029</v>
      </c>
    </row>
    <row r="23" spans="1:14" x14ac:dyDescent="0.2">
      <c r="A23" s="3" t="s">
        <v>17</v>
      </c>
      <c r="N23" s="5">
        <f t="shared" si="1"/>
        <v>0</v>
      </c>
    </row>
    <row r="24" spans="1:14" x14ac:dyDescent="0.2">
      <c r="A24" s="3" t="s">
        <v>18</v>
      </c>
      <c r="B24" s="3">
        <v>2500</v>
      </c>
      <c r="C24" s="3">
        <v>2000</v>
      </c>
      <c r="D24" s="3">
        <v>2000</v>
      </c>
      <c r="E24" s="3">
        <v>2000</v>
      </c>
      <c r="F24" s="3">
        <v>2000</v>
      </c>
      <c r="G24" s="3">
        <v>2000</v>
      </c>
      <c r="H24" s="3">
        <v>2000</v>
      </c>
      <c r="I24" s="3">
        <v>2000</v>
      </c>
      <c r="J24" s="3">
        <v>2000</v>
      </c>
      <c r="K24" s="3">
        <v>2000</v>
      </c>
      <c r="L24" s="3">
        <v>2000</v>
      </c>
      <c r="M24" s="3">
        <v>2000</v>
      </c>
      <c r="N24" s="5">
        <f>SUM(B24:M24)</f>
        <v>24500</v>
      </c>
    </row>
    <row r="25" spans="1:14" x14ac:dyDescent="0.2">
      <c r="A25" s="3" t="s">
        <v>19</v>
      </c>
      <c r="N25" s="5">
        <f>SUM(C24:M24)</f>
        <v>22000</v>
      </c>
    </row>
    <row r="26" spans="1:14" x14ac:dyDescent="0.2">
      <c r="A26" s="3" t="s">
        <v>20</v>
      </c>
      <c r="B26" s="3">
        <v>600</v>
      </c>
      <c r="C26" s="3">
        <v>500</v>
      </c>
      <c r="D26" s="3">
        <f>300</f>
        <v>300</v>
      </c>
      <c r="E26" s="3">
        <v>300</v>
      </c>
      <c r="F26" s="3">
        <v>250</v>
      </c>
      <c r="G26" s="3">
        <v>600</v>
      </c>
      <c r="H26" s="3">
        <v>500</v>
      </c>
      <c r="I26" s="3">
        <v>800</v>
      </c>
      <c r="J26" s="3">
        <f>100+150</f>
        <v>250</v>
      </c>
      <c r="N26" s="5">
        <f t="shared" si="1"/>
        <v>3500</v>
      </c>
    </row>
    <row r="27" spans="1:14" x14ac:dyDescent="0.2">
      <c r="A27" s="3" t="s">
        <v>21</v>
      </c>
      <c r="N27" s="5">
        <f t="shared" si="1"/>
        <v>0</v>
      </c>
    </row>
    <row r="28" spans="1:14" x14ac:dyDescent="0.2">
      <c r="A28" s="3" t="s">
        <v>22</v>
      </c>
      <c r="N28" s="5">
        <f t="shared" si="1"/>
        <v>0</v>
      </c>
    </row>
    <row r="29" spans="1:14" x14ac:dyDescent="0.2">
      <c r="A29" s="3" t="s">
        <v>23</v>
      </c>
      <c r="N29" s="5">
        <f t="shared" si="1"/>
        <v>0</v>
      </c>
    </row>
    <row r="30" spans="1:14" x14ac:dyDescent="0.2">
      <c r="A30" s="8" t="s">
        <v>34</v>
      </c>
      <c r="N30" s="5">
        <f t="shared" si="1"/>
        <v>0</v>
      </c>
    </row>
    <row r="31" spans="1:14" x14ac:dyDescent="0.2">
      <c r="A31" s="3" t="s">
        <v>25</v>
      </c>
      <c r="N31" s="5">
        <f t="shared" si="1"/>
        <v>0</v>
      </c>
    </row>
    <row r="32" spans="1:14" x14ac:dyDescent="0.2">
      <c r="A32" s="3" t="s">
        <v>26</v>
      </c>
      <c r="B32" s="3">
        <f>934.42+549.36</f>
        <v>1483.78</v>
      </c>
      <c r="C32" s="3">
        <f>200+300+1113</f>
        <v>1613</v>
      </c>
      <c r="D32" s="3">
        <f>390.7+2002.73</f>
        <v>2393.4299999999998</v>
      </c>
      <c r="E32" s="3">
        <f>150+1694.93</f>
        <v>1844.93</v>
      </c>
      <c r="F32" s="3">
        <f>81+15+36+400</f>
        <v>532</v>
      </c>
      <c r="G32" s="3">
        <v>1500</v>
      </c>
      <c r="H32" s="3">
        <v>700</v>
      </c>
      <c r="I32" s="3">
        <f>289</f>
        <v>289</v>
      </c>
      <c r="J32" s="3">
        <f>100</f>
        <v>100</v>
      </c>
      <c r="K32" s="3">
        <v>600</v>
      </c>
      <c r="L32" s="3">
        <v>700</v>
      </c>
      <c r="M32" s="3">
        <v>500</v>
      </c>
      <c r="N32" s="5">
        <f>SUM(C32:M32)</f>
        <v>10772.36</v>
      </c>
    </row>
    <row r="33" spans="1:14" x14ac:dyDescent="0.2">
      <c r="A33" s="3" t="s">
        <v>27</v>
      </c>
      <c r="N33" s="5">
        <f t="shared" si="1"/>
        <v>0</v>
      </c>
    </row>
    <row r="34" spans="1:14" x14ac:dyDescent="0.2">
      <c r="A34" s="8" t="s">
        <v>28</v>
      </c>
      <c r="B34" s="8"/>
      <c r="N34" s="5">
        <f t="shared" si="1"/>
        <v>0</v>
      </c>
    </row>
    <row r="35" spans="1:14" x14ac:dyDescent="0.2">
      <c r="A35" s="3" t="s">
        <v>29</v>
      </c>
      <c r="N35" s="5">
        <f t="shared" si="1"/>
        <v>0</v>
      </c>
    </row>
    <row r="36" spans="1:14" x14ac:dyDescent="0.2">
      <c r="N36" s="5"/>
    </row>
    <row r="37" spans="1:14" x14ac:dyDescent="0.2">
      <c r="N37" s="5"/>
    </row>
    <row r="38" spans="1:14" x14ac:dyDescent="0.2">
      <c r="A38" s="6" t="s">
        <v>30</v>
      </c>
      <c r="B38" s="10">
        <f>SUM(B16:B35)</f>
        <v>5225.26</v>
      </c>
      <c r="C38" s="10">
        <f>SUM(C16:C32)</f>
        <v>7201.95</v>
      </c>
      <c r="D38" s="10">
        <f>SUM(D16:D35)</f>
        <v>9643.48</v>
      </c>
      <c r="E38" s="10">
        <f>SUM(E16:E32)</f>
        <v>19593.330000000002</v>
      </c>
      <c r="F38" s="10">
        <f>SUM(F16:F32)</f>
        <v>7483.55</v>
      </c>
      <c r="G38" s="10">
        <f>SUM(G16:G37)</f>
        <v>4913</v>
      </c>
      <c r="H38" s="10">
        <f>SUM(H15:H37)</f>
        <v>6417</v>
      </c>
      <c r="I38" s="10">
        <f>SUM(I15:I37)</f>
        <v>5413.53</v>
      </c>
      <c r="J38" s="10">
        <f>SUM(J15:J37)</f>
        <v>3622.01</v>
      </c>
      <c r="K38" s="10">
        <f>SUM(K15:K37)</f>
        <v>3406.4</v>
      </c>
      <c r="L38" s="10">
        <f>SUM(L16:L37)</f>
        <v>5367.74</v>
      </c>
      <c r="M38" s="10">
        <f>SUM(M16:M37)</f>
        <v>4976.2</v>
      </c>
      <c r="N38" s="6">
        <f>SUM(C38:M38)</f>
        <v>78038.19</v>
      </c>
    </row>
    <row r="39" spans="1:14" x14ac:dyDescent="0.2">
      <c r="N39" s="5"/>
    </row>
    <row r="40" spans="1:14" x14ac:dyDescent="0.2">
      <c r="A40" s="6" t="s">
        <v>31</v>
      </c>
      <c r="B40" s="11">
        <f>B8-B38</f>
        <v>-3836.2200000000003</v>
      </c>
      <c r="C40" s="11">
        <f>C8-C38</f>
        <v>-913.51000000000022</v>
      </c>
      <c r="D40" s="11">
        <f>D8-D38</f>
        <v>-4594.8799999999992</v>
      </c>
      <c r="E40" s="11">
        <f>E14-E38</f>
        <v>-11933.620000000003</v>
      </c>
      <c r="F40" s="11">
        <f>F14-F38</f>
        <v>-3281.55</v>
      </c>
      <c r="G40" s="11">
        <f>G14-G38</f>
        <v>4899.1400000000012</v>
      </c>
      <c r="H40" s="11">
        <f>H14-H38</f>
        <v>3842.0599999999995</v>
      </c>
      <c r="I40" s="11">
        <f t="shared" ref="I40:M40" si="2">I14-I38</f>
        <v>9056.8700000000026</v>
      </c>
      <c r="J40" s="11">
        <f t="shared" si="2"/>
        <v>9467.84</v>
      </c>
      <c r="K40" s="11">
        <f t="shared" si="2"/>
        <v>6030.8899999999994</v>
      </c>
      <c r="L40" s="11">
        <f t="shared" si="2"/>
        <v>1666.7000000000007</v>
      </c>
      <c r="M40" s="11">
        <f t="shared" si="2"/>
        <v>12216.77</v>
      </c>
      <c r="N40" s="6">
        <f>SUM(C40:M40)</f>
        <v>26456.710000000003</v>
      </c>
    </row>
    <row r="41" spans="1:14" x14ac:dyDescent="0.2">
      <c r="A41" s="6" t="s">
        <v>32</v>
      </c>
      <c r="B41" s="12"/>
      <c r="C41" s="12">
        <v>1560.94</v>
      </c>
      <c r="D41" s="12">
        <f t="shared" ref="D41:M41" si="3">C42</f>
        <v>647.42999999999984</v>
      </c>
      <c r="E41" s="12">
        <f t="shared" si="3"/>
        <v>-3947.4499999999994</v>
      </c>
      <c r="F41" s="12">
        <f t="shared" si="3"/>
        <v>-15881.070000000002</v>
      </c>
      <c r="G41" s="12">
        <f t="shared" si="3"/>
        <v>-19162.620000000003</v>
      </c>
      <c r="H41" s="12">
        <f t="shared" si="3"/>
        <v>-14263.480000000001</v>
      </c>
      <c r="I41" s="12">
        <f t="shared" si="3"/>
        <v>-10421.420000000002</v>
      </c>
      <c r="J41" s="12">
        <f t="shared" si="3"/>
        <v>-1364.5499999999993</v>
      </c>
      <c r="K41" s="12">
        <f t="shared" si="3"/>
        <v>8103.2900000000009</v>
      </c>
      <c r="L41" s="12">
        <f t="shared" si="3"/>
        <v>14134.18</v>
      </c>
      <c r="M41" s="12">
        <f t="shared" si="3"/>
        <v>15800.880000000001</v>
      </c>
      <c r="N41" s="6">
        <f>SUM(C41:M41)</f>
        <v>-24793.870000000014</v>
      </c>
    </row>
    <row r="42" spans="1:14" x14ac:dyDescent="0.2">
      <c r="A42" s="6" t="s">
        <v>33</v>
      </c>
      <c r="B42" s="13"/>
      <c r="C42" s="13">
        <f t="shared" ref="C42:M42" si="4">C40+C41</f>
        <v>647.42999999999984</v>
      </c>
      <c r="D42" s="13">
        <f t="shared" si="4"/>
        <v>-3947.4499999999994</v>
      </c>
      <c r="E42" s="13">
        <f t="shared" si="4"/>
        <v>-15881.070000000002</v>
      </c>
      <c r="F42" s="13">
        <f t="shared" si="4"/>
        <v>-19162.620000000003</v>
      </c>
      <c r="G42" s="13">
        <f t="shared" si="4"/>
        <v>-14263.480000000001</v>
      </c>
      <c r="H42" s="13">
        <f t="shared" si="4"/>
        <v>-10421.420000000002</v>
      </c>
      <c r="I42" s="13">
        <f t="shared" si="4"/>
        <v>-1364.5499999999993</v>
      </c>
      <c r="J42" s="13">
        <f t="shared" si="4"/>
        <v>8103.2900000000009</v>
      </c>
      <c r="K42" s="13">
        <f t="shared" si="4"/>
        <v>14134.18</v>
      </c>
      <c r="L42" s="13">
        <f t="shared" si="4"/>
        <v>15800.880000000001</v>
      </c>
      <c r="M42" s="13">
        <f t="shared" si="4"/>
        <v>28017.65</v>
      </c>
      <c r="N42" s="6">
        <f>SUM(C42:M42)</f>
        <v>1662.8399999999856</v>
      </c>
    </row>
  </sheetData>
  <mergeCells count="4">
    <mergeCell ref="A1:N1"/>
    <mergeCell ref="C2:N2"/>
    <mergeCell ref="F4:K4"/>
    <mergeCell ref="L4: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FB10-F85D-4C3A-A7A1-952CB3AE378F}">
  <dimension ref="A1:N42"/>
  <sheetViews>
    <sheetView workbookViewId="0">
      <selection activeCell="P37" sqref="P37"/>
    </sheetView>
  </sheetViews>
  <sheetFormatPr baseColWidth="10" defaultColWidth="16.5" defaultRowHeight="15" x14ac:dyDescent="0.2"/>
  <cols>
    <col min="1" max="1" width="23.5" style="3" customWidth="1"/>
    <col min="2" max="2" width="11.5" style="3" customWidth="1"/>
    <col min="3" max="4" width="10.5" style="3" customWidth="1"/>
    <col min="5" max="5" width="12.1640625" style="3" customWidth="1"/>
    <col min="6" max="6" width="13.1640625" style="3" customWidth="1"/>
    <col min="7" max="7" width="11.1640625" style="3" customWidth="1"/>
    <col min="8" max="8" width="13.1640625" style="3" customWidth="1"/>
    <col min="9" max="9" width="11.83203125" style="3" customWidth="1"/>
    <col min="10" max="10" width="10.5" style="3" customWidth="1"/>
    <col min="11" max="11" width="11.1640625" style="3" customWidth="1"/>
    <col min="12" max="12" width="12" style="3" customWidth="1"/>
    <col min="13" max="13" width="10.83203125" style="3" customWidth="1"/>
    <col min="14" max="16384" width="16.5" style="3"/>
  </cols>
  <sheetData>
    <row r="1" spans="1:14" ht="18" x14ac:dyDescent="0.2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8" x14ac:dyDescent="0.2">
      <c r="C2" s="16" t="s">
        <v>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4" spans="1:14" x14ac:dyDescent="0.2">
      <c r="A4" s="4"/>
      <c r="B4" s="4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">
      <c r="B5" s="1">
        <v>44317</v>
      </c>
      <c r="C5" s="1">
        <v>44348</v>
      </c>
      <c r="D5" s="1">
        <v>44378</v>
      </c>
      <c r="E5" s="1">
        <v>44409</v>
      </c>
      <c r="F5" s="1">
        <v>44440</v>
      </c>
      <c r="G5" s="1">
        <v>44470</v>
      </c>
      <c r="H5" s="1">
        <v>44501</v>
      </c>
      <c r="I5" s="1">
        <v>44531</v>
      </c>
      <c r="J5" s="1">
        <v>44562</v>
      </c>
      <c r="K5" s="1">
        <v>44593</v>
      </c>
      <c r="L5" s="1">
        <v>44621</v>
      </c>
      <c r="M5" s="1">
        <v>44652</v>
      </c>
    </row>
    <row r="6" spans="1:14" x14ac:dyDescent="0.2">
      <c r="A6" s="6" t="s">
        <v>2</v>
      </c>
      <c r="B6" s="14">
        <v>7</v>
      </c>
      <c r="C6" s="14">
        <v>8</v>
      </c>
      <c r="D6" s="14">
        <v>9</v>
      </c>
      <c r="E6" s="14">
        <v>10</v>
      </c>
      <c r="F6" s="14">
        <v>11</v>
      </c>
      <c r="G6" s="14">
        <v>12</v>
      </c>
      <c r="H6" s="14">
        <v>6</v>
      </c>
      <c r="I6" s="14">
        <v>7</v>
      </c>
      <c r="J6" s="14">
        <v>8</v>
      </c>
      <c r="K6" s="14">
        <v>9</v>
      </c>
      <c r="L6" s="14">
        <v>10</v>
      </c>
      <c r="M6" s="14">
        <v>11</v>
      </c>
      <c r="N6" s="7" t="s">
        <v>3</v>
      </c>
    </row>
    <row r="7" spans="1:14" x14ac:dyDescent="0.2">
      <c r="N7" s="5"/>
    </row>
    <row r="8" spans="1:14" x14ac:dyDescent="0.2">
      <c r="A8" s="3" t="s">
        <v>4</v>
      </c>
      <c r="B8" s="3">
        <f>4652.57+933.06+2843+432+1129.27</f>
        <v>9989.9</v>
      </c>
      <c r="C8" s="3">
        <f>3109.01+1729.84+251.59+72.32</f>
        <v>5162.76</v>
      </c>
      <c r="D8" s="3">
        <f>2800+200+544.35+196.97+457.98+712.13+792.99+326.06</f>
        <v>6030.48</v>
      </c>
      <c r="E8" s="3">
        <f>1149.81+2048.76+1718.78+512+368+367.72</f>
        <v>6165.0700000000006</v>
      </c>
      <c r="F8" s="3">
        <f>1367.06+534.96+570.85+686.57+436.75+2000+3500</f>
        <v>9096.19</v>
      </c>
      <c r="G8" s="3">
        <f>471.41+200+1099.98+1265.81+1500+70.61+1800</f>
        <v>6407.8099999999995</v>
      </c>
      <c r="H8" s="3">
        <f>1288.84+28.67+662+340+2000</f>
        <v>4319.51</v>
      </c>
      <c r="I8" s="3">
        <f>2077.33+652.06</f>
        <v>2729.39</v>
      </c>
      <c r="J8" s="3">
        <f>467.57+3540+582.74+549.64</f>
        <v>5139.9500000000007</v>
      </c>
      <c r="K8" s="3">
        <f>1500+529.1+757.3+415+1226.04+300+151.44+500+669.99+1600</f>
        <v>7648.869999999999</v>
      </c>
      <c r="L8" s="3">
        <f>11.63+156.66+472.5+3000</f>
        <v>3640.79</v>
      </c>
      <c r="M8" s="3">
        <f>500+652.31+478+50+100+472.46+486.64+3000</f>
        <v>5739.41</v>
      </c>
      <c r="N8" s="5">
        <f>SUM(C8:M8)</f>
        <v>62080.229999999996</v>
      </c>
    </row>
    <row r="9" spans="1:14" x14ac:dyDescent="0.2">
      <c r="A9" s="8" t="s">
        <v>5</v>
      </c>
      <c r="N9" s="5">
        <f>SUM(C9:M9)</f>
        <v>0</v>
      </c>
    </row>
    <row r="10" spans="1:14" x14ac:dyDescent="0.2">
      <c r="A10" s="3" t="s">
        <v>6</v>
      </c>
      <c r="N10" s="5">
        <f>SUM(C10:M10)</f>
        <v>0</v>
      </c>
    </row>
    <row r="11" spans="1:14" x14ac:dyDescent="0.2">
      <c r="A11" s="3" t="s">
        <v>7</v>
      </c>
      <c r="N11" s="5">
        <f>SUM(B11:M11)</f>
        <v>0</v>
      </c>
    </row>
    <row r="12" spans="1:14" x14ac:dyDescent="0.2">
      <c r="A12" s="3" t="s">
        <v>8</v>
      </c>
      <c r="N12" s="5">
        <f>SUM(C12:M12)</f>
        <v>0</v>
      </c>
    </row>
    <row r="13" spans="1:14" x14ac:dyDescent="0.2">
      <c r="N13" s="5"/>
    </row>
    <row r="14" spans="1:14" x14ac:dyDescent="0.2">
      <c r="A14" s="6" t="s">
        <v>9</v>
      </c>
      <c r="B14" s="9">
        <f t="shared" ref="B14:G14" si="0">SUM(B8:B13)</f>
        <v>9989.9</v>
      </c>
      <c r="C14" s="9">
        <f t="shared" si="0"/>
        <v>5162.76</v>
      </c>
      <c r="D14" s="9">
        <f t="shared" si="0"/>
        <v>6030.48</v>
      </c>
      <c r="E14" s="9">
        <f t="shared" si="0"/>
        <v>6165.0700000000006</v>
      </c>
      <c r="F14" s="9">
        <f t="shared" si="0"/>
        <v>9096.19</v>
      </c>
      <c r="G14" s="9">
        <f t="shared" si="0"/>
        <v>6407.8099999999995</v>
      </c>
      <c r="H14" s="9">
        <f t="shared" ref="H14:M14" si="1">SUM(H8:H13)</f>
        <v>4319.51</v>
      </c>
      <c r="I14" s="9">
        <f t="shared" si="1"/>
        <v>2729.39</v>
      </c>
      <c r="J14" s="9">
        <f t="shared" si="1"/>
        <v>5139.9500000000007</v>
      </c>
      <c r="K14" s="9">
        <f t="shared" si="1"/>
        <v>7648.869999999999</v>
      </c>
      <c r="L14" s="9">
        <f t="shared" si="1"/>
        <v>3640.79</v>
      </c>
      <c r="M14" s="9">
        <f t="shared" si="1"/>
        <v>5739.41</v>
      </c>
      <c r="N14" s="9">
        <f>SUM(B14:M14)</f>
        <v>72070.12999999999</v>
      </c>
    </row>
    <row r="15" spans="1:14" x14ac:dyDescent="0.2">
      <c r="A15" s="6"/>
      <c r="N15" s="5"/>
    </row>
    <row r="16" spans="1:14" x14ac:dyDescent="0.2">
      <c r="A16" s="3" t="s">
        <v>10</v>
      </c>
      <c r="B16" s="3">
        <v>268</v>
      </c>
      <c r="C16" s="3">
        <v>268</v>
      </c>
      <c r="D16" s="3">
        <f>268</f>
        <v>268</v>
      </c>
      <c r="E16" s="3">
        <v>268</v>
      </c>
      <c r="F16" s="3">
        <v>268</v>
      </c>
      <c r="G16" s="3">
        <f>282</f>
        <v>282</v>
      </c>
      <c r="H16" s="3">
        <v>210</v>
      </c>
      <c r="I16" s="3">
        <v>268</v>
      </c>
      <c r="J16" s="3">
        <v>268</v>
      </c>
      <c r="K16" s="3">
        <f>268</f>
        <v>268</v>
      </c>
      <c r="L16" s="3">
        <v>268</v>
      </c>
      <c r="M16" s="3">
        <v>268</v>
      </c>
      <c r="N16" s="5">
        <f t="shared" ref="N16:N35" si="2">SUM(C16:M16)</f>
        <v>2904</v>
      </c>
    </row>
    <row r="17" spans="1:14" x14ac:dyDescent="0.2">
      <c r="A17" s="3" t="s">
        <v>11</v>
      </c>
      <c r="B17" s="3">
        <f>1.35+1.35+1.35+1.35+23</f>
        <v>28.4</v>
      </c>
      <c r="C17" s="3">
        <f>10+10+1.35+1.35+10+1.35+1.35+1.1+1.35+10+10+1.35+1.35+1.1+8+28.5</f>
        <v>98.15</v>
      </c>
      <c r="D17" s="3">
        <f>1.35+1.35+1.35+10+1.35+23</f>
        <v>38.4</v>
      </c>
      <c r="E17" s="3">
        <f>1.1+1.35+1.59+1.35+1.35+20</f>
        <v>26.740000000000002</v>
      </c>
      <c r="F17" s="3">
        <f>1.35+1.35+8+17.5</f>
        <v>28.2</v>
      </c>
      <c r="G17" s="3">
        <f>1.35+1.35+8+17.5</f>
        <v>28.2</v>
      </c>
      <c r="H17" s="3">
        <v>47</v>
      </c>
      <c r="I17" s="3">
        <f>1.35+1.35+1.35+1.35+23</f>
        <v>28.4</v>
      </c>
      <c r="J17" s="3">
        <f>10+10+1.35+1.35+10+1.35+1.35+1.1+1.35+10+10+1.35+1.35+1.1+8+28.5</f>
        <v>98.15</v>
      </c>
      <c r="K17" s="3">
        <f>1.35+1.35+1.35+10+1.35+23</f>
        <v>38.4</v>
      </c>
      <c r="L17" s="3">
        <f>1.1+1.35+1.59+1.35+1.35+20</f>
        <v>26.740000000000002</v>
      </c>
      <c r="M17" s="3">
        <f>1.35+1.35+8+17.5</f>
        <v>28.2</v>
      </c>
      <c r="N17" s="5">
        <f t="shared" si="2"/>
        <v>486.58</v>
      </c>
    </row>
    <row r="18" spans="1:14" x14ac:dyDescent="0.2">
      <c r="A18" s="3" t="s">
        <v>12</v>
      </c>
      <c r="B18" s="3">
        <v>149.5</v>
      </c>
      <c r="C18" s="3">
        <f>60</f>
        <v>60</v>
      </c>
      <c r="I18" s="3">
        <v>149.5</v>
      </c>
      <c r="J18" s="3">
        <f>60</f>
        <v>60</v>
      </c>
      <c r="N18" s="5">
        <f t="shared" si="2"/>
        <v>269.5</v>
      </c>
    </row>
    <row r="19" spans="1:14" x14ac:dyDescent="0.2">
      <c r="A19" s="8" t="s">
        <v>13</v>
      </c>
      <c r="B19" s="3">
        <f>9+1275+8.3+9.9+296.52+137.81+14+17.6</f>
        <v>1768.1299999999999</v>
      </c>
      <c r="C19" s="3">
        <f>255.9+15.99+12+131.97</f>
        <v>415.86</v>
      </c>
      <c r="E19" s="3">
        <f>1000+200+52+100+221+300</f>
        <v>1873</v>
      </c>
      <c r="F19" s="3">
        <f>700+100+500+450+200</f>
        <v>1950</v>
      </c>
      <c r="G19" s="3">
        <f>200+200+100+500+200+100+250+50+100</f>
        <v>1700</v>
      </c>
      <c r="H19" s="3">
        <v>2600</v>
      </c>
      <c r="I19" s="3">
        <f>9+1275+8.3+9.9+296.52+137.81+14+17.6</f>
        <v>1768.1299999999999</v>
      </c>
      <c r="J19" s="3">
        <f>255.9+15.99+12+131.97</f>
        <v>415.86</v>
      </c>
      <c r="L19" s="3">
        <f>1000+200+52+100+221+300</f>
        <v>1873</v>
      </c>
      <c r="M19" s="3">
        <f>700+100+500+450+200</f>
        <v>1950</v>
      </c>
      <c r="N19" s="5">
        <f t="shared" si="2"/>
        <v>14545.85</v>
      </c>
    </row>
    <row r="20" spans="1:14" x14ac:dyDescent="0.2">
      <c r="A20" s="3" t="s">
        <v>14</v>
      </c>
      <c r="N20" s="5">
        <f t="shared" si="2"/>
        <v>0</v>
      </c>
    </row>
    <row r="21" spans="1:14" x14ac:dyDescent="0.2">
      <c r="A21" s="3" t="s">
        <v>15</v>
      </c>
      <c r="B21" s="3">
        <f>200</f>
        <v>200</v>
      </c>
      <c r="C21" s="3">
        <f>220+90</f>
        <v>310</v>
      </c>
      <c r="D21" s="3">
        <f>200+300</f>
        <v>500</v>
      </c>
      <c r="E21" s="3">
        <f>250+250</f>
        <v>500</v>
      </c>
      <c r="I21" s="3">
        <f>200</f>
        <v>200</v>
      </c>
      <c r="J21" s="3">
        <f>220+90</f>
        <v>310</v>
      </c>
      <c r="K21" s="3">
        <f>200+300</f>
        <v>500</v>
      </c>
      <c r="L21" s="3">
        <f>250+250</f>
        <v>500</v>
      </c>
      <c r="N21" s="5">
        <f t="shared" si="2"/>
        <v>2820</v>
      </c>
    </row>
    <row r="22" spans="1:14" x14ac:dyDescent="0.2">
      <c r="A22" s="8" t="s">
        <v>16</v>
      </c>
      <c r="B22" s="3">
        <f>30+30</f>
        <v>60</v>
      </c>
      <c r="C22" s="3">
        <f>150+30</f>
        <v>180</v>
      </c>
      <c r="F22" s="3">
        <f>30+200</f>
        <v>230</v>
      </c>
      <c r="G22" s="3">
        <f>30+50</f>
        <v>80</v>
      </c>
      <c r="H22" s="3">
        <v>360</v>
      </c>
      <c r="I22" s="3">
        <f>30+30</f>
        <v>60</v>
      </c>
      <c r="J22" s="3">
        <f>150+30</f>
        <v>180</v>
      </c>
      <c r="M22" s="3">
        <f>30+200</f>
        <v>230</v>
      </c>
      <c r="N22" s="5">
        <f t="shared" si="2"/>
        <v>1320</v>
      </c>
    </row>
    <row r="23" spans="1:14" x14ac:dyDescent="0.2">
      <c r="A23" s="3" t="s">
        <v>17</v>
      </c>
      <c r="N23" s="5">
        <f t="shared" si="2"/>
        <v>0</v>
      </c>
    </row>
    <row r="24" spans="1:14" x14ac:dyDescent="0.2">
      <c r="A24" s="3" t="s">
        <v>18</v>
      </c>
      <c r="B24" s="3">
        <v>1500</v>
      </c>
      <c r="C24" s="3">
        <v>1500</v>
      </c>
      <c r="D24" s="3">
        <v>1500</v>
      </c>
      <c r="E24" s="3">
        <v>1500</v>
      </c>
      <c r="F24" s="3">
        <v>1500</v>
      </c>
      <c r="G24" s="3">
        <v>1500</v>
      </c>
      <c r="H24" s="3">
        <v>1500</v>
      </c>
      <c r="I24" s="3">
        <v>1500</v>
      </c>
      <c r="J24" s="3">
        <v>1500</v>
      </c>
      <c r="K24" s="3">
        <v>1500</v>
      </c>
      <c r="L24" s="3">
        <v>1500</v>
      </c>
      <c r="M24" s="3">
        <v>1500</v>
      </c>
      <c r="N24" s="5">
        <f t="shared" si="2"/>
        <v>16500</v>
      </c>
    </row>
    <row r="25" spans="1:14" x14ac:dyDescent="0.2">
      <c r="A25" s="3" t="s">
        <v>19</v>
      </c>
      <c r="N25" s="5">
        <f t="shared" si="2"/>
        <v>0</v>
      </c>
    </row>
    <row r="26" spans="1:14" x14ac:dyDescent="0.2">
      <c r="A26" s="3" t="s">
        <v>20</v>
      </c>
      <c r="B26" s="3">
        <f>560</f>
        <v>560</v>
      </c>
      <c r="C26" s="3">
        <f>100+150</f>
        <v>250</v>
      </c>
      <c r="F26" s="3">
        <v>500</v>
      </c>
      <c r="G26" s="3">
        <v>560</v>
      </c>
      <c r="H26" s="3">
        <v>500</v>
      </c>
      <c r="I26" s="3">
        <f>600</f>
        <v>600</v>
      </c>
      <c r="J26" s="3">
        <f>100+150</f>
        <v>250</v>
      </c>
      <c r="N26" s="5">
        <f t="shared" si="2"/>
        <v>2660</v>
      </c>
    </row>
    <row r="27" spans="1:14" x14ac:dyDescent="0.2">
      <c r="A27" s="3" t="s">
        <v>21</v>
      </c>
      <c r="N27" s="5">
        <f t="shared" si="2"/>
        <v>0</v>
      </c>
    </row>
    <row r="28" spans="1:14" x14ac:dyDescent="0.2">
      <c r="A28" s="3" t="s">
        <v>22</v>
      </c>
      <c r="N28" s="5">
        <f t="shared" si="2"/>
        <v>0</v>
      </c>
    </row>
    <row r="29" spans="1:14" x14ac:dyDescent="0.2">
      <c r="A29" s="3" t="s">
        <v>23</v>
      </c>
      <c r="N29" s="5">
        <f t="shared" si="2"/>
        <v>0</v>
      </c>
    </row>
    <row r="30" spans="1:14" x14ac:dyDescent="0.2">
      <c r="A30" s="8" t="s">
        <v>24</v>
      </c>
      <c r="B30" s="3">
        <v>1500</v>
      </c>
      <c r="C30" s="3">
        <v>1500</v>
      </c>
      <c r="D30" s="3">
        <v>1500</v>
      </c>
      <c r="E30" s="3">
        <v>1500</v>
      </c>
      <c r="F30" s="3">
        <v>1500</v>
      </c>
      <c r="G30" s="3">
        <v>1500</v>
      </c>
      <c r="H30" s="3">
        <v>1500</v>
      </c>
      <c r="I30" s="3">
        <v>1500</v>
      </c>
      <c r="J30" s="3">
        <v>1500</v>
      </c>
      <c r="K30" s="3">
        <v>1500</v>
      </c>
      <c r="L30" s="3">
        <v>1500</v>
      </c>
      <c r="N30" s="5">
        <f t="shared" si="2"/>
        <v>15000</v>
      </c>
    </row>
    <row r="31" spans="1:14" x14ac:dyDescent="0.2">
      <c r="A31" s="3" t="s">
        <v>25</v>
      </c>
      <c r="C31" s="3">
        <f>500+100</f>
        <v>600</v>
      </c>
      <c r="G31" s="3">
        <v>1000</v>
      </c>
      <c r="J31" s="3">
        <f>500+100</f>
        <v>600</v>
      </c>
      <c r="N31" s="5">
        <f t="shared" si="2"/>
        <v>2200</v>
      </c>
    </row>
    <row r="32" spans="1:14" x14ac:dyDescent="0.2">
      <c r="A32" s="3" t="s">
        <v>26</v>
      </c>
      <c r="B32" s="3">
        <v>1500</v>
      </c>
      <c r="C32" s="3">
        <f>100</f>
        <v>100</v>
      </c>
      <c r="D32" s="3">
        <v>1000</v>
      </c>
      <c r="E32" s="3">
        <v>1000</v>
      </c>
      <c r="F32" s="3">
        <v>800</v>
      </c>
      <c r="G32" s="3">
        <f>900+450</f>
        <v>1350</v>
      </c>
      <c r="H32" s="3">
        <v>1200</v>
      </c>
      <c r="I32" s="3">
        <f>1289</f>
        <v>1289</v>
      </c>
      <c r="J32" s="3">
        <f>500</f>
        <v>500</v>
      </c>
      <c r="K32" s="3">
        <v>600</v>
      </c>
      <c r="L32" s="3">
        <v>500</v>
      </c>
      <c r="N32" s="5">
        <f t="shared" si="2"/>
        <v>8339</v>
      </c>
    </row>
    <row r="33" spans="1:14" x14ac:dyDescent="0.2">
      <c r="A33" s="3" t="s">
        <v>27</v>
      </c>
      <c r="N33" s="5">
        <f t="shared" si="2"/>
        <v>0</v>
      </c>
    </row>
    <row r="34" spans="1:14" x14ac:dyDescent="0.2">
      <c r="A34" s="8" t="s">
        <v>28</v>
      </c>
      <c r="N34" s="5">
        <f t="shared" si="2"/>
        <v>0</v>
      </c>
    </row>
    <row r="35" spans="1:14" x14ac:dyDescent="0.2">
      <c r="A35" s="3" t="s">
        <v>29</v>
      </c>
      <c r="N35" s="5">
        <f t="shared" si="2"/>
        <v>0</v>
      </c>
    </row>
    <row r="36" spans="1:14" x14ac:dyDescent="0.2">
      <c r="N36" s="5"/>
    </row>
    <row r="37" spans="1:14" x14ac:dyDescent="0.2">
      <c r="N37" s="5"/>
    </row>
    <row r="38" spans="1:14" x14ac:dyDescent="0.2">
      <c r="A38" s="6" t="s">
        <v>30</v>
      </c>
      <c r="B38" s="10">
        <f>SUM(B15:B37)</f>
        <v>7534.03</v>
      </c>
      <c r="C38" s="10">
        <f>SUM(C15:C37)</f>
        <v>5282.01</v>
      </c>
      <c r="D38" s="10">
        <f>SUM(D15:D37)</f>
        <v>4806.3999999999996</v>
      </c>
      <c r="E38" s="10">
        <f>SUM(E16:E37)</f>
        <v>6667.74</v>
      </c>
      <c r="F38" s="10">
        <f>SUM(F16:F37)</f>
        <v>6776.2</v>
      </c>
      <c r="G38" s="10">
        <f>SUM(G16:G37)</f>
        <v>8000.2</v>
      </c>
      <c r="H38" s="10">
        <f>SUM(H15:H37)</f>
        <v>7917</v>
      </c>
      <c r="I38" s="10">
        <f>SUM(I15:I37)</f>
        <v>7363.03</v>
      </c>
      <c r="J38" s="10">
        <f>SUM(J15:J37)</f>
        <v>5682.01</v>
      </c>
      <c r="K38" s="10">
        <f>SUM(K15:K37)</f>
        <v>4406.3999999999996</v>
      </c>
      <c r="L38" s="10">
        <f>SUM(L16:L37)</f>
        <v>6167.74</v>
      </c>
      <c r="M38" s="10">
        <f>SUM(M16:M37)</f>
        <v>3976.2</v>
      </c>
      <c r="N38" s="6">
        <f>SUM(C38:M38)</f>
        <v>67044.930000000008</v>
      </c>
    </row>
    <row r="39" spans="1:14" x14ac:dyDescent="0.2">
      <c r="N39" s="5"/>
    </row>
    <row r="40" spans="1:14" x14ac:dyDescent="0.2">
      <c r="A40" s="6" t="s">
        <v>31</v>
      </c>
      <c r="B40" s="11">
        <f t="shared" ref="B40:G40" si="3">B14-B38</f>
        <v>2455.87</v>
      </c>
      <c r="C40" s="11">
        <f t="shared" si="3"/>
        <v>-119.25</v>
      </c>
      <c r="D40" s="11">
        <f t="shared" si="3"/>
        <v>1224.08</v>
      </c>
      <c r="E40" s="11">
        <f t="shared" si="3"/>
        <v>-502.66999999999916</v>
      </c>
      <c r="F40" s="11">
        <f t="shared" si="3"/>
        <v>2319.9900000000007</v>
      </c>
      <c r="G40" s="11">
        <f t="shared" si="3"/>
        <v>-1592.3900000000003</v>
      </c>
      <c r="H40" s="11">
        <f>H14-H38</f>
        <v>-3597.49</v>
      </c>
      <c r="I40" s="11">
        <f t="shared" ref="I40:M40" si="4">I14-I38</f>
        <v>-4633.6399999999994</v>
      </c>
      <c r="J40" s="11">
        <f t="shared" si="4"/>
        <v>-542.05999999999949</v>
      </c>
      <c r="K40" s="11">
        <f t="shared" si="4"/>
        <v>3242.4699999999993</v>
      </c>
      <c r="L40" s="11">
        <f t="shared" si="4"/>
        <v>-2526.9499999999998</v>
      </c>
      <c r="M40" s="11">
        <f t="shared" si="4"/>
        <v>1763.21</v>
      </c>
      <c r="N40" s="6">
        <f>SUM(C40:M40)</f>
        <v>-4964.699999999998</v>
      </c>
    </row>
    <row r="41" spans="1:14" x14ac:dyDescent="0.2">
      <c r="A41" s="6" t="s">
        <v>32</v>
      </c>
      <c r="B41" s="12"/>
      <c r="C41" s="12">
        <f t="shared" ref="C41:G41" si="5">B42</f>
        <v>2455.87</v>
      </c>
      <c r="D41" s="12">
        <f t="shared" si="5"/>
        <v>2336.62</v>
      </c>
      <c r="E41" s="12">
        <f t="shared" si="5"/>
        <v>3560.7</v>
      </c>
      <c r="F41" s="12">
        <f t="shared" si="5"/>
        <v>3058.0300000000007</v>
      </c>
      <c r="G41" s="12">
        <f t="shared" si="5"/>
        <v>5378.0200000000013</v>
      </c>
      <c r="H41" s="12">
        <f t="shared" ref="H41:M41" si="6">G42</f>
        <v>3785.630000000001</v>
      </c>
      <c r="I41" s="12">
        <f t="shared" si="6"/>
        <v>188.14000000000124</v>
      </c>
      <c r="J41" s="12">
        <f t="shared" si="6"/>
        <v>-4445.4999999999982</v>
      </c>
      <c r="K41" s="12">
        <f t="shared" si="6"/>
        <v>-4987.5599999999977</v>
      </c>
      <c r="L41" s="12">
        <f t="shared" si="6"/>
        <v>-1745.0899999999983</v>
      </c>
      <c r="M41" s="12">
        <f t="shared" si="6"/>
        <v>-4272.0399999999981</v>
      </c>
      <c r="N41" s="6">
        <f>SUM(C41:M41)</f>
        <v>5312.8200000000097</v>
      </c>
    </row>
    <row r="42" spans="1:14" x14ac:dyDescent="0.2">
      <c r="A42" s="6" t="s">
        <v>33</v>
      </c>
      <c r="B42" s="13">
        <f t="shared" ref="B42:G42" si="7">B40+B41</f>
        <v>2455.87</v>
      </c>
      <c r="C42" s="13">
        <f t="shared" si="7"/>
        <v>2336.62</v>
      </c>
      <c r="D42" s="13">
        <f t="shared" si="7"/>
        <v>3560.7</v>
      </c>
      <c r="E42" s="13">
        <f t="shared" si="7"/>
        <v>3058.0300000000007</v>
      </c>
      <c r="F42" s="13">
        <f t="shared" si="7"/>
        <v>5378.0200000000013</v>
      </c>
      <c r="G42" s="13">
        <f t="shared" si="7"/>
        <v>3785.630000000001</v>
      </c>
      <c r="H42" s="13">
        <f t="shared" ref="H42:M42" si="8">H40+H41</f>
        <v>188.14000000000124</v>
      </c>
      <c r="I42" s="13">
        <f t="shared" si="8"/>
        <v>-4445.4999999999982</v>
      </c>
      <c r="J42" s="13">
        <f t="shared" si="8"/>
        <v>-4987.5599999999977</v>
      </c>
      <c r="K42" s="13">
        <f t="shared" si="8"/>
        <v>-1745.0899999999983</v>
      </c>
      <c r="L42" s="13">
        <f t="shared" si="8"/>
        <v>-4272.0399999999981</v>
      </c>
      <c r="M42" s="13">
        <f t="shared" si="8"/>
        <v>-2508.8299999999981</v>
      </c>
      <c r="N42" s="6">
        <f>SUM(C42:M42)</f>
        <v>348.12000000001626</v>
      </c>
    </row>
  </sheetData>
  <mergeCells count="4">
    <mergeCell ref="A1:N1"/>
    <mergeCell ref="C2:N2"/>
    <mergeCell ref="F4:K4"/>
    <mergeCell ref="L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2023-2024</vt:lpstr>
      <vt:lpstr>2022 - 2023</vt:lpstr>
      <vt:lpstr>2021 - 2022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PNgcayiya</dc:creator>
  <cp:keywords/>
  <dc:description/>
  <cp:lastModifiedBy>PERILE CLEAN BEAUTY</cp:lastModifiedBy>
  <cp:revision/>
  <dcterms:created xsi:type="dcterms:W3CDTF">2021-11-03T21:49:55Z</dcterms:created>
  <dcterms:modified xsi:type="dcterms:W3CDTF">2023-09-07T18:00:41Z</dcterms:modified>
  <cp:category/>
  <cp:contentStatus/>
</cp:coreProperties>
</file>